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6" documentId="13_ncr:1_{B21ACFDA-4D0C-49DD-9C30-B0C2C0417706}" xr6:coauthVersionLast="47" xr6:coauthVersionMax="47" xr10:uidLastSave="{E4FCB5EA-7CC7-4B40-9B52-A04EC1DD3B85}"/>
  <bookViews>
    <workbookView xWindow="-110" yWindow="-110" windowWidth="19420" windowHeight="10300" tabRatio="759" activeTab="3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JMR" sheetId="20" r:id="rId7"/>
    <sheet name="Inv_SY" sheetId="6" r:id="rId8"/>
    <sheet name="Inv_SY_Dev" sheetId="7" r:id="rId9"/>
    <sheet name="Plant BD" sheetId="21" r:id="rId10"/>
    <sheet name="Grid BD" sheetId="22" r:id="rId11"/>
    <sheet name="Tracker_BD" sheetId="4" r:id="rId12"/>
    <sheet name="Mod_CL" sheetId="14" r:id="rId13"/>
    <sheet name="Grass_Cutting" sheetId="15" r:id="rId14"/>
    <sheet name="Spare_Consumable" sheetId="16" r:id="rId15"/>
    <sheet name="Modelling New" sheetId="19" state="hidden" r:id="rId16"/>
    <sheet name="Basic Data" sheetId="2" state="hidden" r:id="rId17"/>
  </sheets>
  <definedNames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59" i="4" l="1"/>
  <c r="AI1759" i="4" s="1"/>
  <c r="AC1760" i="4"/>
  <c r="AD1762" i="4"/>
  <c r="AI1762" i="4" s="1"/>
  <c r="AC1763" i="4"/>
  <c r="AC1764" i="4"/>
  <c r="AD1765" i="4"/>
  <c r="AD1767" i="4"/>
  <c r="AI1767" i="4" s="1"/>
  <c r="AC1768" i="4"/>
  <c r="AB1769" i="4"/>
  <c r="AD1770" i="4"/>
  <c r="AI1770" i="4" s="1"/>
  <c r="AA1759" i="4"/>
  <c r="AA1760" i="4"/>
  <c r="AA1762" i="4"/>
  <c r="AA1763" i="4"/>
  <c r="AA1764" i="4"/>
  <c r="AA1765" i="4"/>
  <c r="AA1767" i="4"/>
  <c r="AA1768" i="4"/>
  <c r="AA1769" i="4"/>
  <c r="AA1770" i="4"/>
  <c r="AH1771" i="4"/>
  <c r="X1771" i="4"/>
  <c r="AA1771" i="4" s="1"/>
  <c r="W1771" i="4"/>
  <c r="AD1771" i="4" s="1"/>
  <c r="AI1771" i="4" s="1"/>
  <c r="M1771" i="4"/>
  <c r="J1771" i="4"/>
  <c r="K1771" i="4" s="1"/>
  <c r="I1771" i="4"/>
  <c r="G1771" i="4"/>
  <c r="C1771" i="4"/>
  <c r="B1771" i="4"/>
  <c r="AH1770" i="4"/>
  <c r="M1770" i="4"/>
  <c r="J1770" i="4"/>
  <c r="I1770" i="4"/>
  <c r="K1770" i="4" s="1"/>
  <c r="G1770" i="4"/>
  <c r="C1770" i="4"/>
  <c r="B1770" i="4"/>
  <c r="AH1769" i="4"/>
  <c r="M1769" i="4"/>
  <c r="J1769" i="4"/>
  <c r="I1769" i="4"/>
  <c r="K1769" i="4" s="1"/>
  <c r="G1769" i="4"/>
  <c r="C1769" i="4"/>
  <c r="B1769" i="4"/>
  <c r="AH1768" i="4"/>
  <c r="AD1768" i="4"/>
  <c r="AI1768" i="4" s="1"/>
  <c r="AB1768" i="4"/>
  <c r="M1768" i="4"/>
  <c r="J1768" i="4"/>
  <c r="I1768" i="4"/>
  <c r="K1768" i="4" s="1"/>
  <c r="G1768" i="4"/>
  <c r="C1768" i="4"/>
  <c r="B1768" i="4"/>
  <c r="AH1767" i="4"/>
  <c r="M1767" i="4"/>
  <c r="J1767" i="4"/>
  <c r="K1767" i="4" s="1"/>
  <c r="I1767" i="4"/>
  <c r="G1767" i="4"/>
  <c r="C1767" i="4"/>
  <c r="B1767" i="4"/>
  <c r="AH1766" i="4"/>
  <c r="AD1766" i="4"/>
  <c r="AI1766" i="4" s="1"/>
  <c r="AC1766" i="4"/>
  <c r="AB1766" i="4"/>
  <c r="AA1766" i="4"/>
  <c r="M1766" i="4"/>
  <c r="J1766" i="4"/>
  <c r="I1766" i="4"/>
  <c r="K1766" i="4" s="1"/>
  <c r="G1766" i="4"/>
  <c r="C1766" i="4"/>
  <c r="B1766" i="4"/>
  <c r="AH1765" i="4"/>
  <c r="M1765" i="4"/>
  <c r="J1765" i="4"/>
  <c r="I1765" i="4"/>
  <c r="G1765" i="4"/>
  <c r="C1765" i="4"/>
  <c r="B1765" i="4"/>
  <c r="AH1764" i="4"/>
  <c r="AD1764" i="4"/>
  <c r="AI1764" i="4" s="1"/>
  <c r="M1764" i="4"/>
  <c r="J1764" i="4"/>
  <c r="I1764" i="4"/>
  <c r="K1764" i="4" s="1"/>
  <c r="G1764" i="4"/>
  <c r="C1764" i="4"/>
  <c r="B1764" i="4"/>
  <c r="AH1763" i="4"/>
  <c r="M1763" i="4"/>
  <c r="J1763" i="4"/>
  <c r="K1763" i="4" s="1"/>
  <c r="I1763" i="4"/>
  <c r="G1763" i="4"/>
  <c r="C1763" i="4"/>
  <c r="B1763" i="4"/>
  <c r="AH1762" i="4"/>
  <c r="M1762" i="4"/>
  <c r="J1762" i="4"/>
  <c r="I1762" i="4"/>
  <c r="K1762" i="4" s="1"/>
  <c r="G1762" i="4"/>
  <c r="C1762" i="4"/>
  <c r="B1762" i="4"/>
  <c r="AH1761" i="4"/>
  <c r="X1761" i="4"/>
  <c r="W1761" i="4"/>
  <c r="AB1761" i="4" s="1"/>
  <c r="M1761" i="4"/>
  <c r="J1761" i="4"/>
  <c r="I1761" i="4"/>
  <c r="K1761" i="4" s="1"/>
  <c r="G1761" i="4"/>
  <c r="C1761" i="4"/>
  <c r="B1761" i="4"/>
  <c r="AH1760" i="4"/>
  <c r="M1760" i="4"/>
  <c r="J1760" i="4"/>
  <c r="I1760" i="4"/>
  <c r="K1760" i="4" s="1"/>
  <c r="G1760" i="4"/>
  <c r="C1760" i="4"/>
  <c r="B1760" i="4"/>
  <c r="AH1759" i="4"/>
  <c r="M1759" i="4"/>
  <c r="J1759" i="4"/>
  <c r="I1759" i="4"/>
  <c r="G1759" i="4"/>
  <c r="C1759" i="4"/>
  <c r="B1759" i="4"/>
  <c r="A1759" i="4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H129" i="7"/>
  <c r="A129" i="7" s="1"/>
  <c r="J129" i="7"/>
  <c r="K129" i="7"/>
  <c r="L129" i="7"/>
  <c r="M129" i="7"/>
  <c r="N129" i="7"/>
  <c r="O129" i="7"/>
  <c r="P129" i="7"/>
  <c r="Q129" i="7"/>
  <c r="R129" i="7"/>
  <c r="S129" i="7"/>
  <c r="T129" i="7"/>
  <c r="U129" i="7"/>
  <c r="A130" i="6"/>
  <c r="C130" i="6"/>
  <c r="G130" i="6"/>
  <c r="H130" i="6"/>
  <c r="B130" i="6" s="1"/>
  <c r="I130" i="6"/>
  <c r="J130" i="6"/>
  <c r="K130" i="6"/>
  <c r="L130" i="6"/>
  <c r="M130" i="6"/>
  <c r="N130" i="6"/>
  <c r="O130" i="6"/>
  <c r="P130" i="6"/>
  <c r="Q130" i="6"/>
  <c r="F131" i="1"/>
  <c r="AB131" i="1"/>
  <c r="AC131" i="1"/>
  <c r="AD131" i="1"/>
  <c r="AF131" i="1"/>
  <c r="AG131" i="1" s="1"/>
  <c r="AH131" i="1"/>
  <c r="AD124" i="1"/>
  <c r="AD125" i="1"/>
  <c r="AD126" i="1"/>
  <c r="AD127" i="1"/>
  <c r="AD128" i="1"/>
  <c r="AD129" i="1"/>
  <c r="AD130" i="1"/>
  <c r="AC124" i="1"/>
  <c r="AC125" i="1"/>
  <c r="AC126" i="1"/>
  <c r="AC127" i="1"/>
  <c r="AC128" i="1"/>
  <c r="AC129" i="1"/>
  <c r="AC130" i="1"/>
  <c r="E6" i="20"/>
  <c r="H6" i="20"/>
  <c r="J6" i="20"/>
  <c r="W50" i="22"/>
  <c r="W49" i="22"/>
  <c r="AC1771" i="4" l="1"/>
  <c r="AB1770" i="4"/>
  <c r="AC1770" i="4"/>
  <c r="AC1769" i="4"/>
  <c r="AD1769" i="4"/>
  <c r="AI1769" i="4" s="1"/>
  <c r="AC1767" i="4"/>
  <c r="AI1765" i="4"/>
  <c r="AB1765" i="4"/>
  <c r="AC1765" i="4"/>
  <c r="K1765" i="4"/>
  <c r="AB1764" i="4"/>
  <c r="AD1763" i="4"/>
  <c r="AI1763" i="4" s="1"/>
  <c r="AB1763" i="4"/>
  <c r="AC1762" i="4"/>
  <c r="AB1762" i="4"/>
  <c r="AB1760" i="4"/>
  <c r="AD1760" i="4"/>
  <c r="AI1760" i="4" s="1"/>
  <c r="AC1759" i="4"/>
  <c r="AB1759" i="4"/>
  <c r="K1759" i="4"/>
  <c r="AD1761" i="4"/>
  <c r="AI1761" i="4" s="1"/>
  <c r="AB1767" i="4"/>
  <c r="AB1771" i="4"/>
  <c r="AC1761" i="4"/>
  <c r="AA1761" i="4"/>
  <c r="F129" i="7"/>
  <c r="G129" i="7" s="1"/>
  <c r="C129" i="7"/>
  <c r="B129" i="7"/>
  <c r="AE131" i="1"/>
  <c r="N50" i="22"/>
  <c r="M50" i="22"/>
  <c r="M49" i="22"/>
  <c r="AE49" i="22" s="1"/>
  <c r="N49" i="22"/>
  <c r="C50" i="22"/>
  <c r="D50" i="22"/>
  <c r="G50" i="22"/>
  <c r="H50" i="22" s="1"/>
  <c r="X50" i="22"/>
  <c r="Y50" i="22"/>
  <c r="Z50" i="22"/>
  <c r="C49" i="22"/>
  <c r="D49" i="22"/>
  <c r="G49" i="22"/>
  <c r="H49" i="22" s="1"/>
  <c r="X49" i="22"/>
  <c r="Y49" i="22"/>
  <c r="Z49" i="22"/>
  <c r="AH1758" i="4"/>
  <c r="M1758" i="4"/>
  <c r="G1758" i="4"/>
  <c r="C1758" i="4"/>
  <c r="B1758" i="4"/>
  <c r="AH1757" i="4"/>
  <c r="AD1757" i="4"/>
  <c r="AI1757" i="4" s="1"/>
  <c r="M1757" i="4"/>
  <c r="G1757" i="4"/>
  <c r="C1757" i="4"/>
  <c r="B1757" i="4"/>
  <c r="AH1756" i="4"/>
  <c r="AC1756" i="4"/>
  <c r="AA1756" i="4"/>
  <c r="AD1756" i="4"/>
  <c r="AI1756" i="4" s="1"/>
  <c r="M1756" i="4"/>
  <c r="G1756" i="4"/>
  <c r="C1756" i="4"/>
  <c r="B1756" i="4"/>
  <c r="AH1755" i="4"/>
  <c r="AA1755" i="4"/>
  <c r="AD1755" i="4"/>
  <c r="AI1755" i="4" s="1"/>
  <c r="M1755" i="4"/>
  <c r="G1755" i="4"/>
  <c r="C1755" i="4"/>
  <c r="B1755" i="4"/>
  <c r="AH1754" i="4"/>
  <c r="AB1754" i="4"/>
  <c r="AA1754" i="4"/>
  <c r="AD1754" i="4"/>
  <c r="AI1754" i="4" s="1"/>
  <c r="M1754" i="4"/>
  <c r="G1754" i="4"/>
  <c r="C1754" i="4"/>
  <c r="B1754" i="4"/>
  <c r="AH1753" i="4"/>
  <c r="AA1753" i="4"/>
  <c r="AD1753" i="4"/>
  <c r="M1753" i="4"/>
  <c r="G1753" i="4"/>
  <c r="C1753" i="4"/>
  <c r="B1753" i="4"/>
  <c r="AH1752" i="4"/>
  <c r="AA1752" i="4"/>
  <c r="AD1752" i="4"/>
  <c r="M1752" i="4"/>
  <c r="G1752" i="4"/>
  <c r="C1752" i="4"/>
  <c r="B1752" i="4"/>
  <c r="AH1751" i="4"/>
  <c r="AC1751" i="4"/>
  <c r="AB1751" i="4"/>
  <c r="AA1751" i="4"/>
  <c r="AD1751" i="4"/>
  <c r="M1751" i="4"/>
  <c r="G1751" i="4"/>
  <c r="C1751" i="4"/>
  <c r="B1751" i="4"/>
  <c r="AH1750" i="4"/>
  <c r="AA1750" i="4"/>
  <c r="AD1750" i="4"/>
  <c r="M1750" i="4"/>
  <c r="G1750" i="4"/>
  <c r="C1750" i="4"/>
  <c r="B1750" i="4"/>
  <c r="AH1749" i="4"/>
  <c r="AB1749" i="4"/>
  <c r="AA1749" i="4"/>
  <c r="AD1749" i="4"/>
  <c r="M1749" i="4"/>
  <c r="G1749" i="4"/>
  <c r="C1749" i="4"/>
  <c r="B1749" i="4"/>
  <c r="AH1748" i="4"/>
  <c r="M1748" i="4"/>
  <c r="G1748" i="4"/>
  <c r="C1748" i="4"/>
  <c r="B1748" i="4"/>
  <c r="AH1747" i="4"/>
  <c r="AA1747" i="4"/>
  <c r="AD1747" i="4"/>
  <c r="M1747" i="4"/>
  <c r="G1747" i="4"/>
  <c r="C1747" i="4"/>
  <c r="B1747" i="4"/>
  <c r="AH1746" i="4"/>
  <c r="AB1746" i="4"/>
  <c r="AA1746" i="4"/>
  <c r="AD1746" i="4"/>
  <c r="M1746" i="4"/>
  <c r="G1746" i="4"/>
  <c r="C1746" i="4"/>
  <c r="B1746" i="4"/>
  <c r="A1746" i="4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H1745" i="4"/>
  <c r="M1745" i="4"/>
  <c r="G1745" i="4"/>
  <c r="C1745" i="4"/>
  <c r="B1745" i="4"/>
  <c r="AH1744" i="4"/>
  <c r="AD1744" i="4"/>
  <c r="M1744" i="4"/>
  <c r="G1744" i="4"/>
  <c r="C1744" i="4"/>
  <c r="B1744" i="4"/>
  <c r="AH1743" i="4"/>
  <c r="AD1743" i="4"/>
  <c r="AI1743" i="4" s="1"/>
  <c r="M1743" i="4"/>
  <c r="G1743" i="4"/>
  <c r="C1743" i="4"/>
  <c r="B1743" i="4"/>
  <c r="AH1742" i="4"/>
  <c r="AA1742" i="4"/>
  <c r="AD1742" i="4"/>
  <c r="M1742" i="4"/>
  <c r="G1742" i="4"/>
  <c r="C1742" i="4"/>
  <c r="B1742" i="4"/>
  <c r="AH1741" i="4"/>
  <c r="AD1741" i="4"/>
  <c r="M1741" i="4"/>
  <c r="G1741" i="4"/>
  <c r="C1741" i="4"/>
  <c r="B1741" i="4"/>
  <c r="AH1740" i="4"/>
  <c r="AD1740" i="4"/>
  <c r="M1740" i="4"/>
  <c r="G1740" i="4"/>
  <c r="C1740" i="4"/>
  <c r="B1740" i="4"/>
  <c r="AH1739" i="4"/>
  <c r="AA1739" i="4"/>
  <c r="AD1739" i="4"/>
  <c r="M1739" i="4"/>
  <c r="G1739" i="4"/>
  <c r="C1739" i="4"/>
  <c r="B1739" i="4"/>
  <c r="AH1738" i="4"/>
  <c r="AA1738" i="4"/>
  <c r="AD1738" i="4"/>
  <c r="M1738" i="4"/>
  <c r="G1738" i="4"/>
  <c r="C1738" i="4"/>
  <c r="B1738" i="4"/>
  <c r="AH1737" i="4"/>
  <c r="AD1737" i="4"/>
  <c r="M1737" i="4"/>
  <c r="G1737" i="4"/>
  <c r="C1737" i="4"/>
  <c r="B1737" i="4"/>
  <c r="AH1736" i="4"/>
  <c r="AD1736" i="4"/>
  <c r="M1736" i="4"/>
  <c r="G1736" i="4"/>
  <c r="C1736" i="4"/>
  <c r="B1736" i="4"/>
  <c r="AH1735" i="4"/>
  <c r="M1735" i="4"/>
  <c r="G1735" i="4"/>
  <c r="C1735" i="4"/>
  <c r="B1735" i="4"/>
  <c r="AH1734" i="4"/>
  <c r="AD1734" i="4"/>
  <c r="M1734" i="4"/>
  <c r="G1734" i="4"/>
  <c r="C1734" i="4"/>
  <c r="B1734" i="4"/>
  <c r="AH1733" i="4"/>
  <c r="AD1733" i="4"/>
  <c r="M1733" i="4"/>
  <c r="G1733" i="4"/>
  <c r="C1733" i="4"/>
  <c r="B1733" i="4"/>
  <c r="A1733" i="4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H1732" i="4"/>
  <c r="M1732" i="4"/>
  <c r="G1732" i="4"/>
  <c r="C1732" i="4"/>
  <c r="B1732" i="4"/>
  <c r="AH1731" i="4"/>
  <c r="M1731" i="4"/>
  <c r="G1731" i="4"/>
  <c r="C1731" i="4"/>
  <c r="B1731" i="4"/>
  <c r="AH1730" i="4"/>
  <c r="M1730" i="4"/>
  <c r="G1730" i="4"/>
  <c r="C1730" i="4"/>
  <c r="B1730" i="4"/>
  <c r="AH1729" i="4"/>
  <c r="M1729" i="4"/>
  <c r="G1729" i="4"/>
  <c r="C1729" i="4"/>
  <c r="B1729" i="4"/>
  <c r="AH1728" i="4"/>
  <c r="M1728" i="4"/>
  <c r="G1728" i="4"/>
  <c r="C1728" i="4"/>
  <c r="B1728" i="4"/>
  <c r="AH1727" i="4"/>
  <c r="M1727" i="4"/>
  <c r="G1727" i="4"/>
  <c r="C1727" i="4"/>
  <c r="B1727" i="4"/>
  <c r="AH1726" i="4"/>
  <c r="M1726" i="4"/>
  <c r="G1726" i="4"/>
  <c r="C1726" i="4"/>
  <c r="B1726" i="4"/>
  <c r="AH1725" i="4"/>
  <c r="M1725" i="4"/>
  <c r="G1725" i="4"/>
  <c r="C1725" i="4"/>
  <c r="B1725" i="4"/>
  <c r="AH1724" i="4"/>
  <c r="M1724" i="4"/>
  <c r="G1724" i="4"/>
  <c r="C1724" i="4"/>
  <c r="B1724" i="4"/>
  <c r="AH1723" i="4"/>
  <c r="M1723" i="4"/>
  <c r="G1723" i="4"/>
  <c r="C1723" i="4"/>
  <c r="B1723" i="4"/>
  <c r="AH1722" i="4"/>
  <c r="M1722" i="4"/>
  <c r="G1722" i="4"/>
  <c r="C1722" i="4"/>
  <c r="B1722" i="4"/>
  <c r="AH1721" i="4"/>
  <c r="M1721" i="4"/>
  <c r="G1721" i="4"/>
  <c r="C1721" i="4"/>
  <c r="B1721" i="4"/>
  <c r="A1721" i="4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H1720" i="4"/>
  <c r="M1720" i="4"/>
  <c r="G1720" i="4"/>
  <c r="C1720" i="4"/>
  <c r="B1720" i="4"/>
  <c r="A1720" i="4"/>
  <c r="C48" i="22"/>
  <c r="D48" i="22"/>
  <c r="G48" i="22"/>
  <c r="H48" i="22" s="1"/>
  <c r="M48" i="22"/>
  <c r="N48" i="22"/>
  <c r="W48" i="22"/>
  <c r="X48" i="22"/>
  <c r="Y48" i="22"/>
  <c r="Z48" i="22"/>
  <c r="AE48" i="22"/>
  <c r="C47" i="22"/>
  <c r="D47" i="22"/>
  <c r="G47" i="22"/>
  <c r="H47" i="22" s="1"/>
  <c r="M47" i="22"/>
  <c r="AE47" i="22" s="1"/>
  <c r="N47" i="22"/>
  <c r="W47" i="22"/>
  <c r="X47" i="22"/>
  <c r="Y47" i="22"/>
  <c r="Z47" i="22"/>
  <c r="F128" i="7"/>
  <c r="G128" i="7" s="1"/>
  <c r="H128" i="7"/>
  <c r="A128" i="7" s="1"/>
  <c r="B127" i="7"/>
  <c r="C127" i="7"/>
  <c r="H127" i="7"/>
  <c r="A127" i="7" s="1"/>
  <c r="H126" i="7"/>
  <c r="A126" i="7" s="1"/>
  <c r="B129" i="6"/>
  <c r="G129" i="6"/>
  <c r="H129" i="6"/>
  <c r="A129" i="6" s="1"/>
  <c r="I129" i="6"/>
  <c r="J129" i="6"/>
  <c r="K129" i="6"/>
  <c r="L129" i="6"/>
  <c r="M129" i="6"/>
  <c r="N129" i="6"/>
  <c r="O129" i="6"/>
  <c r="G128" i="6"/>
  <c r="H128" i="6"/>
  <c r="A128" i="6" s="1"/>
  <c r="I128" i="6"/>
  <c r="J128" i="6"/>
  <c r="K128" i="6"/>
  <c r="L128" i="6"/>
  <c r="M128" i="6"/>
  <c r="N128" i="6"/>
  <c r="O128" i="6"/>
  <c r="G127" i="6"/>
  <c r="H127" i="6"/>
  <c r="A127" i="6" s="1"/>
  <c r="I127" i="6"/>
  <c r="J127" i="6"/>
  <c r="K127" i="6"/>
  <c r="L127" i="6"/>
  <c r="M127" i="6"/>
  <c r="N127" i="6"/>
  <c r="O127" i="6"/>
  <c r="F129" i="1"/>
  <c r="F130" i="1"/>
  <c r="AB129" i="1"/>
  <c r="AB130" i="1"/>
  <c r="AE129" i="1"/>
  <c r="AE130" i="1"/>
  <c r="AF129" i="1"/>
  <c r="AG129" i="1" s="1"/>
  <c r="AF130" i="1"/>
  <c r="AG130" i="1" s="1"/>
  <c r="AH129" i="1"/>
  <c r="AH130" i="1"/>
  <c r="F128" i="1"/>
  <c r="AB128" i="1"/>
  <c r="AF128" i="1"/>
  <c r="AG128" i="1" s="1"/>
  <c r="AH128" i="1"/>
  <c r="C28" i="21"/>
  <c r="D28" i="21"/>
  <c r="G28" i="21"/>
  <c r="H28" i="21" s="1"/>
  <c r="U28" i="21"/>
  <c r="AM28" i="21" s="1"/>
  <c r="V28" i="21"/>
  <c r="AE28" i="21"/>
  <c r="AF28" i="21"/>
  <c r="AG28" i="21"/>
  <c r="AH28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G2" i="21"/>
  <c r="G3" i="21"/>
  <c r="H3" i="21" s="1"/>
  <c r="G4" i="21"/>
  <c r="G5" i="21"/>
  <c r="G6" i="21"/>
  <c r="H6" i="21" s="1"/>
  <c r="G7" i="21"/>
  <c r="G8" i="21"/>
  <c r="G9" i="21"/>
  <c r="G10" i="21"/>
  <c r="H10" i="21" s="1"/>
  <c r="G11" i="21"/>
  <c r="G12" i="21"/>
  <c r="G13" i="21"/>
  <c r="H13" i="21" s="1"/>
  <c r="G14" i="21"/>
  <c r="G15" i="21"/>
  <c r="G16" i="21"/>
  <c r="G17" i="21"/>
  <c r="G18" i="21"/>
  <c r="H18" i="21" s="1"/>
  <c r="G19" i="21"/>
  <c r="H19" i="21" s="1"/>
  <c r="G20" i="21"/>
  <c r="G21" i="21"/>
  <c r="G22" i="21"/>
  <c r="H22" i="21" s="1"/>
  <c r="G23" i="21"/>
  <c r="G24" i="21"/>
  <c r="H24" i="21" s="1"/>
  <c r="G25" i="21"/>
  <c r="G26" i="21"/>
  <c r="G27" i="21"/>
  <c r="H27" i="21" s="1"/>
  <c r="AE2" i="21"/>
  <c r="AE3" i="21"/>
  <c r="AE4" i="21"/>
  <c r="AE5" i="21"/>
  <c r="AE6" i="21"/>
  <c r="AE7" i="21"/>
  <c r="AE8" i="21"/>
  <c r="AE9" i="21"/>
  <c r="AE10" i="21"/>
  <c r="AE11" i="21"/>
  <c r="AE12" i="21"/>
  <c r="AE13" i="21"/>
  <c r="AE14" i="21"/>
  <c r="AE15" i="21"/>
  <c r="AE16" i="21"/>
  <c r="AE17" i="21"/>
  <c r="AE18" i="21"/>
  <c r="AE19" i="21"/>
  <c r="AE20" i="21"/>
  <c r="AE21" i="21"/>
  <c r="AE22" i="21"/>
  <c r="AE23" i="21"/>
  <c r="AE24" i="21"/>
  <c r="AE25" i="21"/>
  <c r="AE26" i="21"/>
  <c r="AE27" i="21"/>
  <c r="H16" i="21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3" i="22"/>
  <c r="W4" i="22"/>
  <c r="W5" i="22"/>
  <c r="W6" i="22"/>
  <c r="W7" i="22"/>
  <c r="W8" i="22"/>
  <c r="W9" i="22"/>
  <c r="W10" i="22"/>
  <c r="W11" i="22"/>
  <c r="W12" i="22"/>
  <c r="W13" i="22"/>
  <c r="W14" i="22"/>
  <c r="W15" i="22"/>
  <c r="W2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AC37" i="22" s="1"/>
  <c r="N38" i="22"/>
  <c r="N39" i="22"/>
  <c r="N40" i="22"/>
  <c r="N41" i="22"/>
  <c r="N42" i="22"/>
  <c r="N43" i="22"/>
  <c r="N44" i="22"/>
  <c r="N45" i="22"/>
  <c r="N46" i="22"/>
  <c r="N3" i="22"/>
  <c r="N4" i="22"/>
  <c r="N5" i="22"/>
  <c r="N6" i="22"/>
  <c r="N7" i="22"/>
  <c r="N8" i="22"/>
  <c r="N9" i="22"/>
  <c r="N10" i="22"/>
  <c r="N11" i="22"/>
  <c r="N12" i="22"/>
  <c r="N13" i="22"/>
  <c r="N14" i="22"/>
  <c r="N15" i="22"/>
  <c r="N2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2" i="22"/>
  <c r="J2" i="22"/>
  <c r="I2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G16" i="22"/>
  <c r="H16" i="22" s="1"/>
  <c r="G17" i="22"/>
  <c r="G18" i="22"/>
  <c r="H18" i="22" s="1"/>
  <c r="G19" i="22"/>
  <c r="H19" i="22" s="1"/>
  <c r="G20" i="22"/>
  <c r="H20" i="22" s="1"/>
  <c r="G21" i="22"/>
  <c r="H21" i="22" s="1"/>
  <c r="G22" i="22"/>
  <c r="H22" i="22" s="1"/>
  <c r="G23" i="22"/>
  <c r="H23" i="22" s="1"/>
  <c r="G24" i="22"/>
  <c r="H24" i="22" s="1"/>
  <c r="G25" i="22"/>
  <c r="G26" i="22"/>
  <c r="H26" i="22" s="1"/>
  <c r="G27" i="22"/>
  <c r="H27" i="22" s="1"/>
  <c r="G28" i="22"/>
  <c r="H28" i="22" s="1"/>
  <c r="G29" i="22"/>
  <c r="G30" i="22"/>
  <c r="G31" i="22"/>
  <c r="H31" i="22" s="1"/>
  <c r="G32" i="22"/>
  <c r="H32" i="22" s="1"/>
  <c r="G33" i="22"/>
  <c r="H33" i="22" s="1"/>
  <c r="G34" i="22"/>
  <c r="H34" i="22" s="1"/>
  <c r="G35" i="22"/>
  <c r="H35" i="22" s="1"/>
  <c r="G36" i="22"/>
  <c r="H36" i="22" s="1"/>
  <c r="G37" i="22"/>
  <c r="G38" i="22"/>
  <c r="G39" i="22"/>
  <c r="H39" i="22" s="1"/>
  <c r="G40" i="22"/>
  <c r="H40" i="22" s="1"/>
  <c r="G41" i="22"/>
  <c r="G42" i="22"/>
  <c r="H42" i="22" s="1"/>
  <c r="G43" i="22"/>
  <c r="H43" i="22" s="1"/>
  <c r="G44" i="22"/>
  <c r="H44" i="22" s="1"/>
  <c r="G45" i="22"/>
  <c r="H45" i="22" s="1"/>
  <c r="G46" i="22"/>
  <c r="H46" i="22" s="1"/>
  <c r="H30" i="22"/>
  <c r="H38" i="22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Y16" i="22"/>
  <c r="AC16" i="22" s="1"/>
  <c r="Y17" i="22"/>
  <c r="AC17" i="22" s="1"/>
  <c r="Y18" i="22"/>
  <c r="AC18" i="22" s="1"/>
  <c r="Y19" i="22"/>
  <c r="Y20" i="22"/>
  <c r="Y21" i="22"/>
  <c r="Y22" i="22"/>
  <c r="Y23" i="22"/>
  <c r="AC23" i="22" s="1"/>
  <c r="Y24" i="22"/>
  <c r="AC24" i="22" s="1"/>
  <c r="Y25" i="22"/>
  <c r="AC25" i="22" s="1"/>
  <c r="Y26" i="22"/>
  <c r="AC26" i="22" s="1"/>
  <c r="Y27" i="22"/>
  <c r="AC27" i="22" s="1"/>
  <c r="Y28" i="22"/>
  <c r="Y29" i="22"/>
  <c r="Y30" i="22"/>
  <c r="Y31" i="22"/>
  <c r="Y32" i="22"/>
  <c r="AC32" i="22" s="1"/>
  <c r="Y33" i="22"/>
  <c r="Y34" i="22"/>
  <c r="Y35" i="22"/>
  <c r="Y36" i="22"/>
  <c r="Y37" i="22"/>
  <c r="Y38" i="22"/>
  <c r="Y39" i="22"/>
  <c r="AC39" i="22" s="1"/>
  <c r="Y40" i="22"/>
  <c r="Y41" i="22"/>
  <c r="Y42" i="22"/>
  <c r="Y43" i="22"/>
  <c r="Y44" i="22"/>
  <c r="Y45" i="22"/>
  <c r="Y46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V2" i="21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U2" i="21"/>
  <c r="U3" i="21"/>
  <c r="U4" i="21"/>
  <c r="U5" i="21"/>
  <c r="U6" i="21"/>
  <c r="U7" i="21"/>
  <c r="U8" i="21"/>
  <c r="U9" i="21"/>
  <c r="U10" i="21"/>
  <c r="U11" i="21"/>
  <c r="U12" i="21"/>
  <c r="U13" i="21"/>
  <c r="U14" i="21"/>
  <c r="U15" i="21"/>
  <c r="U16" i="21"/>
  <c r="U17" i="21"/>
  <c r="U18" i="21"/>
  <c r="U19" i="21"/>
  <c r="U20" i="21"/>
  <c r="U21" i="21"/>
  <c r="U22" i="21"/>
  <c r="U23" i="21"/>
  <c r="U24" i="21"/>
  <c r="U25" i="21"/>
  <c r="U26" i="21"/>
  <c r="U27" i="21"/>
  <c r="Z15" i="22"/>
  <c r="Y15" i="22"/>
  <c r="X15" i="22"/>
  <c r="G15" i="22"/>
  <c r="D15" i="22"/>
  <c r="C15" i="22"/>
  <c r="Z14" i="22"/>
  <c r="Y14" i="22"/>
  <c r="X14" i="22"/>
  <c r="G14" i="22"/>
  <c r="D14" i="22"/>
  <c r="C14" i="22"/>
  <c r="Z13" i="22"/>
  <c r="Y13" i="22"/>
  <c r="AC13" i="22" s="1"/>
  <c r="X13" i="22"/>
  <c r="G13" i="22"/>
  <c r="D13" i="22"/>
  <c r="C13" i="22"/>
  <c r="Z12" i="22"/>
  <c r="Y12" i="22"/>
  <c r="AC12" i="22" s="1"/>
  <c r="X12" i="22"/>
  <c r="G12" i="22"/>
  <c r="D12" i="22"/>
  <c r="C12" i="22"/>
  <c r="Z11" i="22"/>
  <c r="Y11" i="22"/>
  <c r="AC11" i="22" s="1"/>
  <c r="X11" i="22"/>
  <c r="G11" i="22"/>
  <c r="H11" i="22" s="1"/>
  <c r="D11" i="22"/>
  <c r="C11" i="22"/>
  <c r="Z10" i="22"/>
  <c r="Y10" i="22"/>
  <c r="X10" i="22"/>
  <c r="G10" i="22"/>
  <c r="H10" i="22" s="1"/>
  <c r="D10" i="22"/>
  <c r="C10" i="22"/>
  <c r="Z9" i="22"/>
  <c r="Y9" i="22"/>
  <c r="X9" i="22"/>
  <c r="G9" i="22"/>
  <c r="H9" i="22" s="1"/>
  <c r="D9" i="22"/>
  <c r="C9" i="22"/>
  <c r="Z8" i="22"/>
  <c r="Y8" i="22"/>
  <c r="X8" i="22"/>
  <c r="G8" i="22"/>
  <c r="H8" i="22" s="1"/>
  <c r="D8" i="22"/>
  <c r="C8" i="22"/>
  <c r="Z7" i="22"/>
  <c r="Y7" i="22"/>
  <c r="X7" i="22"/>
  <c r="G7" i="22"/>
  <c r="H7" i="22" s="1"/>
  <c r="D7" i="22"/>
  <c r="C7" i="22"/>
  <c r="Z6" i="22"/>
  <c r="Y6" i="22"/>
  <c r="X6" i="22"/>
  <c r="G6" i="22"/>
  <c r="H6" i="22" s="1"/>
  <c r="D6" i="22"/>
  <c r="C6" i="22"/>
  <c r="Z5" i="22"/>
  <c r="Y5" i="22"/>
  <c r="X5" i="22"/>
  <c r="G5" i="22"/>
  <c r="H5" i="22" s="1"/>
  <c r="D5" i="22"/>
  <c r="C5" i="22"/>
  <c r="Z4" i="22"/>
  <c r="Y4" i="22"/>
  <c r="AC4" i="22" s="1"/>
  <c r="X4" i="22"/>
  <c r="G4" i="22"/>
  <c r="D4" i="22"/>
  <c r="C4" i="22"/>
  <c r="Z3" i="22"/>
  <c r="Y3" i="22"/>
  <c r="AC3" i="22" s="1"/>
  <c r="X3" i="22"/>
  <c r="G3" i="22"/>
  <c r="D3" i="22"/>
  <c r="C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Z2" i="22"/>
  <c r="Y2" i="22"/>
  <c r="X2" i="22"/>
  <c r="G2" i="22"/>
  <c r="D2" i="22"/>
  <c r="C2" i="22"/>
  <c r="AH27" i="21"/>
  <c r="AG27" i="21"/>
  <c r="AF27" i="21"/>
  <c r="D27" i="21"/>
  <c r="AH26" i="21"/>
  <c r="AG26" i="21"/>
  <c r="AF26" i="21"/>
  <c r="D26" i="21"/>
  <c r="AH25" i="21"/>
  <c r="AG25" i="21"/>
  <c r="AF25" i="21"/>
  <c r="H25" i="21"/>
  <c r="D25" i="21"/>
  <c r="AH24" i="21"/>
  <c r="AG24" i="21"/>
  <c r="AF24" i="21"/>
  <c r="D24" i="21"/>
  <c r="AH23" i="21"/>
  <c r="AG23" i="21"/>
  <c r="AF23" i="21"/>
  <c r="D23" i="21"/>
  <c r="AH22" i="21"/>
  <c r="AK22" i="21" s="1"/>
  <c r="AG22" i="21"/>
  <c r="AF22" i="21"/>
  <c r="D22" i="21"/>
  <c r="AH21" i="21"/>
  <c r="AG21" i="21"/>
  <c r="AF21" i="21"/>
  <c r="H21" i="21"/>
  <c r="D21" i="21"/>
  <c r="AH20" i="21"/>
  <c r="AG20" i="21"/>
  <c r="AF20" i="21"/>
  <c r="D20" i="21"/>
  <c r="AH19" i="21"/>
  <c r="AG19" i="21"/>
  <c r="AF19" i="21"/>
  <c r="D19" i="21"/>
  <c r="AH18" i="21"/>
  <c r="AG18" i="21"/>
  <c r="AF18" i="21"/>
  <c r="D18" i="21"/>
  <c r="AH17" i="21"/>
  <c r="AG17" i="21"/>
  <c r="AF17" i="21"/>
  <c r="D17" i="21"/>
  <c r="AH16" i="21"/>
  <c r="AG16" i="21"/>
  <c r="AF16" i="21"/>
  <c r="D16" i="21"/>
  <c r="AH15" i="21"/>
  <c r="AG15" i="21"/>
  <c r="AF15" i="21"/>
  <c r="H15" i="21"/>
  <c r="D15" i="21"/>
  <c r="AH14" i="21"/>
  <c r="AG14" i="21"/>
  <c r="AF14" i="21"/>
  <c r="D14" i="21"/>
  <c r="AH13" i="21"/>
  <c r="AG13" i="21"/>
  <c r="AF13" i="21"/>
  <c r="D13" i="21"/>
  <c r="AH12" i="21"/>
  <c r="AG12" i="21"/>
  <c r="AF12" i="21"/>
  <c r="H12" i="21"/>
  <c r="D12" i="21"/>
  <c r="AH11" i="21"/>
  <c r="AG11" i="21"/>
  <c r="AF11" i="21"/>
  <c r="D11" i="21"/>
  <c r="AH10" i="21"/>
  <c r="AG10" i="21"/>
  <c r="AF10" i="21"/>
  <c r="D10" i="21"/>
  <c r="AH9" i="21"/>
  <c r="AG9" i="21"/>
  <c r="AF9" i="21"/>
  <c r="H9" i="21"/>
  <c r="D9" i="21"/>
  <c r="AH8" i="21"/>
  <c r="AG8" i="21"/>
  <c r="AF8" i="21"/>
  <c r="D8" i="21"/>
  <c r="AH7" i="21"/>
  <c r="AG7" i="21"/>
  <c r="AF7" i="21"/>
  <c r="H7" i="21"/>
  <c r="D7" i="21"/>
  <c r="AH6" i="21"/>
  <c r="AG6" i="21"/>
  <c r="AF6" i="21"/>
  <c r="D6" i="21"/>
  <c r="AH5" i="21"/>
  <c r="AK5" i="21" s="1"/>
  <c r="AG5" i="21"/>
  <c r="AF5" i="21"/>
  <c r="D5" i="21"/>
  <c r="AH4" i="21"/>
  <c r="AG4" i="21"/>
  <c r="AF4" i="21"/>
  <c r="H4" i="21"/>
  <c r="D4" i="21"/>
  <c r="AH3" i="21"/>
  <c r="AG3" i="21"/>
  <c r="AF3" i="21"/>
  <c r="D3" i="21"/>
  <c r="AH2" i="21"/>
  <c r="AG2" i="21"/>
  <c r="AF2" i="21"/>
  <c r="D2" i="21"/>
  <c r="A3" i="2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J5" i="20"/>
  <c r="H5" i="20"/>
  <c r="E5" i="20"/>
  <c r="J4" i="20"/>
  <c r="H4" i="20"/>
  <c r="E4" i="20"/>
  <c r="J3" i="20"/>
  <c r="H3" i="20"/>
  <c r="E3" i="20"/>
  <c r="J2" i="20"/>
  <c r="H2" i="20"/>
  <c r="E2" i="20"/>
  <c r="AT2" i="18"/>
  <c r="AU2" i="18"/>
  <c r="AU3" i="18"/>
  <c r="AU4" i="18"/>
  <c r="AU5" i="18"/>
  <c r="AU6" i="18"/>
  <c r="AU7" i="18"/>
  <c r="AU8" i="18"/>
  <c r="AU9" i="18"/>
  <c r="AU10" i="18"/>
  <c r="AU11" i="18"/>
  <c r="AU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72" i="18"/>
  <c r="AU73" i="18"/>
  <c r="AU74" i="18"/>
  <c r="AU75" i="18"/>
  <c r="AU76" i="18"/>
  <c r="AU77" i="18"/>
  <c r="AU78" i="18"/>
  <c r="AU79" i="18"/>
  <c r="AU80" i="18"/>
  <c r="AU81" i="18"/>
  <c r="AU82" i="18"/>
  <c r="AU83" i="18"/>
  <c r="AU84" i="18"/>
  <c r="AU85" i="18"/>
  <c r="AU86" i="18"/>
  <c r="AU87" i="18"/>
  <c r="AU88" i="18"/>
  <c r="AU89" i="18"/>
  <c r="AU90" i="18"/>
  <c r="AU91" i="18"/>
  <c r="AU92" i="18"/>
  <c r="AU93" i="18"/>
  <c r="AU94" i="18"/>
  <c r="AU95" i="18"/>
  <c r="AU96" i="18"/>
  <c r="AU97" i="18"/>
  <c r="AU98" i="18"/>
  <c r="AU99" i="18"/>
  <c r="AU100" i="18"/>
  <c r="AU101" i="18"/>
  <c r="AU102" i="18"/>
  <c r="AU103" i="18"/>
  <c r="AU104" i="18"/>
  <c r="AU105" i="18"/>
  <c r="AU106" i="18"/>
  <c r="AU107" i="18"/>
  <c r="AU108" i="18"/>
  <c r="AU109" i="18"/>
  <c r="AU110" i="18"/>
  <c r="AU111" i="18"/>
  <c r="AU112" i="18"/>
  <c r="AU113" i="18"/>
  <c r="AU114" i="18"/>
  <c r="AU115" i="18"/>
  <c r="AU116" i="18"/>
  <c r="AU117" i="18"/>
  <c r="AU118" i="18"/>
  <c r="AU119" i="18"/>
  <c r="AU120" i="18"/>
  <c r="AU121" i="18"/>
  <c r="AU122" i="18"/>
  <c r="AU123" i="18"/>
  <c r="AU124" i="18"/>
  <c r="AU125" i="18"/>
  <c r="AU126" i="18"/>
  <c r="AU127" i="18"/>
  <c r="AU128" i="18"/>
  <c r="AU129" i="18"/>
  <c r="AU130" i="18"/>
  <c r="AU131" i="18"/>
  <c r="AU132" i="18"/>
  <c r="AU133" i="18"/>
  <c r="AU134" i="18"/>
  <c r="AU135" i="18"/>
  <c r="AU136" i="18"/>
  <c r="AU137" i="18"/>
  <c r="AU138" i="18"/>
  <c r="AU139" i="18"/>
  <c r="AU140" i="18"/>
  <c r="AU141" i="18"/>
  <c r="AU142" i="18"/>
  <c r="AU143" i="18"/>
  <c r="AU144" i="18"/>
  <c r="AU145" i="18"/>
  <c r="AU146" i="18"/>
  <c r="AU147" i="18"/>
  <c r="AU148" i="18"/>
  <c r="AU149" i="18"/>
  <c r="AU150" i="18"/>
  <c r="AU151" i="18"/>
  <c r="AU152" i="18"/>
  <c r="AU153" i="18"/>
  <c r="AU154" i="18"/>
  <c r="AU155" i="18"/>
  <c r="AU156" i="18"/>
  <c r="AU157" i="18"/>
  <c r="AU158" i="18"/>
  <c r="AU159" i="18"/>
  <c r="AU160" i="18"/>
  <c r="AU161" i="18"/>
  <c r="AU162" i="18"/>
  <c r="AU163" i="18"/>
  <c r="AU164" i="18"/>
  <c r="AU165" i="18"/>
  <c r="AU166" i="18"/>
  <c r="AU167" i="18"/>
  <c r="AU168" i="18"/>
  <c r="AU169" i="18"/>
  <c r="AU170" i="18"/>
  <c r="AU171" i="18"/>
  <c r="AU172" i="18"/>
  <c r="AU173" i="18"/>
  <c r="AU174" i="18"/>
  <c r="AU175" i="18"/>
  <c r="AU176" i="18"/>
  <c r="AU177" i="18"/>
  <c r="AU178" i="18"/>
  <c r="AU179" i="18"/>
  <c r="AU180" i="18"/>
  <c r="AU181" i="18"/>
  <c r="AU182" i="18"/>
  <c r="AU183" i="18"/>
  <c r="AU184" i="18"/>
  <c r="AU185" i="18"/>
  <c r="AU186" i="18"/>
  <c r="AU187" i="18"/>
  <c r="AU188" i="18"/>
  <c r="AU189" i="18"/>
  <c r="AU190" i="18"/>
  <c r="AU191" i="18"/>
  <c r="AU192" i="18"/>
  <c r="AU193" i="18"/>
  <c r="AU194" i="18"/>
  <c r="AU195" i="18"/>
  <c r="AU196" i="18"/>
  <c r="AU197" i="18"/>
  <c r="AU198" i="18"/>
  <c r="AU199" i="18"/>
  <c r="AU200" i="18"/>
  <c r="AU201" i="18"/>
  <c r="AU202" i="18"/>
  <c r="AU203" i="18"/>
  <c r="AU204" i="18"/>
  <c r="AU205" i="18"/>
  <c r="AU206" i="18"/>
  <c r="AU207" i="18"/>
  <c r="AU208" i="18"/>
  <c r="AU209" i="18"/>
  <c r="AU210" i="18"/>
  <c r="AU211" i="18"/>
  <c r="AU212" i="18"/>
  <c r="AU213" i="18"/>
  <c r="AU214" i="18"/>
  <c r="AU215" i="18"/>
  <c r="AU216" i="18"/>
  <c r="AU217" i="18"/>
  <c r="AU218" i="18"/>
  <c r="AU219" i="18"/>
  <c r="AU220" i="18"/>
  <c r="AU221" i="18"/>
  <c r="AU222" i="18"/>
  <c r="AU223" i="18"/>
  <c r="AU224" i="18"/>
  <c r="AU225" i="18"/>
  <c r="AU226" i="18"/>
  <c r="AU227" i="18"/>
  <c r="AU228" i="18"/>
  <c r="AU229" i="18"/>
  <c r="AU230" i="18"/>
  <c r="AU231" i="18"/>
  <c r="AU232" i="18"/>
  <c r="AU233" i="18"/>
  <c r="AU234" i="18"/>
  <c r="AU235" i="18"/>
  <c r="AU236" i="18"/>
  <c r="AU237" i="18"/>
  <c r="AU238" i="18"/>
  <c r="AU239" i="18"/>
  <c r="AU240" i="18"/>
  <c r="AU241" i="18"/>
  <c r="AU242" i="18"/>
  <c r="AU243" i="18"/>
  <c r="AU244" i="18"/>
  <c r="AU245" i="18"/>
  <c r="AU246" i="18"/>
  <c r="AU247" i="18"/>
  <c r="AU248" i="18"/>
  <c r="AU249" i="18"/>
  <c r="AU250" i="18"/>
  <c r="AU251" i="18"/>
  <c r="AU252" i="18"/>
  <c r="AU253" i="18"/>
  <c r="AU254" i="18"/>
  <c r="AU255" i="18"/>
  <c r="AU256" i="18"/>
  <c r="AU257" i="18"/>
  <c r="AU258" i="18"/>
  <c r="AU259" i="18"/>
  <c r="AU260" i="18"/>
  <c r="AU261" i="18"/>
  <c r="AU262" i="18"/>
  <c r="AU263" i="18"/>
  <c r="AU264" i="18"/>
  <c r="AU265" i="18"/>
  <c r="AU266" i="18"/>
  <c r="AU267" i="18"/>
  <c r="AU268" i="18"/>
  <c r="AU269" i="18"/>
  <c r="AU270" i="18"/>
  <c r="AU271" i="18"/>
  <c r="AU272" i="18"/>
  <c r="AU273" i="18"/>
  <c r="AU274" i="18"/>
  <c r="AU275" i="18"/>
  <c r="AU276" i="18"/>
  <c r="AU277" i="18"/>
  <c r="AU278" i="18"/>
  <c r="AU279" i="18"/>
  <c r="AU280" i="18"/>
  <c r="AU281" i="18"/>
  <c r="AU282" i="18"/>
  <c r="AU283" i="18"/>
  <c r="AU284" i="18"/>
  <c r="AU285" i="18"/>
  <c r="AU286" i="18"/>
  <c r="AU287" i="18"/>
  <c r="AU288" i="18"/>
  <c r="AU289" i="18"/>
  <c r="AU290" i="18"/>
  <c r="AU291" i="18"/>
  <c r="AU292" i="18"/>
  <c r="AU293" i="18"/>
  <c r="AU294" i="18"/>
  <c r="AU295" i="18"/>
  <c r="AU296" i="18"/>
  <c r="AU297" i="18"/>
  <c r="AU298" i="18"/>
  <c r="AU299" i="18"/>
  <c r="AU300" i="18"/>
  <c r="AU301" i="18"/>
  <c r="AU302" i="18"/>
  <c r="AU303" i="18"/>
  <c r="AU304" i="18"/>
  <c r="AU305" i="18"/>
  <c r="AU306" i="18"/>
  <c r="AU307" i="18"/>
  <c r="AU308" i="18"/>
  <c r="AU309" i="18"/>
  <c r="AU310" i="18"/>
  <c r="AU311" i="18"/>
  <c r="AU312" i="18"/>
  <c r="AU313" i="18"/>
  <c r="AU314" i="18"/>
  <c r="AU315" i="18"/>
  <c r="AU316" i="18"/>
  <c r="AU317" i="18"/>
  <c r="AU318" i="18"/>
  <c r="AU319" i="18"/>
  <c r="AU320" i="18"/>
  <c r="AU321" i="18"/>
  <c r="AU322" i="18"/>
  <c r="AU323" i="18"/>
  <c r="AU324" i="18"/>
  <c r="AU325" i="18"/>
  <c r="AU326" i="18"/>
  <c r="AU327" i="18"/>
  <c r="AU328" i="18"/>
  <c r="AU329" i="18"/>
  <c r="AU330" i="18"/>
  <c r="AU331" i="18"/>
  <c r="AU332" i="18"/>
  <c r="AU333" i="18"/>
  <c r="AU334" i="18"/>
  <c r="AU335" i="18"/>
  <c r="AU336" i="18"/>
  <c r="AU337" i="18"/>
  <c r="AU338" i="18"/>
  <c r="AU339" i="18"/>
  <c r="AU340" i="18"/>
  <c r="AU341" i="18"/>
  <c r="AU342" i="18"/>
  <c r="AU343" i="18"/>
  <c r="AU344" i="18"/>
  <c r="AU345" i="18"/>
  <c r="AU346" i="18"/>
  <c r="AU347" i="18"/>
  <c r="AU348" i="18"/>
  <c r="AU349" i="18"/>
  <c r="AU350" i="18"/>
  <c r="AU351" i="18"/>
  <c r="AU352" i="18"/>
  <c r="AU353" i="18"/>
  <c r="AU354" i="18"/>
  <c r="AU355" i="18"/>
  <c r="AU356" i="18"/>
  <c r="AU357" i="18"/>
  <c r="AU358" i="18"/>
  <c r="AU359" i="18"/>
  <c r="AU360" i="18"/>
  <c r="AU361" i="18"/>
  <c r="AU362" i="18"/>
  <c r="AU363" i="18"/>
  <c r="AU364" i="18"/>
  <c r="AU365" i="18"/>
  <c r="AU366" i="18"/>
  <c r="AU367" i="18"/>
  <c r="AU368" i="18"/>
  <c r="AU369" i="18"/>
  <c r="AD1708" i="4"/>
  <c r="AD1710" i="4"/>
  <c r="AD1711" i="4"/>
  <c r="AC1712" i="4"/>
  <c r="AD1713" i="4"/>
  <c r="AD1714" i="4"/>
  <c r="AD1715" i="4"/>
  <c r="AC1716" i="4"/>
  <c r="AD1717" i="4"/>
  <c r="AC1718" i="4"/>
  <c r="AA1707" i="4"/>
  <c r="AA1708" i="4"/>
  <c r="AA1711" i="4"/>
  <c r="AA1712" i="4"/>
  <c r="AA1717" i="4"/>
  <c r="AH1719" i="4"/>
  <c r="M1719" i="4"/>
  <c r="G1719" i="4"/>
  <c r="C1719" i="4"/>
  <c r="B1719" i="4"/>
  <c r="AH1718" i="4"/>
  <c r="AD1718" i="4"/>
  <c r="AA1718" i="4"/>
  <c r="M1718" i="4"/>
  <c r="G1718" i="4"/>
  <c r="C1718" i="4"/>
  <c r="B1718" i="4"/>
  <c r="AH1717" i="4"/>
  <c r="AB1717" i="4"/>
  <c r="M1717" i="4"/>
  <c r="G1717" i="4"/>
  <c r="C1717" i="4"/>
  <c r="B1717" i="4"/>
  <c r="AH1716" i="4"/>
  <c r="AD1716" i="4"/>
  <c r="AA1716" i="4"/>
  <c r="M1716" i="4"/>
  <c r="G1716" i="4"/>
  <c r="C1716" i="4"/>
  <c r="B1716" i="4"/>
  <c r="AH1715" i="4"/>
  <c r="M1715" i="4"/>
  <c r="G1715" i="4"/>
  <c r="C1715" i="4"/>
  <c r="B1715" i="4"/>
  <c r="AH1714" i="4"/>
  <c r="M1714" i="4"/>
  <c r="G1714" i="4"/>
  <c r="C1714" i="4"/>
  <c r="B1714" i="4"/>
  <c r="AH1713" i="4"/>
  <c r="M1713" i="4"/>
  <c r="G1713" i="4"/>
  <c r="C1713" i="4"/>
  <c r="B1713" i="4"/>
  <c r="AH1712" i="4"/>
  <c r="AD1712" i="4"/>
  <c r="AB1712" i="4"/>
  <c r="M1712" i="4"/>
  <c r="G1712" i="4"/>
  <c r="C1712" i="4"/>
  <c r="B1712" i="4"/>
  <c r="AH1711" i="4"/>
  <c r="M1711" i="4"/>
  <c r="G1711" i="4"/>
  <c r="C1711" i="4"/>
  <c r="B1711" i="4"/>
  <c r="AH1710" i="4"/>
  <c r="AC1710" i="4"/>
  <c r="AA1710" i="4"/>
  <c r="M1710" i="4"/>
  <c r="G1710" i="4"/>
  <c r="C1710" i="4"/>
  <c r="B1710" i="4"/>
  <c r="AH1709" i="4"/>
  <c r="M1709" i="4"/>
  <c r="G1709" i="4"/>
  <c r="C1709" i="4"/>
  <c r="B1709" i="4"/>
  <c r="AH1708" i="4"/>
  <c r="AC1708" i="4"/>
  <c r="M1708" i="4"/>
  <c r="G1708" i="4"/>
  <c r="C1708" i="4"/>
  <c r="B1708" i="4"/>
  <c r="AH1707" i="4"/>
  <c r="AD1707" i="4"/>
  <c r="AC1707" i="4"/>
  <c r="AB1707" i="4"/>
  <c r="M1707" i="4"/>
  <c r="G1707" i="4"/>
  <c r="C1707" i="4"/>
  <c r="B1707" i="4"/>
  <c r="A1707" i="4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J126" i="6"/>
  <c r="K126" i="6"/>
  <c r="L126" i="6"/>
  <c r="M126" i="6"/>
  <c r="N126" i="6"/>
  <c r="O126" i="6"/>
  <c r="A125" i="7"/>
  <c r="B125" i="7"/>
  <c r="C125" i="7"/>
  <c r="F125" i="7"/>
  <c r="G125" i="7" s="1"/>
  <c r="H125" i="7"/>
  <c r="F127" i="1"/>
  <c r="AB127" i="1"/>
  <c r="AF127" i="1"/>
  <c r="AG127" i="1" s="1"/>
  <c r="AH127" i="1"/>
  <c r="AC1694" i="4"/>
  <c r="AC1695" i="4"/>
  <c r="AC1697" i="4"/>
  <c r="AD1698" i="4"/>
  <c r="AD1699" i="4"/>
  <c r="AC1700" i="4"/>
  <c r="AD1701" i="4"/>
  <c r="AB1702" i="4"/>
  <c r="AD1703" i="4"/>
  <c r="AC1705" i="4"/>
  <c r="AA1695" i="4"/>
  <c r="AA1698" i="4"/>
  <c r="AA1699" i="4"/>
  <c r="AA1700" i="4"/>
  <c r="AA1703" i="4"/>
  <c r="AA1704" i="4"/>
  <c r="AH1706" i="4"/>
  <c r="M1706" i="4"/>
  <c r="G1706" i="4"/>
  <c r="C1706" i="4"/>
  <c r="B1706" i="4"/>
  <c r="AH1705" i="4"/>
  <c r="AA1705" i="4"/>
  <c r="M1705" i="4"/>
  <c r="G1705" i="4"/>
  <c r="C1705" i="4"/>
  <c r="B1705" i="4"/>
  <c r="AH1704" i="4"/>
  <c r="AD1704" i="4"/>
  <c r="AC1704" i="4"/>
  <c r="AB1704" i="4"/>
  <c r="M1704" i="4"/>
  <c r="G1704" i="4"/>
  <c r="C1704" i="4"/>
  <c r="B1704" i="4"/>
  <c r="AH1703" i="4"/>
  <c r="AB1703" i="4"/>
  <c r="M1703" i="4"/>
  <c r="G1703" i="4"/>
  <c r="C1703" i="4"/>
  <c r="B1703" i="4"/>
  <c r="AH1702" i="4"/>
  <c r="AD1702" i="4"/>
  <c r="AC1702" i="4"/>
  <c r="AA1702" i="4"/>
  <c r="M1702" i="4"/>
  <c r="G1702" i="4"/>
  <c r="C1702" i="4"/>
  <c r="B1702" i="4"/>
  <c r="AH1701" i="4"/>
  <c r="AA1701" i="4"/>
  <c r="M1701" i="4"/>
  <c r="G1701" i="4"/>
  <c r="C1701" i="4"/>
  <c r="B1701" i="4"/>
  <c r="AH1700" i="4"/>
  <c r="AD1700" i="4"/>
  <c r="M1700" i="4"/>
  <c r="G1700" i="4"/>
  <c r="C1700" i="4"/>
  <c r="B1700" i="4"/>
  <c r="AH1699" i="4"/>
  <c r="AB1699" i="4"/>
  <c r="M1699" i="4"/>
  <c r="G1699" i="4"/>
  <c r="C1699" i="4"/>
  <c r="B1699" i="4"/>
  <c r="AH1698" i="4"/>
  <c r="AC1698" i="4"/>
  <c r="M1698" i="4"/>
  <c r="G1698" i="4"/>
  <c r="C1698" i="4"/>
  <c r="B1698" i="4"/>
  <c r="AH1697" i="4"/>
  <c r="AD1697" i="4"/>
  <c r="AA1697" i="4"/>
  <c r="M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M1696" i="4"/>
  <c r="G1696" i="4"/>
  <c r="C1696" i="4"/>
  <c r="B1696" i="4"/>
  <c r="A1696" i="4"/>
  <c r="AH1695" i="4"/>
  <c r="M1695" i="4"/>
  <c r="G1695" i="4"/>
  <c r="C1695" i="4"/>
  <c r="B1695" i="4"/>
  <c r="A1695" i="4"/>
  <c r="AH1694" i="4"/>
  <c r="AD1694" i="4"/>
  <c r="AA1694" i="4"/>
  <c r="M1694" i="4"/>
  <c r="G1694" i="4"/>
  <c r="C1694" i="4"/>
  <c r="B1694" i="4"/>
  <c r="A1694" i="4"/>
  <c r="A124" i="7"/>
  <c r="C124" i="7"/>
  <c r="F124" i="7"/>
  <c r="G124" i="7" s="1"/>
  <c r="H124" i="7"/>
  <c r="B124" i="7" s="1"/>
  <c r="A123" i="7"/>
  <c r="B123" i="7"/>
  <c r="C123" i="7"/>
  <c r="F123" i="7"/>
  <c r="G123" i="7" s="1"/>
  <c r="H123" i="7"/>
  <c r="G126" i="6"/>
  <c r="H126" i="6"/>
  <c r="A126" i="6" s="1"/>
  <c r="I126" i="6"/>
  <c r="A125" i="6"/>
  <c r="B125" i="6"/>
  <c r="C125" i="6"/>
  <c r="G125" i="6"/>
  <c r="H125" i="6"/>
  <c r="I125" i="6"/>
  <c r="J125" i="6"/>
  <c r="K125" i="6"/>
  <c r="L125" i="6"/>
  <c r="M125" i="6"/>
  <c r="N125" i="6"/>
  <c r="O125" i="6"/>
  <c r="A124" i="6"/>
  <c r="B124" i="6"/>
  <c r="C124" i="6"/>
  <c r="G124" i="6"/>
  <c r="H124" i="6"/>
  <c r="I124" i="6"/>
  <c r="J124" i="6"/>
  <c r="K124" i="6"/>
  <c r="L124" i="6"/>
  <c r="M124" i="6"/>
  <c r="N124" i="6"/>
  <c r="O124" i="6"/>
  <c r="F126" i="1"/>
  <c r="AB126" i="1"/>
  <c r="AF126" i="1"/>
  <c r="AG126" i="1" s="1"/>
  <c r="AH126" i="1"/>
  <c r="AC1681" i="4"/>
  <c r="AD1682" i="4"/>
  <c r="AC1684" i="4"/>
  <c r="AD1685" i="4"/>
  <c r="AD1686" i="4"/>
  <c r="AC1687" i="4"/>
  <c r="AD1688" i="4"/>
  <c r="AB1689" i="4"/>
  <c r="AC1690" i="4"/>
  <c r="AD1691" i="4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A1681" i="4"/>
  <c r="M1681" i="4"/>
  <c r="G1681" i="4"/>
  <c r="C1681" i="4"/>
  <c r="B1681" i="4"/>
  <c r="A1681" i="4"/>
  <c r="F125" i="1"/>
  <c r="AB125" i="1"/>
  <c r="AF125" i="1"/>
  <c r="AG125" i="1" s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F124" i="1"/>
  <c r="AG124" i="1" s="1"/>
  <c r="AH124" i="1"/>
  <c r="AB1668" i="4"/>
  <c r="AD1669" i="4"/>
  <c r="AA1671" i="4"/>
  <c r="AC1672" i="4"/>
  <c r="AD1673" i="4"/>
  <c r="AB1674" i="4"/>
  <c r="AD1675" i="4"/>
  <c r="AD1676" i="4"/>
  <c r="AB1677" i="4"/>
  <c r="AD1678" i="4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K28" i="21" l="1"/>
  <c r="AI1740" i="4"/>
  <c r="AI1751" i="4"/>
  <c r="AI1753" i="4"/>
  <c r="AI1739" i="4"/>
  <c r="AI1749" i="4"/>
  <c r="AI1750" i="4"/>
  <c r="AI1752" i="4"/>
  <c r="AI1710" i="4"/>
  <c r="AI1746" i="4"/>
  <c r="AI1747" i="4"/>
  <c r="T128" i="7"/>
  <c r="Q127" i="6"/>
  <c r="R126" i="7" s="1"/>
  <c r="Q128" i="6"/>
  <c r="R127" i="7" s="1"/>
  <c r="P129" i="6"/>
  <c r="P127" i="6"/>
  <c r="M128" i="7"/>
  <c r="K128" i="7"/>
  <c r="AC50" i="22"/>
  <c r="AC49" i="22"/>
  <c r="AE50" i="22"/>
  <c r="AC9" i="22"/>
  <c r="AC48" i="22"/>
  <c r="AA1757" i="4"/>
  <c r="AB1757" i="4"/>
  <c r="AC1757" i="4"/>
  <c r="AB1756" i="4"/>
  <c r="AB1755" i="4"/>
  <c r="AC1755" i="4"/>
  <c r="AC1754" i="4"/>
  <c r="AB1753" i="4"/>
  <c r="AC1753" i="4"/>
  <c r="AB1752" i="4"/>
  <c r="AC1752" i="4"/>
  <c r="AB1750" i="4"/>
  <c r="AC1750" i="4"/>
  <c r="AC1749" i="4"/>
  <c r="AB1747" i="4"/>
  <c r="AC1747" i="4"/>
  <c r="AC1746" i="4"/>
  <c r="AI1733" i="4"/>
  <c r="AA1740" i="4"/>
  <c r="AI1741" i="4"/>
  <c r="AI1734" i="4"/>
  <c r="AI1742" i="4"/>
  <c r="AA1736" i="4"/>
  <c r="AI1737" i="4"/>
  <c r="AA1744" i="4"/>
  <c r="AI1744" i="4"/>
  <c r="AA1737" i="4"/>
  <c r="AI1738" i="4"/>
  <c r="AI1736" i="4"/>
  <c r="AA1743" i="4"/>
  <c r="AA1741" i="4"/>
  <c r="AA1734" i="4"/>
  <c r="AA1733" i="4"/>
  <c r="AI1692" i="4"/>
  <c r="AB1733" i="4"/>
  <c r="AB1734" i="4"/>
  <c r="AB1736" i="4"/>
  <c r="AB1737" i="4"/>
  <c r="AB1738" i="4"/>
  <c r="AB1739" i="4"/>
  <c r="AB1740" i="4"/>
  <c r="AB1741" i="4"/>
  <c r="AB1742" i="4"/>
  <c r="AB1743" i="4"/>
  <c r="AB1744" i="4"/>
  <c r="AC1733" i="4"/>
  <c r="AC1734" i="4"/>
  <c r="AC1736" i="4"/>
  <c r="AC1737" i="4"/>
  <c r="AC1738" i="4"/>
  <c r="AC1739" i="4"/>
  <c r="AC1740" i="4"/>
  <c r="AC1741" i="4"/>
  <c r="AC1742" i="4"/>
  <c r="AC1743" i="4"/>
  <c r="AC1744" i="4"/>
  <c r="AI1714" i="4"/>
  <c r="AI1704" i="4"/>
  <c r="AI1699" i="4"/>
  <c r="AI1713" i="4"/>
  <c r="AI1718" i="4"/>
  <c r="AI1678" i="4"/>
  <c r="AI1686" i="4"/>
  <c r="AI1698" i="4"/>
  <c r="AI1716" i="4"/>
  <c r="AI1711" i="4"/>
  <c r="AI1676" i="4"/>
  <c r="AI1712" i="4"/>
  <c r="AI1717" i="4"/>
  <c r="AI1708" i="4"/>
  <c r="AI1707" i="4"/>
  <c r="AI1715" i="4"/>
  <c r="AC47" i="22"/>
  <c r="AC7" i="22"/>
  <c r="AE2" i="22"/>
  <c r="AC15" i="22"/>
  <c r="AC46" i="22"/>
  <c r="AC38" i="22"/>
  <c r="AC36" i="22"/>
  <c r="AC28" i="22"/>
  <c r="AC45" i="22"/>
  <c r="AC21" i="22"/>
  <c r="AC44" i="22"/>
  <c r="AC20" i="22"/>
  <c r="K2" i="22"/>
  <c r="AC10" i="22"/>
  <c r="AC34" i="22"/>
  <c r="AC33" i="22"/>
  <c r="AC30" i="22"/>
  <c r="C128" i="7"/>
  <c r="B128" i="7"/>
  <c r="F127" i="7"/>
  <c r="G127" i="7" s="1"/>
  <c r="F126" i="7"/>
  <c r="G126" i="7" s="1"/>
  <c r="C126" i="7"/>
  <c r="B126" i="7"/>
  <c r="Q129" i="6"/>
  <c r="C129" i="6"/>
  <c r="P128" i="6"/>
  <c r="C128" i="6"/>
  <c r="B128" i="6"/>
  <c r="C127" i="6"/>
  <c r="B127" i="6"/>
  <c r="AE117" i="1"/>
  <c r="Q126" i="6"/>
  <c r="U125" i="7" s="1"/>
  <c r="AE127" i="1"/>
  <c r="AE128" i="1"/>
  <c r="AK3" i="21"/>
  <c r="AK11" i="21"/>
  <c r="AK27" i="21"/>
  <c r="AC5" i="22"/>
  <c r="AC42" i="22"/>
  <c r="AC41" i="22"/>
  <c r="AC29" i="22"/>
  <c r="AC22" i="22"/>
  <c r="AC35" i="22"/>
  <c r="AC43" i="22"/>
  <c r="AC31" i="22"/>
  <c r="AC19" i="22"/>
  <c r="AC40" i="22"/>
  <c r="AC8" i="22"/>
  <c r="AC14" i="22"/>
  <c r="AC6" i="22"/>
  <c r="AC2" i="22"/>
  <c r="H41" i="22"/>
  <c r="H29" i="22"/>
  <c r="H17" i="22"/>
  <c r="H12" i="22"/>
  <c r="H4" i="22"/>
  <c r="H37" i="22"/>
  <c r="H25" i="22"/>
  <c r="AK25" i="21"/>
  <c r="AK15" i="21"/>
  <c r="AK17" i="21"/>
  <c r="AK7" i="21"/>
  <c r="AK19" i="21"/>
  <c r="AK12" i="21"/>
  <c r="AK2" i="21"/>
  <c r="AK14" i="21"/>
  <c r="AK26" i="21"/>
  <c r="AK9" i="21"/>
  <c r="AK4" i="21"/>
  <c r="AK8" i="21"/>
  <c r="AK16" i="21"/>
  <c r="AK24" i="21"/>
  <c r="AK21" i="21"/>
  <c r="AK23" i="21"/>
  <c r="AK6" i="21"/>
  <c r="AK18" i="21"/>
  <c r="AK20" i="21"/>
  <c r="AK13" i="21"/>
  <c r="H23" i="21"/>
  <c r="AK10" i="21"/>
  <c r="H20" i="21"/>
  <c r="H17" i="21"/>
  <c r="H14" i="21"/>
  <c r="H11" i="21"/>
  <c r="H8" i="21"/>
  <c r="H2" i="21"/>
  <c r="H5" i="21"/>
  <c r="H26" i="21"/>
  <c r="H13" i="22"/>
  <c r="H3" i="22"/>
  <c r="H15" i="22"/>
  <c r="H14" i="22"/>
  <c r="H2" i="22"/>
  <c r="AE126" i="1"/>
  <c r="AB1718" i="4"/>
  <c r="AC1717" i="4"/>
  <c r="AB1716" i="4"/>
  <c r="AB1713" i="4"/>
  <c r="AA1713" i="4"/>
  <c r="AC1713" i="4"/>
  <c r="AB1711" i="4"/>
  <c r="AC1711" i="4"/>
  <c r="AB1710" i="4"/>
  <c r="AB1708" i="4"/>
  <c r="AI1674" i="4"/>
  <c r="AI1685" i="4"/>
  <c r="AI1697" i="4"/>
  <c r="AI1702" i="4"/>
  <c r="AA1715" i="4"/>
  <c r="AI1626" i="4"/>
  <c r="AI1684" i="4"/>
  <c r="AB1715" i="4"/>
  <c r="AI1675" i="4"/>
  <c r="AI1691" i="4"/>
  <c r="AI1682" i="4"/>
  <c r="AI1700" i="4"/>
  <c r="AI1703" i="4"/>
  <c r="AA1714" i="4"/>
  <c r="AC1715" i="4"/>
  <c r="AB1714" i="4"/>
  <c r="AI1672" i="4"/>
  <c r="AI1673" i="4"/>
  <c r="AI1687" i="4"/>
  <c r="AI1694" i="4"/>
  <c r="AI1701" i="4"/>
  <c r="AC1714" i="4"/>
  <c r="AI1681" i="4"/>
  <c r="AI1690" i="4"/>
  <c r="AI1688" i="4"/>
  <c r="R125" i="7"/>
  <c r="S125" i="7"/>
  <c r="P126" i="6"/>
  <c r="Q125" i="7" s="1"/>
  <c r="Q125" i="6"/>
  <c r="P125" i="6"/>
  <c r="M124" i="7" s="1"/>
  <c r="Q124" i="6"/>
  <c r="T123" i="7" s="1"/>
  <c r="P124" i="6"/>
  <c r="P123" i="7" s="1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C126" i="6"/>
  <c r="B126" i="6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O126" i="7" l="1"/>
  <c r="P126" i="7"/>
  <c r="M126" i="7"/>
  <c r="N126" i="7"/>
  <c r="K126" i="7"/>
  <c r="J127" i="7"/>
  <c r="P127" i="7"/>
  <c r="K127" i="7"/>
  <c r="J128" i="7"/>
  <c r="L128" i="7"/>
  <c r="O128" i="7"/>
  <c r="P128" i="7"/>
  <c r="M127" i="7"/>
  <c r="N127" i="7"/>
  <c r="Q127" i="7"/>
  <c r="R128" i="7"/>
  <c r="Q128" i="7"/>
  <c r="S127" i="7"/>
  <c r="L126" i="7"/>
  <c r="U128" i="7"/>
  <c r="N128" i="7"/>
  <c r="U126" i="7"/>
  <c r="Q126" i="7"/>
  <c r="S126" i="7"/>
  <c r="T127" i="7"/>
  <c r="O127" i="7"/>
  <c r="S128" i="7"/>
  <c r="U127" i="7"/>
  <c r="J126" i="7"/>
  <c r="L127" i="7"/>
  <c r="T126" i="7"/>
  <c r="S123" i="7"/>
  <c r="T125" i="7"/>
  <c r="L124" i="7"/>
  <c r="O125" i="7"/>
  <c r="M125" i="7"/>
  <c r="J125" i="7"/>
  <c r="P125" i="7"/>
  <c r="K125" i="7"/>
  <c r="L125" i="7"/>
  <c r="N125" i="7"/>
  <c r="Q124" i="7"/>
  <c r="R124" i="7"/>
  <c r="O124" i="7"/>
  <c r="S124" i="7"/>
  <c r="Q123" i="7"/>
  <c r="M123" i="7"/>
  <c r="T124" i="7"/>
  <c r="U123" i="7"/>
  <c r="J123" i="7"/>
  <c r="P124" i="7"/>
  <c r="J124" i="7"/>
  <c r="N123" i="7"/>
  <c r="U124" i="7"/>
  <c r="N124" i="7"/>
  <c r="K124" i="7"/>
  <c r="K123" i="7"/>
  <c r="L123" i="7"/>
  <c r="O123" i="7"/>
  <c r="R123" i="7"/>
  <c r="T113" i="7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AD1135" i="4" l="1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A68" i="7" l="1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E33" i="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AA2" i="18" s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O2" i="18" l="1"/>
  <c r="R2" i="18"/>
  <c r="AE32" i="22"/>
  <c r="AE34" i="22"/>
  <c r="AE31" i="22"/>
  <c r="AE33" i="22"/>
  <c r="AE35" i="22"/>
  <c r="AM19" i="21"/>
  <c r="AE36" i="22"/>
  <c r="AM20" i="21"/>
  <c r="AE37" i="22"/>
  <c r="AM21" i="21"/>
  <c r="AM22" i="21"/>
  <c r="AE38" i="22"/>
  <c r="AE39" i="22"/>
  <c r="AE28" i="22"/>
  <c r="AE40" i="22"/>
  <c r="AE29" i="22"/>
  <c r="AE41" i="22"/>
  <c r="AE30" i="22"/>
  <c r="AE20" i="22"/>
  <c r="AM4" i="21"/>
  <c r="AM16" i="21"/>
  <c r="AE21" i="22"/>
  <c r="AM5" i="21"/>
  <c r="AM17" i="21"/>
  <c r="AE22" i="22"/>
  <c r="AM6" i="21"/>
  <c r="AM18" i="21"/>
  <c r="AE23" i="22"/>
  <c r="AM7" i="21"/>
  <c r="AE24" i="22"/>
  <c r="AM8" i="21"/>
  <c r="AE25" i="22"/>
  <c r="AM9" i="21"/>
  <c r="AE26" i="22"/>
  <c r="AM10" i="21"/>
  <c r="AM14" i="21"/>
  <c r="AE19" i="22"/>
  <c r="AE15" i="22"/>
  <c r="AE27" i="22"/>
  <c r="AM11" i="21"/>
  <c r="AE18" i="22"/>
  <c r="AM2" i="21"/>
  <c r="AM15" i="21"/>
  <c r="AE16" i="22"/>
  <c r="AM12" i="21"/>
  <c r="AM3" i="21"/>
  <c r="AE17" i="22"/>
  <c r="AM13" i="21"/>
  <c r="AE8" i="22"/>
  <c r="AE9" i="22"/>
  <c r="AE10" i="22"/>
  <c r="AE11" i="22"/>
  <c r="AE12" i="22"/>
  <c r="AE13" i="22"/>
  <c r="AE14" i="22"/>
  <c r="AE3" i="22"/>
  <c r="AE4" i="22"/>
  <c r="AE6" i="22"/>
  <c r="AE5" i="22"/>
  <c r="AE7" i="22"/>
  <c r="AE44" i="22"/>
  <c r="AE45" i="22"/>
  <c r="AE46" i="22"/>
  <c r="AM27" i="21"/>
  <c r="AE42" i="22"/>
  <c r="AE43" i="22"/>
  <c r="AM23" i="21"/>
  <c r="AM24" i="21"/>
  <c r="AM26" i="21"/>
  <c r="AM25" i="21"/>
  <c r="B10" i="15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C209" i="18"/>
  <c r="B209" i="18"/>
  <c r="D209" i="18"/>
  <c r="E209" i="18"/>
  <c r="E251" i="18" l="1"/>
  <c r="H16" i="15"/>
  <c r="B15" i="15"/>
  <c r="C15" i="15"/>
  <c r="H12" i="7"/>
  <c r="F11" i="7"/>
  <c r="G11" i="7" s="1"/>
  <c r="C11" i="7"/>
  <c r="D251" i="18"/>
  <c r="AE251" i="18" s="1"/>
  <c r="C251" i="18"/>
  <c r="B251" i="18"/>
  <c r="AD208" i="18"/>
  <c r="AR208" i="18"/>
  <c r="AH208" i="18"/>
  <c r="AD209" i="18"/>
  <c r="AR209" i="18"/>
  <c r="AE208" i="18"/>
  <c r="AC208" i="18"/>
  <c r="AG208" i="18"/>
  <c r="AF208" i="18"/>
  <c r="AH251" i="18"/>
  <c r="AG251" i="18"/>
  <c r="AC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AR251" i="18" l="1"/>
  <c r="AD251" i="18"/>
  <c r="AF251" i="18"/>
  <c r="H17" i="15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B315" i="18"/>
  <c r="A316" i="18"/>
  <c r="D315" i="18"/>
  <c r="C315" i="18"/>
  <c r="E315" i="18"/>
  <c r="AD315" i="18" l="1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AR40" i="18"/>
  <c r="AH40" i="18"/>
  <c r="AG40" i="18"/>
  <c r="AC40" i="18"/>
  <c r="AE40" i="18"/>
  <c r="AF40" i="18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C9" i="13" s="1"/>
  <c r="D7" i="17" s="1"/>
  <c r="AR125" i="18"/>
  <c r="AH125" i="18"/>
  <c r="C24" i="13" s="1"/>
  <c r="D22" i="17" s="1"/>
  <c r="AG125" i="18"/>
  <c r="C21" i="13" s="1"/>
  <c r="D21" i="17" s="1"/>
  <c r="AC125" i="18"/>
  <c r="C18" i="13" s="1"/>
  <c r="D30" i="17" s="1"/>
  <c r="AE125" i="18"/>
  <c r="C15" i="13" s="1"/>
  <c r="AF125" i="18"/>
  <c r="C12" i="13" s="1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A3" i="18" l="1"/>
  <c r="AT3" i="18"/>
  <c r="A5" i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J9" i="4"/>
  <c r="X14" i="4"/>
  <c r="I9" i="4"/>
  <c r="W29" i="4"/>
  <c r="X33" i="4"/>
  <c r="J32" i="4"/>
  <c r="J20" i="4"/>
  <c r="J4" i="4"/>
  <c r="W15" i="4"/>
  <c r="J13" i="4"/>
  <c r="W28" i="4"/>
  <c r="I26" i="4"/>
  <c r="AA51" i="4"/>
  <c r="W32" i="4"/>
  <c r="X30" i="4"/>
  <c r="J18" i="4"/>
  <c r="AA26" i="4"/>
  <c r="X18" i="4"/>
  <c r="X47" i="4"/>
  <c r="W14" i="4"/>
  <c r="J21" i="4"/>
  <c r="I5" i="4"/>
  <c r="J17" i="4"/>
  <c r="I15" i="4"/>
  <c r="X31" i="4"/>
  <c r="X32" i="4"/>
  <c r="J26" i="4"/>
  <c r="W33" i="4"/>
  <c r="J6" i="4"/>
  <c r="I17" i="4"/>
  <c r="J7" i="4"/>
  <c r="I18" i="4"/>
  <c r="W30" i="4"/>
  <c r="AA22" i="4"/>
  <c r="I19" i="4"/>
  <c r="W44" i="4"/>
  <c r="I12" i="4"/>
  <c r="J14" i="4"/>
  <c r="I6" i="4"/>
  <c r="I21" i="4"/>
  <c r="J33" i="4"/>
  <c r="I14" i="4"/>
  <c r="AA56" i="4"/>
  <c r="J27" i="4"/>
  <c r="AA57" i="4"/>
  <c r="J15" i="4"/>
  <c r="AA25" i="4"/>
  <c r="X16" i="4"/>
  <c r="J10" i="4"/>
  <c r="J41" i="4"/>
  <c r="I13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W18" i="4"/>
  <c r="J16" i="4"/>
  <c r="I16" i="4"/>
  <c r="I43" i="4"/>
  <c r="W48" i="4"/>
  <c r="AA41" i="4"/>
  <c r="I40" i="4"/>
  <c r="I20" i="4"/>
  <c r="X43" i="4"/>
  <c r="X28" i="4"/>
  <c r="J31" i="4"/>
  <c r="I38" i="4"/>
  <c r="F3" i="18"/>
  <c r="F2" i="18"/>
  <c r="Y3" i="18"/>
  <c r="AB2" i="18"/>
  <c r="K2" i="18"/>
  <c r="K3" i="18"/>
  <c r="Z2" i="18"/>
  <c r="K4" i="18"/>
  <c r="AB3" i="18"/>
  <c r="L2" i="18"/>
  <c r="M2" i="18"/>
  <c r="M3" i="18"/>
  <c r="Y2" i="18"/>
  <c r="X2" i="18"/>
  <c r="N3" i="18"/>
  <c r="L4" i="18"/>
  <c r="X3" i="18"/>
  <c r="N4" i="18"/>
  <c r="Z3" i="18"/>
  <c r="N2" i="18"/>
  <c r="L3" i="18"/>
  <c r="X4" i="18" l="1"/>
  <c r="F4" i="18"/>
  <c r="J44" i="4"/>
  <c r="I41" i="4"/>
  <c r="K41" i="4" s="1"/>
  <c r="X48" i="4"/>
  <c r="AA48" i="4" s="1"/>
  <c r="W43" i="4"/>
  <c r="AB43" i="4" s="1"/>
  <c r="I42" i="4"/>
  <c r="J39" i="4"/>
  <c r="I45" i="4"/>
  <c r="I47" i="4"/>
  <c r="M4" i="18"/>
  <c r="AB4" i="18"/>
  <c r="W46" i="4"/>
  <c r="AD46" i="4" s="1"/>
  <c r="AI46" i="4" s="1"/>
  <c r="J37" i="4"/>
  <c r="J46" i="4"/>
  <c r="K46" i="4" s="1"/>
  <c r="R3" i="18"/>
  <c r="O3" i="18"/>
  <c r="Z4" i="18"/>
  <c r="Y4" i="18"/>
  <c r="X46" i="4"/>
  <c r="I48" i="4"/>
  <c r="K48" i="4" s="1"/>
  <c r="J36" i="4"/>
  <c r="I36" i="4"/>
  <c r="I44" i="4"/>
  <c r="AT4" i="18"/>
  <c r="AA4" i="18"/>
  <c r="W4" i="18" s="1"/>
  <c r="J42" i="4"/>
  <c r="X45" i="4"/>
  <c r="W45" i="4"/>
  <c r="AB45" i="4" s="1"/>
  <c r="I39" i="4"/>
  <c r="J43" i="4"/>
  <c r="K43" i="4" s="1"/>
  <c r="I37" i="4"/>
  <c r="J47" i="4"/>
  <c r="J40" i="4"/>
  <c r="K40" i="4" s="1"/>
  <c r="J35" i="4"/>
  <c r="I35" i="4"/>
  <c r="I4" i="18"/>
  <c r="G4" i="18"/>
  <c r="W47" i="4"/>
  <c r="AA47" i="4" s="1"/>
  <c r="J45" i="4"/>
  <c r="B6" i="1"/>
  <c r="A6" i="1"/>
  <c r="G7" i="1"/>
  <c r="K30" i="4"/>
  <c r="W3" i="18"/>
  <c r="U3" i="18"/>
  <c r="K27" i="4"/>
  <c r="W2" i="18"/>
  <c r="U2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31" i="4"/>
  <c r="K11" i="4"/>
  <c r="K33" i="4"/>
  <c r="K7" i="4"/>
  <c r="AA16" i="4"/>
  <c r="AA31" i="4"/>
  <c r="AA12" i="4"/>
  <c r="AA19" i="4"/>
  <c r="AA11" i="4"/>
  <c r="AA6" i="4"/>
  <c r="K4" i="4"/>
  <c r="AA15" i="4"/>
  <c r="AA55" i="4"/>
  <c r="AA32" i="4"/>
  <c r="K6" i="4"/>
  <c r="AA23" i="4"/>
  <c r="K12" i="4"/>
  <c r="K5" i="4"/>
  <c r="K15" i="4"/>
  <c r="K25" i="4"/>
  <c r="AA21" i="4"/>
  <c r="AA28" i="4"/>
  <c r="AA13" i="4"/>
  <c r="K18" i="4"/>
  <c r="K14" i="4"/>
  <c r="AA35" i="4"/>
  <c r="K21" i="4"/>
  <c r="AA54" i="4"/>
  <c r="K38" i="4"/>
  <c r="K17" i="4"/>
  <c r="AA49" i="4"/>
  <c r="K16" i="4"/>
  <c r="AA50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C46" i="4"/>
  <c r="AB38" i="4"/>
  <c r="AC38" i="4"/>
  <c r="AD38" i="4"/>
  <c r="AI38" i="4" s="1"/>
  <c r="AD24" i="4"/>
  <c r="AI24" i="4" s="1"/>
  <c r="AC24" i="4"/>
  <c r="AB24" i="4"/>
  <c r="AA52" i="4"/>
  <c r="AA20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2" i="4"/>
  <c r="AB49" i="4"/>
  <c r="AC49" i="4"/>
  <c r="AD49" i="4"/>
  <c r="AI49" i="4" s="1"/>
  <c r="AA36" i="4"/>
  <c r="K22" i="4"/>
  <c r="AA38" i="4"/>
  <c r="K10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AC43" i="4" l="1"/>
  <c r="AD45" i="4"/>
  <c r="AI45" i="4" s="1"/>
  <c r="K47" i="4"/>
  <c r="AA46" i="4"/>
  <c r="AB46" i="4"/>
  <c r="AD43" i="4"/>
  <c r="AI43" i="4" s="1"/>
  <c r="AA43" i="4"/>
  <c r="K36" i="4"/>
  <c r="K45" i="4"/>
  <c r="K37" i="4"/>
  <c r="K44" i="4"/>
  <c r="U4" i="18"/>
  <c r="K39" i="4"/>
  <c r="K42" i="4"/>
  <c r="AT5" i="18"/>
  <c r="AA5" i="18"/>
  <c r="AA45" i="4"/>
  <c r="R4" i="18"/>
  <c r="O4" i="18"/>
  <c r="AC45" i="4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R5" i="18" l="1"/>
  <c r="O5" i="18"/>
  <c r="AT6" i="18"/>
  <c r="AA6" i="18"/>
  <c r="W6" i="18" s="1"/>
  <c r="T2" i="18"/>
  <c r="F6" i="18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AD58" i="4"/>
  <c r="AI58" i="4" s="1"/>
  <c r="AB58" i="4"/>
  <c r="AC58" i="4"/>
  <c r="K61" i="4"/>
  <c r="AD59" i="4"/>
  <c r="AI59" i="4" s="1"/>
  <c r="AC59" i="4"/>
  <c r="AB59" i="4"/>
  <c r="K58" i="4"/>
  <c r="G9" i="1"/>
  <c r="AA7" i="18" l="1"/>
  <c r="AT7" i="18"/>
  <c r="R6" i="18"/>
  <c r="O6" i="18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AA8" i="18" l="1"/>
  <c r="R7" i="18"/>
  <c r="O7" i="18"/>
  <c r="I105" i="4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O8" i="18" l="1"/>
  <c r="R8" i="18"/>
  <c r="K105" i="4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J138" i="4"/>
  <c r="I125" i="4"/>
  <c r="K10" i="18"/>
  <c r="X10" i="18"/>
  <c r="I135" i="4"/>
  <c r="J128" i="4"/>
  <c r="J131" i="4"/>
  <c r="X136" i="4"/>
  <c r="F10" i="18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AD122" i="4"/>
  <c r="AI122" i="4" s="1"/>
  <c r="AB122" i="4"/>
  <c r="AC122" i="4"/>
  <c r="K122" i="4"/>
  <c r="AD123" i="4"/>
  <c r="AI123" i="4" s="1"/>
  <c r="AC123" i="4"/>
  <c r="AB123" i="4"/>
  <c r="K112" i="4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AD138" i="4"/>
  <c r="AI138" i="4" s="1"/>
  <c r="K134" i="4"/>
  <c r="AA138" i="4"/>
  <c r="K135" i="4"/>
  <c r="AA135" i="4"/>
  <c r="J145" i="4"/>
  <c r="AA137" i="4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J139" i="4"/>
  <c r="J154" i="4" l="1"/>
  <c r="X163" i="4"/>
  <c r="I167" i="4"/>
  <c r="I164" i="4"/>
  <c r="J165" i="4"/>
  <c r="K141" i="4"/>
  <c r="J163" i="4"/>
  <c r="F12" i="18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54" i="4" l="1"/>
  <c r="K165" i="4"/>
  <c r="K167" i="4"/>
  <c r="K164" i="4"/>
  <c r="AA163" i="4"/>
  <c r="K163" i="4"/>
  <c r="AA165" i="4"/>
  <c r="AA166" i="4"/>
  <c r="K155" i="4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182" i="4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W183" i="4"/>
  <c r="T11" i="18"/>
  <c r="T12" i="18" l="1"/>
  <c r="J192" i="4"/>
  <c r="M14" i="18"/>
  <c r="F14" i="18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X193" i="4"/>
  <c r="W197" i="4"/>
  <c r="AB197" i="4" s="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W195" i="4"/>
  <c r="AC195" i="4" s="1"/>
  <c r="W196" i="4"/>
  <c r="AB196" i="4" s="1"/>
  <c r="J187" i="4"/>
  <c r="N14" i="18"/>
  <c r="I191" i="4"/>
  <c r="J197" i="4"/>
  <c r="X197" i="4"/>
  <c r="K14" i="18"/>
  <c r="J185" i="4"/>
  <c r="G14" i="18"/>
  <c r="AB14" i="18"/>
  <c r="Y14" i="18"/>
  <c r="L14" i="18"/>
  <c r="I190" i="4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K196" i="4" l="1"/>
  <c r="K194" i="4"/>
  <c r="K192" i="4"/>
  <c r="K198" i="4"/>
  <c r="K184" i="4"/>
  <c r="K190" i="4"/>
  <c r="K187" i="4"/>
  <c r="AD197" i="4"/>
  <c r="AI197" i="4" s="1"/>
  <c r="AA195" i="4"/>
  <c r="AB198" i="4"/>
  <c r="AA198" i="4"/>
  <c r="K185" i="4"/>
  <c r="AC196" i="4"/>
  <c r="AC198" i="4"/>
  <c r="K189" i="4"/>
  <c r="AB195" i="4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J204" i="4"/>
  <c r="W209" i="4"/>
  <c r="J210" i="4"/>
  <c r="X213" i="4"/>
  <c r="I208" i="4"/>
  <c r="J207" i="4"/>
  <c r="I207" i="4"/>
  <c r="W212" i="4"/>
  <c r="I200" i="4"/>
  <c r="L15" i="18"/>
  <c r="W211" i="4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AA24" i="19"/>
  <c r="K201" i="4"/>
  <c r="AA208" i="4"/>
  <c r="AA213" i="4"/>
  <c r="K203" i="4"/>
  <c r="K202" i="4"/>
  <c r="K211" i="4"/>
  <c r="AA211" i="4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K199" i="4"/>
  <c r="K209" i="4"/>
  <c r="AB212" i="4"/>
  <c r="AC212" i="4"/>
  <c r="AD212" i="4"/>
  <c r="AI212" i="4" s="1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W242" i="4"/>
  <c r="W239" i="4"/>
  <c r="J229" i="4"/>
  <c r="J240" i="4"/>
  <c r="I252" i="4" l="1"/>
  <c r="W252" i="4"/>
  <c r="AC252" i="4" s="1"/>
  <c r="G18" i="18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AB255" i="4"/>
  <c r="K254" i="4"/>
  <c r="AD255" i="4"/>
  <c r="AI255" i="4" s="1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J296" i="4"/>
  <c r="H5" i="14"/>
  <c r="C5" i="6"/>
  <c r="H6" i="6"/>
  <c r="A6" i="6" l="1"/>
  <c r="B6" i="6"/>
  <c r="T20" i="18"/>
  <c r="F22" i="18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K302" i="4"/>
  <c r="AD310" i="4"/>
  <c r="AI310" i="4" s="1"/>
  <c r="AD313" i="4"/>
  <c r="AI313" i="4" s="1"/>
  <c r="K309" i="4"/>
  <c r="K311" i="4"/>
  <c r="AA313" i="4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K325" i="4"/>
  <c r="AA325" i="4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K328" i="4"/>
  <c r="K334" i="4"/>
  <c r="AD338" i="4"/>
  <c r="AI338" i="4" s="1"/>
  <c r="AA336" i="4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674" i="4"/>
  <c r="I671" i="4"/>
  <c r="J675" i="4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382" i="4"/>
  <c r="J483" i="4"/>
  <c r="L32" i="18"/>
  <c r="AB29" i="18"/>
  <c r="J520" i="4"/>
  <c r="L50" i="18"/>
  <c r="I479" i="4"/>
  <c r="I423" i="4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I480" i="4"/>
  <c r="Y51" i="18"/>
  <c r="I555" i="4"/>
  <c r="I472" i="4"/>
  <c r="L37" i="18"/>
  <c r="I473" i="4"/>
  <c r="AB37" i="18"/>
  <c r="J543" i="4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X50" i="18"/>
  <c r="I373" i="4"/>
  <c r="I385" i="4"/>
  <c r="Y46" i="18"/>
  <c r="X44" i="18"/>
  <c r="Z56" i="18"/>
  <c r="I441" i="4"/>
  <c r="Z69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I54" i="18"/>
  <c r="J525" i="4"/>
  <c r="J509" i="4"/>
  <c r="I39" i="18"/>
  <c r="W425" i="4"/>
  <c r="J482" i="4"/>
  <c r="J365" i="4"/>
  <c r="J416" i="4"/>
  <c r="F57" i="18"/>
  <c r="X455" i="4"/>
  <c r="I554" i="4"/>
  <c r="I455" i="4"/>
  <c r="I356" i="4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I548" i="4"/>
  <c r="I446" i="4"/>
  <c r="I489" i="4"/>
  <c r="K48" i="18"/>
  <c r="I421" i="4"/>
  <c r="L26" i="18"/>
  <c r="M40" i="18"/>
  <c r="Z59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471" i="4"/>
  <c r="X67" i="18"/>
  <c r="G45" i="18"/>
  <c r="J433" i="4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J355" i="4"/>
  <c r="J501" i="4"/>
  <c r="I384" i="4"/>
  <c r="I497" i="4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I352" i="4"/>
  <c r="Z41" i="18"/>
  <c r="Y52" i="18"/>
  <c r="J378" i="4"/>
  <c r="I429" i="4"/>
  <c r="J526" i="4"/>
  <c r="F53" i="18"/>
  <c r="G43" i="18"/>
  <c r="I409" i="4"/>
  <c r="J384" i="4"/>
  <c r="N47" i="18"/>
  <c r="I532" i="4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M67" i="18"/>
  <c r="I415" i="4"/>
  <c r="I521" i="4"/>
  <c r="J559" i="4"/>
  <c r="X542" i="4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X531" i="4"/>
  <c r="J457" i="4"/>
  <c r="I418" i="4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I574" i="4"/>
  <c r="N29" i="18"/>
  <c r="I514" i="4"/>
  <c r="F31" i="18"/>
  <c r="I357" i="4"/>
  <c r="J465" i="4"/>
  <c r="L41" i="18"/>
  <c r="G60" i="18"/>
  <c r="J490" i="4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W544" i="4"/>
  <c r="I428" i="4"/>
  <c r="N44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342" i="4"/>
  <c r="Z30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J553" i="4"/>
  <c r="N27" i="18"/>
  <c r="I31" i="18"/>
  <c r="I440" i="4"/>
  <c r="Y50" i="18"/>
  <c r="I492" i="4"/>
  <c r="G44" i="18"/>
  <c r="I478" i="4"/>
  <c r="J444" i="4"/>
  <c r="J385" i="4"/>
  <c r="I371" i="4"/>
  <c r="G61" i="18"/>
  <c r="G42" i="18"/>
  <c r="I47" i="18"/>
  <c r="I355" i="4"/>
  <c r="I57" i="18"/>
  <c r="I366" i="4"/>
  <c r="X35" i="18"/>
  <c r="J532" i="4"/>
  <c r="I482" i="4"/>
  <c r="I380" i="4"/>
  <c r="I375" i="4"/>
  <c r="AB33" i="18"/>
  <c r="I347" i="4"/>
  <c r="I516" i="4"/>
  <c r="N37" i="18"/>
  <c r="AB67" i="18"/>
  <c r="M34" i="18"/>
  <c r="J477" i="4"/>
  <c r="M66" i="18"/>
  <c r="Y40" i="18"/>
  <c r="I567" i="4"/>
  <c r="J546" i="4"/>
  <c r="K27" i="18"/>
  <c r="G34" i="18"/>
  <c r="I66" i="18"/>
  <c r="I417" i="4"/>
  <c r="I413" i="4"/>
  <c r="J561" i="4"/>
  <c r="X444" i="4"/>
  <c r="K65" i="18"/>
  <c r="I451" i="4"/>
  <c r="J405" i="4"/>
  <c r="I506" i="4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I575" i="4"/>
  <c r="J395" i="4"/>
  <c r="I534" i="4"/>
  <c r="K30" i="18"/>
  <c r="X373" i="4"/>
  <c r="G69" i="18"/>
  <c r="J349" i="4"/>
  <c r="Z43" i="18"/>
  <c r="W546" i="4"/>
  <c r="F55" i="18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J424" i="4"/>
  <c r="M41" i="18"/>
  <c r="W359" i="4"/>
  <c r="I486" i="4"/>
  <c r="Y48" i="18"/>
  <c r="N67" i="18"/>
  <c r="J524" i="4"/>
  <c r="Z46" i="18"/>
  <c r="W577" i="4"/>
  <c r="F30" i="18"/>
  <c r="J351" i="4"/>
  <c r="M47" i="18"/>
  <c r="AB61" i="18"/>
  <c r="Y53" i="18"/>
  <c r="I427" i="4"/>
  <c r="J459" i="4"/>
  <c r="J401" i="4"/>
  <c r="I386" i="4"/>
  <c r="G59" i="18"/>
  <c r="M35" i="18"/>
  <c r="N68" i="18"/>
  <c r="L31" i="18"/>
  <c r="G53" i="18"/>
  <c r="AB39" i="18"/>
  <c r="Y35" i="18"/>
  <c r="I457" i="4"/>
  <c r="I363" i="4"/>
  <c r="J379" i="4"/>
  <c r="I568" i="4"/>
  <c r="X577" i="4"/>
  <c r="I401" i="4"/>
  <c r="I491" i="4"/>
  <c r="F67" i="18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I461" i="4"/>
  <c r="Z32" i="18"/>
  <c r="N66" i="18"/>
  <c r="L54" i="18"/>
  <c r="F61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N57" i="18"/>
  <c r="L45" i="18"/>
  <c r="L42" i="18"/>
  <c r="N42" i="18"/>
  <c r="I376" i="4"/>
  <c r="W355" i="4"/>
  <c r="X411" i="4"/>
  <c r="J446" i="4"/>
  <c r="I553" i="4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675" i="4" l="1"/>
  <c r="G3" i="20"/>
  <c r="K626" i="4"/>
  <c r="K590" i="4"/>
  <c r="K648" i="4"/>
  <c r="G72" i="1"/>
  <c r="B71" i="1"/>
  <c r="A71" i="1"/>
  <c r="A70" i="1"/>
  <c r="B70" i="1"/>
  <c r="I950" i="4"/>
  <c r="J948" i="4"/>
  <c r="X957" i="4"/>
  <c r="I957" i="4"/>
  <c r="I948" i="4"/>
  <c r="I954" i="4"/>
  <c r="I956" i="4"/>
  <c r="X947" i="4"/>
  <c r="J946" i="4"/>
  <c r="J954" i="4"/>
  <c r="J947" i="4"/>
  <c r="J955" i="4"/>
  <c r="J945" i="4"/>
  <c r="I949" i="4"/>
  <c r="J952" i="4"/>
  <c r="W947" i="4"/>
  <c r="J953" i="4"/>
  <c r="J957" i="4"/>
  <c r="J949" i="4"/>
  <c r="J951" i="4"/>
  <c r="I953" i="4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J916" i="4"/>
  <c r="I912" i="4"/>
  <c r="I914" i="4"/>
  <c r="I917" i="4"/>
  <c r="X908" i="4"/>
  <c r="W908" i="4"/>
  <c r="I918" i="4"/>
  <c r="J906" i="4"/>
  <c r="J910" i="4"/>
  <c r="I913" i="4"/>
  <c r="I916" i="4"/>
  <c r="J918" i="4"/>
  <c r="J911" i="4"/>
  <c r="I906" i="4"/>
  <c r="J915" i="4"/>
  <c r="I909" i="4"/>
  <c r="X918" i="4"/>
  <c r="J909" i="4"/>
  <c r="I910" i="4"/>
  <c r="J912" i="4"/>
  <c r="J914" i="4"/>
  <c r="J907" i="4"/>
  <c r="I915" i="4"/>
  <c r="J917" i="4"/>
  <c r="W918" i="4"/>
  <c r="I907" i="4"/>
  <c r="J913" i="4"/>
  <c r="I908" i="4"/>
  <c r="I911" i="4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874" i="4"/>
  <c r="I879" i="4"/>
  <c r="I868" i="4"/>
  <c r="I878" i="4"/>
  <c r="I869" i="4"/>
  <c r="J871" i="4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I854" i="4"/>
  <c r="J858" i="4"/>
  <c r="I856" i="4"/>
  <c r="X866" i="4"/>
  <c r="J865" i="4"/>
  <c r="J859" i="4"/>
  <c r="J866" i="4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X813" i="4"/>
  <c r="W813" i="4"/>
  <c r="J803" i="4"/>
  <c r="I811" i="4"/>
  <c r="AA819" i="4"/>
  <c r="J798" i="4"/>
  <c r="J816" i="4"/>
  <c r="I818" i="4"/>
  <c r="AA811" i="4"/>
  <c r="A58" i="1"/>
  <c r="B58" i="1"/>
  <c r="I789" i="4"/>
  <c r="I790" i="4"/>
  <c r="J783" i="4"/>
  <c r="J791" i="4"/>
  <c r="J781" i="4"/>
  <c r="W794" i="4"/>
  <c r="I780" i="4"/>
  <c r="J784" i="4"/>
  <c r="J780" i="4"/>
  <c r="J790" i="4"/>
  <c r="J788" i="4"/>
  <c r="J785" i="4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X794" i="4"/>
  <c r="W793" i="4"/>
  <c r="J792" i="4"/>
  <c r="I782" i="4"/>
  <c r="J793" i="4"/>
  <c r="J779" i="4"/>
  <c r="J786" i="4"/>
  <c r="I791" i="4"/>
  <c r="I787" i="4"/>
  <c r="J782" i="4"/>
  <c r="J789" i="4"/>
  <c r="I784" i="4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J744" i="4"/>
  <c r="I740" i="4"/>
  <c r="X745" i="4"/>
  <c r="I738" i="4"/>
  <c r="J733" i="4"/>
  <c r="J736" i="4"/>
  <c r="W735" i="4"/>
  <c r="J745" i="4"/>
  <c r="I734" i="4"/>
  <c r="A54" i="1"/>
  <c r="B54" i="1"/>
  <c r="J724" i="4"/>
  <c r="J731" i="4"/>
  <c r="J723" i="4"/>
  <c r="X721" i="4"/>
  <c r="J727" i="4"/>
  <c r="J725" i="4"/>
  <c r="J721" i="4"/>
  <c r="I727" i="4"/>
  <c r="I726" i="4"/>
  <c r="I729" i="4"/>
  <c r="J718" i="4"/>
  <c r="I724" i="4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668" i="4"/>
  <c r="K665" i="4"/>
  <c r="AA549" i="4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548" i="4"/>
  <c r="K489" i="4"/>
  <c r="K523" i="4"/>
  <c r="K350" i="4"/>
  <c r="AA401" i="4"/>
  <c r="AA484" i="4"/>
  <c r="AC429" i="4"/>
  <c r="AB429" i="4"/>
  <c r="AD429" i="4"/>
  <c r="AI429" i="4" s="1"/>
  <c r="K428" i="4"/>
  <c r="Z38" i="19"/>
  <c r="K381" i="4"/>
  <c r="AA387" i="4"/>
  <c r="AB440" i="4"/>
  <c r="AD440" i="4"/>
  <c r="AI440" i="4" s="1"/>
  <c r="AC440" i="4"/>
  <c r="K530" i="4"/>
  <c r="K552" i="4"/>
  <c r="K546" i="4"/>
  <c r="AB567" i="4"/>
  <c r="AD567" i="4"/>
  <c r="AI567" i="4" s="1"/>
  <c r="AC567" i="4"/>
  <c r="K470" i="4"/>
  <c r="K493" i="4"/>
  <c r="AB553" i="4"/>
  <c r="AD553" i="4"/>
  <c r="AI553" i="4" s="1"/>
  <c r="AC553" i="4"/>
  <c r="AB469" i="4"/>
  <c r="AC469" i="4"/>
  <c r="AD469" i="4"/>
  <c r="AI469" i="4" s="1"/>
  <c r="AA425" i="4"/>
  <c r="K414" i="4"/>
  <c r="K420" i="4"/>
  <c r="K478" i="4"/>
  <c r="Z39" i="19"/>
  <c r="K438" i="4"/>
  <c r="K550" i="4"/>
  <c r="K399" i="4"/>
  <c r="AB373" i="4"/>
  <c r="AD373" i="4"/>
  <c r="AI373" i="4" s="1"/>
  <c r="AC373" i="4"/>
  <c r="K392" i="4"/>
  <c r="K547" i="4"/>
  <c r="AD369" i="4"/>
  <c r="AI369" i="4" s="1"/>
  <c r="AB369" i="4"/>
  <c r="AC369" i="4"/>
  <c r="AB542" i="4"/>
  <c r="AC542" i="4"/>
  <c r="AD542" i="4"/>
  <c r="AI542" i="4" s="1"/>
  <c r="AB485" i="4"/>
  <c r="AD485" i="4"/>
  <c r="AI485" i="4" s="1"/>
  <c r="AC485" i="4"/>
  <c r="K397" i="4"/>
  <c r="AA543" i="4"/>
  <c r="D10" i="12"/>
  <c r="AD401" i="4"/>
  <c r="AI401" i="4" s="1"/>
  <c r="AC401" i="4"/>
  <c r="AB401" i="4"/>
  <c r="K410" i="4"/>
  <c r="AA544" i="4"/>
  <c r="K463" i="4"/>
  <c r="K427" i="4"/>
  <c r="K545" i="4"/>
  <c r="K457" i="4"/>
  <c r="K403" i="4"/>
  <c r="K539" i="4"/>
  <c r="K500" i="4"/>
  <c r="K554" i="4"/>
  <c r="K344" i="4"/>
  <c r="K567" i="4"/>
  <c r="Q39" i="19"/>
  <c r="AA440" i="4"/>
  <c r="K570" i="4"/>
  <c r="AB484" i="4"/>
  <c r="AC484" i="4"/>
  <c r="AD484" i="4"/>
  <c r="AI484" i="4" s="1"/>
  <c r="K533" i="4"/>
  <c r="Q38" i="19"/>
  <c r="K564" i="4"/>
  <c r="K563" i="4"/>
  <c r="K556" i="4"/>
  <c r="K441" i="4"/>
  <c r="K481" i="4"/>
  <c r="K436" i="4"/>
  <c r="K446" i="4"/>
  <c r="AC545" i="4"/>
  <c r="AD545" i="4"/>
  <c r="AI545" i="4" s="1"/>
  <c r="AB545" i="4"/>
  <c r="AB359" i="4"/>
  <c r="AD359" i="4"/>
  <c r="AI359" i="4" s="1"/>
  <c r="AC359" i="4"/>
  <c r="AA459" i="4"/>
  <c r="AD547" i="4"/>
  <c r="AI547" i="4" s="1"/>
  <c r="AB547" i="4"/>
  <c r="AC547" i="4"/>
  <c r="AA567" i="4"/>
  <c r="K561" i="4"/>
  <c r="K535" i="4"/>
  <c r="K419" i="4"/>
  <c r="K367" i="4"/>
  <c r="AC383" i="4"/>
  <c r="AD383" i="4"/>
  <c r="AI383" i="4" s="1"/>
  <c r="AB383" i="4"/>
  <c r="AA542" i="4"/>
  <c r="K542" i="4"/>
  <c r="K422" i="4"/>
  <c r="K343" i="4"/>
  <c r="K505" i="4"/>
  <c r="K571" i="4"/>
  <c r="K378" i="4"/>
  <c r="K501" i="4"/>
  <c r="AC439" i="4"/>
  <c r="AD439" i="4"/>
  <c r="AI439" i="4" s="1"/>
  <c r="AB439" i="4"/>
  <c r="AA415" i="4"/>
  <c r="K389" i="4"/>
  <c r="K471" i="4"/>
  <c r="AA455" i="4"/>
  <c r="K365" i="4"/>
  <c r="K366" i="4"/>
  <c r="K452" i="4"/>
  <c r="K435" i="4"/>
  <c r="AB345" i="4"/>
  <c r="AD345" i="4"/>
  <c r="AI345" i="4" s="1"/>
  <c r="AC345" i="4"/>
  <c r="K377" i="4"/>
  <c r="K363" i="4"/>
  <c r="K429" i="4"/>
  <c r="K464" i="4"/>
  <c r="K398" i="4"/>
  <c r="K502" i="4"/>
  <c r="K486" i="4"/>
  <c r="K525" i="4"/>
  <c r="K388" i="4"/>
  <c r="K544" i="4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K373" i="4"/>
  <c r="K349" i="4"/>
  <c r="K368" i="4"/>
  <c r="K536" i="4"/>
  <c r="K540" i="4"/>
  <c r="K440" i="4"/>
  <c r="AA474" i="4"/>
  <c r="AC415" i="4"/>
  <c r="AB415" i="4"/>
  <c r="AD415" i="4"/>
  <c r="AI415" i="4" s="1"/>
  <c r="K416" i="4"/>
  <c r="K449" i="4"/>
  <c r="AD489" i="4"/>
  <c r="AI489" i="4" s="1"/>
  <c r="AC489" i="4"/>
  <c r="AB489" i="4"/>
  <c r="K374" i="4"/>
  <c r="K347" i="4"/>
  <c r="K476" i="4"/>
  <c r="K577" i="4"/>
  <c r="K492" i="4"/>
  <c r="AA577" i="4"/>
  <c r="K430" i="4"/>
  <c r="AB470" i="4"/>
  <c r="AD470" i="4"/>
  <c r="AI470" i="4" s="1"/>
  <c r="AC470" i="4"/>
  <c r="AC499" i="4"/>
  <c r="AD499" i="4"/>
  <c r="AI499" i="4" s="1"/>
  <c r="AB499" i="4"/>
  <c r="AD397" i="4"/>
  <c r="AI397" i="4" s="1"/>
  <c r="AB397" i="4"/>
  <c r="AC397" i="4"/>
  <c r="K357" i="4"/>
  <c r="K475" i="4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466" i="4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AC548" i="4"/>
  <c r="AB548" i="4"/>
  <c r="AD548" i="4"/>
  <c r="AI548" i="4" s="1"/>
  <c r="K514" i="4"/>
  <c r="K432" i="4"/>
  <c r="K453" i="4"/>
  <c r="K519" i="4"/>
  <c r="K406" i="4"/>
  <c r="K516" i="4"/>
  <c r="AD454" i="4"/>
  <c r="AI454" i="4" s="1"/>
  <c r="AC454" i="4"/>
  <c r="AB454" i="4"/>
  <c r="K433" i="4"/>
  <c r="AB425" i="4"/>
  <c r="AD425" i="4"/>
  <c r="AI425" i="4" s="1"/>
  <c r="AC425" i="4"/>
  <c r="AC549" i="4"/>
  <c r="AD549" i="4"/>
  <c r="AI549" i="4" s="1"/>
  <c r="AB549" i="4"/>
  <c r="K447" i="4"/>
  <c r="AB543" i="4"/>
  <c r="AD543" i="4"/>
  <c r="AI543" i="4" s="1"/>
  <c r="AC543" i="4"/>
  <c r="K468" i="4"/>
  <c r="K520" i="4"/>
  <c r="AD474" i="4"/>
  <c r="AI474" i="4" s="1"/>
  <c r="AB474" i="4"/>
  <c r="AC474" i="4"/>
  <c r="AA541" i="4"/>
  <c r="AD541" i="4"/>
  <c r="AI541" i="4" s="1"/>
  <c r="AB541" i="4"/>
  <c r="AC541" i="4"/>
  <c r="AD355" i="4"/>
  <c r="AI355" i="4" s="1"/>
  <c r="AC355" i="4"/>
  <c r="AB355" i="4"/>
  <c r="AA355" i="4"/>
  <c r="AA454" i="4"/>
  <c r="AA489" i="4"/>
  <c r="AC546" i="4"/>
  <c r="AD546" i="4"/>
  <c r="AI546" i="4" s="1"/>
  <c r="AB546" i="4"/>
  <c r="K532" i="4"/>
  <c r="K568" i="4"/>
  <c r="AC459" i="4"/>
  <c r="AD459" i="4"/>
  <c r="AI459" i="4" s="1"/>
  <c r="AB459" i="4"/>
  <c r="K511" i="4"/>
  <c r="K465" i="4"/>
  <c r="AC517" i="4"/>
  <c r="AB517" i="4"/>
  <c r="AD517" i="4"/>
  <c r="AI517" i="4" s="1"/>
  <c r="K417" i="4"/>
  <c r="K412" i="4"/>
  <c r="K566" i="4"/>
  <c r="K504" i="4"/>
  <c r="K361" i="4"/>
  <c r="K376" i="4"/>
  <c r="AA499" i="4"/>
  <c r="K383" i="4"/>
  <c r="AA429" i="4"/>
  <c r="K529" i="4"/>
  <c r="AB444" i="4"/>
  <c r="AD444" i="4"/>
  <c r="AI444" i="4" s="1"/>
  <c r="AC444" i="4"/>
  <c r="K362" i="4"/>
  <c r="K342" i="4"/>
  <c r="AA546" i="4"/>
  <c r="K421" i="4"/>
  <c r="K443" i="4"/>
  <c r="K394" i="4"/>
  <c r="K411" i="4"/>
  <c r="AC544" i="4"/>
  <c r="AB544" i="4"/>
  <c r="AD544" i="4"/>
  <c r="AI544" i="4" s="1"/>
  <c r="H26" i="14"/>
  <c r="H27" i="6"/>
  <c r="C26" i="6"/>
  <c r="K737" i="4" l="1"/>
  <c r="K745" i="4"/>
  <c r="K744" i="4"/>
  <c r="K957" i="4"/>
  <c r="K803" i="4"/>
  <c r="K894" i="4"/>
  <c r="K880" i="4"/>
  <c r="K840" i="4"/>
  <c r="AA703" i="4"/>
  <c r="A72" i="1"/>
  <c r="G73" i="1"/>
  <c r="M71" i="18" s="1"/>
  <c r="B72" i="1"/>
  <c r="L70" i="18"/>
  <c r="X70" i="18"/>
  <c r="Y70" i="18"/>
  <c r="I70" i="18"/>
  <c r="N70" i="18"/>
  <c r="F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892" i="4"/>
  <c r="K919" i="4"/>
  <c r="K899" i="4"/>
  <c r="K924" i="4"/>
  <c r="K922" i="4"/>
  <c r="K927" i="4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913" i="4"/>
  <c r="K906" i="4"/>
  <c r="K914" i="4"/>
  <c r="K907" i="4"/>
  <c r="AA918" i="4"/>
  <c r="K911" i="4"/>
  <c r="AB908" i="4"/>
  <c r="AD908" i="4"/>
  <c r="AI908" i="4" s="1"/>
  <c r="AC908" i="4"/>
  <c r="K915" i="4"/>
  <c r="K916" i="4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AA808" i="4"/>
  <c r="K801" i="4"/>
  <c r="AA809" i="4"/>
  <c r="K812" i="4"/>
  <c r="K799" i="4"/>
  <c r="K815" i="4"/>
  <c r="K802" i="4"/>
  <c r="K808" i="4"/>
  <c r="K824" i="4"/>
  <c r="K779" i="4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T39" i="18"/>
  <c r="R39" i="19"/>
  <c r="U39" i="19"/>
  <c r="U38" i="19"/>
  <c r="R38" i="19"/>
  <c r="T40" i="18"/>
  <c r="AA38" i="19"/>
  <c r="AA39" i="19"/>
  <c r="T29" i="18"/>
  <c r="T31" i="18"/>
  <c r="H27" i="14"/>
  <c r="H28" i="6"/>
  <c r="C27" i="6"/>
  <c r="G71" i="18" l="1"/>
  <c r="L71" i="18"/>
  <c r="K71" i="18"/>
  <c r="N71" i="18"/>
  <c r="I71" i="18"/>
  <c r="Z71" i="18"/>
  <c r="F71" i="18"/>
  <c r="AB71" i="18"/>
  <c r="Y71" i="18"/>
  <c r="X71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A74" i="1" l="1"/>
  <c r="G75" i="1"/>
  <c r="Z73" i="18" s="1"/>
  <c r="B74" i="1"/>
  <c r="F72" i="18"/>
  <c r="I72" i="18"/>
  <c r="L72" i="18"/>
  <c r="K72" i="18"/>
  <c r="M72" i="18"/>
  <c r="AB72" i="18"/>
  <c r="Y72" i="18"/>
  <c r="Z72" i="18"/>
  <c r="G72" i="18"/>
  <c r="N72" i="18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X73" i="18"/>
  <c r="N73" i="18"/>
  <c r="L73" i="18"/>
  <c r="Y73" i="18"/>
  <c r="F73" i="18"/>
  <c r="I73" i="18"/>
  <c r="AB73" i="18"/>
  <c r="G76" i="1"/>
  <c r="A75" i="1"/>
  <c r="B75" i="1"/>
  <c r="A30" i="6"/>
  <c r="B30" i="6"/>
  <c r="G11" i="12"/>
  <c r="I11" i="12"/>
  <c r="I10" i="12"/>
  <c r="G10" i="12"/>
  <c r="C30" i="6"/>
  <c r="H31" i="6"/>
  <c r="H30" i="14"/>
  <c r="A76" i="1" l="1"/>
  <c r="B76" i="1"/>
  <c r="G77" i="1"/>
  <c r="Z75" i="18" s="1"/>
  <c r="G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L75" i="18"/>
  <c r="A77" i="1"/>
  <c r="G78" i="1"/>
  <c r="B77" i="1"/>
  <c r="A32" i="6"/>
  <c r="B32" i="6"/>
  <c r="H32" i="14"/>
  <c r="C32" i="6"/>
  <c r="H33" i="6"/>
  <c r="B78" i="1" l="1"/>
  <c r="G79" i="1"/>
  <c r="L77" i="18" s="1"/>
  <c r="A78" i="1"/>
  <c r="Y76" i="18"/>
  <c r="G76" i="18"/>
  <c r="N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N77" i="18"/>
  <c r="I77" i="18"/>
  <c r="M77" i="18"/>
  <c r="X77" i="18"/>
  <c r="K77" i="18"/>
  <c r="Z77" i="18"/>
  <c r="AB77" i="18"/>
  <c r="Y77" i="18"/>
  <c r="F77" i="18"/>
  <c r="A79" i="1"/>
  <c r="B79" i="1"/>
  <c r="G80" i="1"/>
  <c r="A34" i="6"/>
  <c r="B34" i="6"/>
  <c r="H34" i="14"/>
  <c r="C34" i="6"/>
  <c r="H35" i="6"/>
  <c r="B80" i="1" l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M79" i="18"/>
  <c r="I79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J1003" i="4"/>
  <c r="J1076" i="4"/>
  <c r="W999" i="4"/>
  <c r="W986" i="4"/>
  <c r="I996" i="4"/>
  <c r="J994" i="4"/>
  <c r="J1060" i="4"/>
  <c r="J971" i="4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K971" i="4" l="1"/>
  <c r="G83" i="1"/>
  <c r="G81" i="18" s="1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L80" i="18"/>
  <c r="Z80" i="18"/>
  <c r="N80" i="18"/>
  <c r="K80" i="18"/>
  <c r="G80" i="18"/>
  <c r="Y80" i="18"/>
  <c r="I80" i="18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AB1116" i="4"/>
  <c r="AC1116" i="4"/>
  <c r="AD1116" i="4"/>
  <c r="AI1116" i="4" s="1"/>
  <c r="AA1120" i="4"/>
  <c r="AA1115" i="4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G130" i="1" l="1"/>
  <c r="A129" i="1"/>
  <c r="B129" i="1"/>
  <c r="A128" i="1"/>
  <c r="B128" i="1"/>
  <c r="I25" i="21"/>
  <c r="AT62" i="18"/>
  <c r="AA49" i="18"/>
  <c r="J13" i="21"/>
  <c r="J32" i="22"/>
  <c r="J11" i="21"/>
  <c r="I19" i="21"/>
  <c r="AT18" i="18"/>
  <c r="I1709" i="4"/>
  <c r="AT19" i="18"/>
  <c r="I13" i="21"/>
  <c r="J4" i="21"/>
  <c r="AA81" i="18"/>
  <c r="J29" i="22"/>
  <c r="AT88" i="18"/>
  <c r="AA88" i="18"/>
  <c r="J15" i="22"/>
  <c r="AT17" i="18"/>
  <c r="J8" i="21"/>
  <c r="AT8" i="18"/>
  <c r="J26" i="21"/>
  <c r="AT123" i="18"/>
  <c r="AT33" i="18"/>
  <c r="I3" i="22"/>
  <c r="AT113" i="18"/>
  <c r="J1718" i="4"/>
  <c r="J18" i="22"/>
  <c r="I11" i="22"/>
  <c r="AT29" i="18"/>
  <c r="I1711" i="4"/>
  <c r="AT23" i="18"/>
  <c r="I14" i="22"/>
  <c r="AT31" i="18"/>
  <c r="I11" i="21"/>
  <c r="K11" i="21" s="1"/>
  <c r="AA126" i="18"/>
  <c r="AA82" i="18"/>
  <c r="AA50" i="18"/>
  <c r="AA54" i="18"/>
  <c r="I7" i="21"/>
  <c r="AA29" i="18"/>
  <c r="AT102" i="18"/>
  <c r="AA28" i="18"/>
  <c r="J42" i="22"/>
  <c r="AT45" i="18"/>
  <c r="I4" i="21"/>
  <c r="K4" i="21" s="1"/>
  <c r="AA47" i="18"/>
  <c r="AT122" i="18"/>
  <c r="AT59" i="18"/>
  <c r="AT49" i="18"/>
  <c r="AT63" i="18"/>
  <c r="J4" i="22"/>
  <c r="I24" i="22"/>
  <c r="J16" i="21"/>
  <c r="I6" i="22"/>
  <c r="AT119" i="18"/>
  <c r="J18" i="21"/>
  <c r="I36" i="22"/>
  <c r="I7" i="22"/>
  <c r="AT92" i="18"/>
  <c r="AT58" i="18"/>
  <c r="AT14" i="18"/>
  <c r="J10" i="21"/>
  <c r="AA120" i="18"/>
  <c r="AT55" i="18"/>
  <c r="AA118" i="18"/>
  <c r="AT109" i="18"/>
  <c r="J1719" i="4"/>
  <c r="AA53" i="18"/>
  <c r="AA48" i="18"/>
  <c r="I20" i="21"/>
  <c r="J19" i="22"/>
  <c r="J28" i="21"/>
  <c r="J23" i="21"/>
  <c r="J6" i="21"/>
  <c r="J1715" i="4"/>
  <c r="AA80" i="18"/>
  <c r="AA64" i="18"/>
  <c r="J20" i="22"/>
  <c r="AA124" i="18"/>
  <c r="AA104" i="18"/>
  <c r="J1711" i="4"/>
  <c r="I28" i="22"/>
  <c r="J33" i="22"/>
  <c r="J38" i="22"/>
  <c r="AA98" i="18"/>
  <c r="AT114" i="18"/>
  <c r="I1719" i="4"/>
  <c r="AA77" i="18"/>
  <c r="AT107" i="18"/>
  <c r="AA89" i="18"/>
  <c r="J30" i="22"/>
  <c r="AA35" i="18"/>
  <c r="AT127" i="18"/>
  <c r="AA91" i="18"/>
  <c r="AA13" i="18"/>
  <c r="AA63" i="18"/>
  <c r="J21" i="21"/>
  <c r="J22" i="22"/>
  <c r="AT87" i="18"/>
  <c r="I44" i="22"/>
  <c r="J6" i="22"/>
  <c r="AT56" i="18"/>
  <c r="AT54" i="18"/>
  <c r="X1709" i="4"/>
  <c r="AA71" i="18"/>
  <c r="I40" i="22"/>
  <c r="AA127" i="18"/>
  <c r="AA59" i="18"/>
  <c r="AA44" i="18"/>
  <c r="J14" i="21"/>
  <c r="AA102" i="18"/>
  <c r="J17" i="22"/>
  <c r="AA119" i="18"/>
  <c r="AT51" i="18"/>
  <c r="J12" i="22"/>
  <c r="I8" i="22"/>
  <c r="J10" i="22"/>
  <c r="AA110" i="18"/>
  <c r="AT124" i="18"/>
  <c r="I4" i="22"/>
  <c r="AA73" i="18"/>
  <c r="AT15" i="18"/>
  <c r="I31" i="22"/>
  <c r="AT68" i="18"/>
  <c r="AT20" i="18"/>
  <c r="AA55" i="18"/>
  <c r="AT126" i="18"/>
  <c r="AT110" i="18"/>
  <c r="AA125" i="18"/>
  <c r="AA72" i="18"/>
  <c r="AA31" i="18"/>
  <c r="AT37" i="18"/>
  <c r="AT77" i="18"/>
  <c r="AA40" i="18"/>
  <c r="I17" i="21"/>
  <c r="AA12" i="18"/>
  <c r="I28" i="21"/>
  <c r="I24" i="21"/>
  <c r="I20" i="22"/>
  <c r="J36" i="22"/>
  <c r="K36" i="22" s="1"/>
  <c r="AT83" i="18"/>
  <c r="AT75" i="18"/>
  <c r="AA41" i="18"/>
  <c r="I25" i="22"/>
  <c r="I12" i="21"/>
  <c r="I39" i="22"/>
  <c r="J2" i="21"/>
  <c r="K2" i="21" s="1"/>
  <c r="AT11" i="18"/>
  <c r="AT12" i="18"/>
  <c r="AT121" i="18"/>
  <c r="AA52" i="18"/>
  <c r="I21" i="22"/>
  <c r="I2" i="21"/>
  <c r="J44" i="22"/>
  <c r="J1716" i="4"/>
  <c r="I9" i="22"/>
  <c r="J40" i="22"/>
  <c r="AT44" i="18"/>
  <c r="AT70" i="18"/>
  <c r="AA61" i="18"/>
  <c r="I41" i="22"/>
  <c r="AT94" i="18"/>
  <c r="I19" i="22"/>
  <c r="J24" i="22"/>
  <c r="K24" i="22" s="1"/>
  <c r="J14" i="22"/>
  <c r="K14" i="22" s="1"/>
  <c r="AA32" i="18"/>
  <c r="AA38" i="18"/>
  <c r="J45" i="22"/>
  <c r="AT25" i="18"/>
  <c r="J1707" i="4"/>
  <c r="I45" i="22"/>
  <c r="AA106" i="18"/>
  <c r="J13" i="22"/>
  <c r="AT98" i="18"/>
  <c r="I14" i="21"/>
  <c r="J1713" i="4"/>
  <c r="AT99" i="18"/>
  <c r="AA25" i="18"/>
  <c r="AA78" i="18"/>
  <c r="AT82" i="18"/>
  <c r="J7" i="22"/>
  <c r="J7" i="21"/>
  <c r="K7" i="21" s="1"/>
  <c r="W1719" i="4"/>
  <c r="AA45" i="18"/>
  <c r="AA96" i="18"/>
  <c r="AT118" i="18"/>
  <c r="AT38" i="18"/>
  <c r="AT106" i="18"/>
  <c r="J17" i="21"/>
  <c r="K17" i="21" s="1"/>
  <c r="AA18" i="18"/>
  <c r="I15" i="21"/>
  <c r="AT27" i="18"/>
  <c r="W1709" i="4"/>
  <c r="J28" i="22"/>
  <c r="K28" i="22" s="1"/>
  <c r="AT101" i="18"/>
  <c r="AT97" i="18"/>
  <c r="AT60" i="18"/>
  <c r="J3" i="22"/>
  <c r="J11" i="22"/>
  <c r="K11" i="22" s="1"/>
  <c r="AA114" i="18"/>
  <c r="AT35" i="18"/>
  <c r="J19" i="21"/>
  <c r="AT9" i="18"/>
  <c r="I10" i="22"/>
  <c r="I32" i="22"/>
  <c r="I23" i="22"/>
  <c r="J15" i="21"/>
  <c r="I27" i="22"/>
  <c r="J27" i="21"/>
  <c r="AT50" i="18"/>
  <c r="AA121" i="18"/>
  <c r="AA84" i="18"/>
  <c r="I13" i="22"/>
  <c r="I1715" i="4"/>
  <c r="AT89" i="18"/>
  <c r="AT95" i="18"/>
  <c r="AA67" i="18"/>
  <c r="I1710" i="4"/>
  <c r="I26" i="21"/>
  <c r="AT72" i="18"/>
  <c r="I3" i="21"/>
  <c r="I12" i="22"/>
  <c r="J25" i="21"/>
  <c r="K25" i="21" s="1"/>
  <c r="AA37" i="18"/>
  <c r="J46" i="22"/>
  <c r="AT112" i="18"/>
  <c r="AA9" i="18"/>
  <c r="I30" i="22"/>
  <c r="AA70" i="18"/>
  <c r="I46" i="22"/>
  <c r="AA51" i="18"/>
  <c r="AA26" i="18"/>
  <c r="J26" i="22"/>
  <c r="J21" i="22"/>
  <c r="K21" i="22" s="1"/>
  <c r="AA83" i="18"/>
  <c r="I17" i="22"/>
  <c r="AT13" i="18"/>
  <c r="I9" i="21"/>
  <c r="AA97" i="18"/>
  <c r="I43" i="22"/>
  <c r="I1708" i="4"/>
  <c r="AA115" i="18"/>
  <c r="J39" i="22"/>
  <c r="K39" i="22" s="1"/>
  <c r="I23" i="21"/>
  <c r="J41" i="22"/>
  <c r="K41" i="22" s="1"/>
  <c r="I1718" i="4"/>
  <c r="AT125" i="18"/>
  <c r="AT108" i="18"/>
  <c r="AT76" i="18"/>
  <c r="AT34" i="18"/>
  <c r="AA17" i="18"/>
  <c r="AT103" i="18"/>
  <c r="AT91" i="18"/>
  <c r="J1714" i="4"/>
  <c r="AT26" i="18"/>
  <c r="I6" i="21"/>
  <c r="J1712" i="4"/>
  <c r="AA66" i="18"/>
  <c r="AA14" i="18"/>
  <c r="AA34" i="18"/>
  <c r="AT86" i="18"/>
  <c r="AA105" i="18"/>
  <c r="AA46" i="18"/>
  <c r="AA107" i="18"/>
  <c r="I27" i="21"/>
  <c r="AA65" i="18"/>
  <c r="J3" i="21"/>
  <c r="AT61" i="18"/>
  <c r="AA113" i="18"/>
  <c r="AT16" i="18"/>
  <c r="AA128" i="18"/>
  <c r="J20" i="21"/>
  <c r="K20" i="21" s="1"/>
  <c r="I15" i="22"/>
  <c r="AT43" i="18"/>
  <c r="AT21" i="18"/>
  <c r="AA16" i="18"/>
  <c r="J31" i="22"/>
  <c r="AA75" i="18"/>
  <c r="J5" i="21"/>
  <c r="AT79" i="18"/>
  <c r="I18" i="21"/>
  <c r="AA15" i="18"/>
  <c r="AA23" i="18"/>
  <c r="J5" i="22"/>
  <c r="I16" i="21"/>
  <c r="AA95" i="18"/>
  <c r="AT53" i="18"/>
  <c r="AT52" i="18"/>
  <c r="AA22" i="18"/>
  <c r="AT93" i="18"/>
  <c r="J24" i="21"/>
  <c r="K24" i="21" s="1"/>
  <c r="I5" i="21"/>
  <c r="I22" i="21"/>
  <c r="I33" i="22"/>
  <c r="AT69" i="18"/>
  <c r="AA39" i="18"/>
  <c r="AA69" i="18"/>
  <c r="I1707" i="4"/>
  <c r="AT80" i="18"/>
  <c r="AA11" i="18"/>
  <c r="AT39" i="18"/>
  <c r="AA99" i="18"/>
  <c r="I38" i="22"/>
  <c r="K38" i="22" s="1"/>
  <c r="I18" i="22"/>
  <c r="AT120" i="18"/>
  <c r="AA100" i="18"/>
  <c r="AT117" i="18"/>
  <c r="I1712" i="4"/>
  <c r="J35" i="22"/>
  <c r="AT115" i="18"/>
  <c r="AA30" i="18"/>
  <c r="I21" i="21"/>
  <c r="AA74" i="18"/>
  <c r="AT32" i="18"/>
  <c r="AT105" i="18"/>
  <c r="I29" i="22"/>
  <c r="J27" i="22"/>
  <c r="AA60" i="18"/>
  <c r="J43" i="22"/>
  <c r="AA86" i="18"/>
  <c r="AA27" i="18"/>
  <c r="AT10" i="18"/>
  <c r="AT48" i="18"/>
  <c r="I26" i="22"/>
  <c r="AA111" i="18"/>
  <c r="AT96" i="18"/>
  <c r="AT78" i="18"/>
  <c r="AA92" i="18"/>
  <c r="AT65" i="18"/>
  <c r="AA36" i="18"/>
  <c r="I1713" i="4"/>
  <c r="AT30" i="18"/>
  <c r="AA42" i="18"/>
  <c r="AA56" i="18"/>
  <c r="AA79" i="18"/>
  <c r="AT46" i="18"/>
  <c r="AA112" i="18"/>
  <c r="J25" i="22"/>
  <c r="AA122" i="18"/>
  <c r="AA20" i="18"/>
  <c r="AT73" i="18"/>
  <c r="J22" i="21"/>
  <c r="AT28" i="18"/>
  <c r="AT85" i="18"/>
  <c r="AA94" i="18"/>
  <c r="AT24" i="18"/>
  <c r="AT100" i="18"/>
  <c r="AA116" i="18"/>
  <c r="J9" i="21"/>
  <c r="AA68" i="18"/>
  <c r="I16" i="22"/>
  <c r="AT41" i="18"/>
  <c r="AA108" i="18"/>
  <c r="J1708" i="4"/>
  <c r="AT40" i="18"/>
  <c r="AA58" i="18"/>
  <c r="AT84" i="18"/>
  <c r="AA24" i="18"/>
  <c r="I1716" i="4"/>
  <c r="J23" i="22"/>
  <c r="K23" i="22" s="1"/>
  <c r="I5" i="22"/>
  <c r="J9" i="22"/>
  <c r="AT64" i="18"/>
  <c r="AT104" i="18"/>
  <c r="AA101" i="18"/>
  <c r="AT36" i="18"/>
  <c r="I34" i="22"/>
  <c r="AA43" i="18"/>
  <c r="AT74" i="18"/>
  <c r="AT71" i="18"/>
  <c r="AA117" i="18"/>
  <c r="AT128" i="18"/>
  <c r="AT66" i="18"/>
  <c r="X1719" i="4"/>
  <c r="I1714" i="4"/>
  <c r="I37" i="22"/>
  <c r="J1709" i="4"/>
  <c r="I1717" i="4"/>
  <c r="I10" i="21"/>
  <c r="AA57" i="18"/>
  <c r="AA87" i="18"/>
  <c r="AT111" i="18"/>
  <c r="AT22" i="18"/>
  <c r="AA33" i="18"/>
  <c r="J1717" i="4"/>
  <c r="AT42" i="18"/>
  <c r="I42" i="22"/>
  <c r="AT67" i="18"/>
  <c r="AA76" i="18"/>
  <c r="AA109" i="18"/>
  <c r="I22" i="22"/>
  <c r="K22" i="22" s="1"/>
  <c r="AA21" i="18"/>
  <c r="AT47" i="18"/>
  <c r="AT81" i="18"/>
  <c r="AA103" i="18"/>
  <c r="J16" i="22"/>
  <c r="AA62" i="18"/>
  <c r="AA123" i="18"/>
  <c r="AT90" i="18"/>
  <c r="J8" i="22"/>
  <c r="K8" i="22" s="1"/>
  <c r="J34" i="22"/>
  <c r="K34" i="22" s="1"/>
  <c r="AA85" i="18"/>
  <c r="W85" i="18" s="1"/>
  <c r="I8" i="21"/>
  <c r="AA19" i="18"/>
  <c r="AT57" i="18"/>
  <c r="AT116" i="18"/>
  <c r="J1710" i="4"/>
  <c r="AA10" i="18"/>
  <c r="I35" i="22"/>
  <c r="J37" i="22"/>
  <c r="K37" i="22" s="1"/>
  <c r="J12" i="21"/>
  <c r="AA90" i="18"/>
  <c r="W90" i="18" s="1"/>
  <c r="AA93" i="18"/>
  <c r="A127" i="1"/>
  <c r="B127" i="1"/>
  <c r="I1697" i="4"/>
  <c r="W1696" i="4"/>
  <c r="J1699" i="4"/>
  <c r="I1704" i="4"/>
  <c r="J1695" i="4"/>
  <c r="I1703" i="4"/>
  <c r="J1694" i="4"/>
  <c r="J1700" i="4"/>
  <c r="I1698" i="4"/>
  <c r="J1698" i="4"/>
  <c r="I1702" i="4"/>
  <c r="J1706" i="4"/>
  <c r="I1695" i="4"/>
  <c r="J1702" i="4"/>
  <c r="I1694" i="4"/>
  <c r="X1706" i="4"/>
  <c r="W1706" i="4"/>
  <c r="J1701" i="4"/>
  <c r="J1697" i="4"/>
  <c r="I1699" i="4"/>
  <c r="X1696" i="4"/>
  <c r="J1704" i="4"/>
  <c r="J1703" i="4"/>
  <c r="I1700" i="4"/>
  <c r="J1696" i="4"/>
  <c r="I1705" i="4"/>
  <c r="I1696" i="4"/>
  <c r="I1706" i="4"/>
  <c r="I1701" i="4"/>
  <c r="J1705" i="4"/>
  <c r="A126" i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I1613" i="4"/>
  <c r="J1608" i="4"/>
  <c r="I1609" i="4"/>
  <c r="J1605" i="4"/>
  <c r="I1614" i="4"/>
  <c r="J1614" i="4"/>
  <c r="I1607" i="4"/>
  <c r="I1608" i="4"/>
  <c r="J1603" i="4"/>
  <c r="J1604" i="4"/>
  <c r="I1610" i="4"/>
  <c r="J1606" i="4"/>
  <c r="J1610" i="4"/>
  <c r="I1606" i="4"/>
  <c r="I1615" i="4"/>
  <c r="I1603" i="4"/>
  <c r="I1604" i="4"/>
  <c r="J1613" i="4"/>
  <c r="J1615" i="4"/>
  <c r="I1612" i="4"/>
  <c r="J1609" i="4"/>
  <c r="I1605" i="4"/>
  <c r="I1611" i="4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1580" i="4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J1564" i="4"/>
  <c r="X1576" i="4"/>
  <c r="I1575" i="4"/>
  <c r="J1568" i="4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I1519" i="4"/>
  <c r="J1523" i="4"/>
  <c r="J1517" i="4"/>
  <c r="I1513" i="4"/>
  <c r="I1524" i="4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1342" i="4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J1192" i="4"/>
  <c r="Z126" i="18"/>
  <c r="N124" i="18"/>
  <c r="W98" i="18"/>
  <c r="M122" i="18"/>
  <c r="M125" i="18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1186" i="4"/>
  <c r="I1181" i="4"/>
  <c r="I1176" i="4"/>
  <c r="I1178" i="4"/>
  <c r="I1184" i="4"/>
  <c r="A86" i="1"/>
  <c r="B86" i="1"/>
  <c r="J1170" i="4"/>
  <c r="I1171" i="4"/>
  <c r="I1168" i="4"/>
  <c r="W1173" i="4"/>
  <c r="J1167" i="4"/>
  <c r="J1162" i="4"/>
  <c r="I1164" i="4"/>
  <c r="J1164" i="4"/>
  <c r="J1169" i="4"/>
  <c r="I1165" i="4"/>
  <c r="I1162" i="4"/>
  <c r="I1173" i="4"/>
  <c r="X1163" i="4"/>
  <c r="I1170" i="4"/>
  <c r="J1171" i="4"/>
  <c r="I1172" i="4"/>
  <c r="J1165" i="4"/>
  <c r="J1161" i="4"/>
  <c r="X1173" i="4"/>
  <c r="J1163" i="4"/>
  <c r="I1161" i="4"/>
  <c r="J1173" i="4"/>
  <c r="J1172" i="4"/>
  <c r="W1163" i="4"/>
  <c r="I1167" i="4"/>
  <c r="I1166" i="4"/>
  <c r="I1163" i="4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I1159" i="4"/>
  <c r="K1133" i="4"/>
  <c r="A84" i="1"/>
  <c r="B84" i="1"/>
  <c r="I1141" i="4"/>
  <c r="J1147" i="4"/>
  <c r="X1137" i="4"/>
  <c r="I1147" i="4"/>
  <c r="J1144" i="4"/>
  <c r="J1139" i="4"/>
  <c r="I1142" i="4"/>
  <c r="J1142" i="4"/>
  <c r="J1140" i="4"/>
  <c r="J1145" i="4"/>
  <c r="I1143" i="4"/>
  <c r="J1146" i="4"/>
  <c r="J1135" i="4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F86" i="18"/>
  <c r="Z87" i="18"/>
  <c r="L114" i="18"/>
  <c r="I121" i="18"/>
  <c r="Y126" i="18"/>
  <c r="K112" i="18"/>
  <c r="K88" i="18"/>
  <c r="Y118" i="18"/>
  <c r="Y100" i="18"/>
  <c r="Y96" i="18"/>
  <c r="K106" i="18"/>
  <c r="AB100" i="18"/>
  <c r="X108" i="18"/>
  <c r="Y97" i="18"/>
  <c r="AB115" i="18"/>
  <c r="I98" i="18"/>
  <c r="F90" i="18"/>
  <c r="K125" i="18"/>
  <c r="G126" i="18"/>
  <c r="K114" i="18"/>
  <c r="G84" i="18"/>
  <c r="AB91" i="18"/>
  <c r="AB128" i="18"/>
  <c r="M92" i="18"/>
  <c r="M85" i="18"/>
  <c r="I102" i="18"/>
  <c r="AB116" i="18"/>
  <c r="I94" i="18"/>
  <c r="F120" i="18"/>
  <c r="G97" i="18"/>
  <c r="G101" i="18"/>
  <c r="I120" i="18"/>
  <c r="F124" i="18"/>
  <c r="N96" i="18"/>
  <c r="AB101" i="18"/>
  <c r="Y108" i="18"/>
  <c r="Y90" i="18"/>
  <c r="M126" i="18"/>
  <c r="L121" i="18"/>
  <c r="X115" i="18"/>
  <c r="L91" i="18"/>
  <c r="M88" i="18"/>
  <c r="L105" i="18"/>
  <c r="AB89" i="18"/>
  <c r="L103" i="18"/>
  <c r="N103" i="18"/>
  <c r="M89" i="18"/>
  <c r="F87" i="18"/>
  <c r="K102" i="18"/>
  <c r="AB127" i="18"/>
  <c r="M116" i="18"/>
  <c r="X125" i="18"/>
  <c r="X112" i="18"/>
  <c r="I90" i="18"/>
  <c r="F123" i="18"/>
  <c r="AB120" i="18"/>
  <c r="G110" i="18"/>
  <c r="F95" i="18"/>
  <c r="Y103" i="18"/>
  <c r="I97" i="18"/>
  <c r="N128" i="18"/>
  <c r="I111" i="18"/>
  <c r="M120" i="18"/>
  <c r="I122" i="18"/>
  <c r="X93" i="18"/>
  <c r="AB82" i="18"/>
  <c r="Y89" i="18"/>
  <c r="K107" i="18"/>
  <c r="I85" i="18"/>
  <c r="L93" i="18"/>
  <c r="F96" i="18"/>
  <c r="N97" i="18"/>
  <c r="X91" i="18"/>
  <c r="M119" i="18"/>
  <c r="X94" i="18"/>
  <c r="K86" i="18"/>
  <c r="Z99" i="18"/>
  <c r="Y87" i="18"/>
  <c r="L125" i="18"/>
  <c r="N88" i="18"/>
  <c r="L92" i="18"/>
  <c r="Z90" i="18"/>
  <c r="I126" i="18"/>
  <c r="K117" i="18"/>
  <c r="K83" i="18"/>
  <c r="N115" i="18"/>
  <c r="N87" i="18"/>
  <c r="N86" i="18"/>
  <c r="L128" i="18"/>
  <c r="AB105" i="18"/>
  <c r="X122" i="18"/>
  <c r="F97" i="18"/>
  <c r="L95" i="18"/>
  <c r="F109" i="18"/>
  <c r="X99" i="18"/>
  <c r="Y98" i="18"/>
  <c r="K122" i="18"/>
  <c r="X119" i="18"/>
  <c r="L108" i="18"/>
  <c r="Y115" i="18"/>
  <c r="K100" i="18"/>
  <c r="M105" i="18"/>
  <c r="G98" i="18"/>
  <c r="K111" i="18"/>
  <c r="AB122" i="18"/>
  <c r="M83" i="18"/>
  <c r="L85" i="18"/>
  <c r="X111" i="18"/>
  <c r="Z127" i="18"/>
  <c r="Y125" i="18"/>
  <c r="N110" i="18"/>
  <c r="F103" i="18"/>
  <c r="Y110" i="18"/>
  <c r="Y107" i="18"/>
  <c r="L111" i="18"/>
  <c r="L119" i="18"/>
  <c r="X110" i="18"/>
  <c r="X126" i="18"/>
  <c r="I110" i="18"/>
  <c r="G108" i="18"/>
  <c r="Z84" i="18"/>
  <c r="K126" i="18"/>
  <c r="X104" i="18"/>
  <c r="N116" i="18"/>
  <c r="G109" i="18"/>
  <c r="I106" i="18"/>
  <c r="G115" i="18"/>
  <c r="F113" i="18"/>
  <c r="F119" i="18"/>
  <c r="G91" i="18"/>
  <c r="Y112" i="18"/>
  <c r="N102" i="18"/>
  <c r="I104" i="18"/>
  <c r="Z96" i="18"/>
  <c r="F89" i="18"/>
  <c r="I123" i="18"/>
  <c r="X105" i="18"/>
  <c r="X98" i="18"/>
  <c r="K120" i="18"/>
  <c r="F121" i="18"/>
  <c r="AB108" i="18"/>
  <c r="K85" i="18"/>
  <c r="L115" i="18"/>
  <c r="Z113" i="18"/>
  <c r="N122" i="18"/>
  <c r="AB110" i="18"/>
  <c r="L83" i="18"/>
  <c r="L118" i="18"/>
  <c r="K94" i="18"/>
  <c r="Y113" i="18"/>
  <c r="L116" i="18"/>
  <c r="AB94" i="18"/>
  <c r="Y91" i="18"/>
  <c r="M99" i="18"/>
  <c r="Y122" i="18"/>
  <c r="L126" i="18"/>
  <c r="AB117" i="18"/>
  <c r="Z117" i="18"/>
  <c r="Z128" i="18"/>
  <c r="L107" i="18"/>
  <c r="I84" i="18"/>
  <c r="F91" i="18"/>
  <c r="F126" i="18"/>
  <c r="X83" i="18"/>
  <c r="G119" i="18"/>
  <c r="M114" i="18"/>
  <c r="L88" i="18"/>
  <c r="F100" i="18"/>
  <c r="X127" i="18"/>
  <c r="N82" i="18"/>
  <c r="M94" i="18"/>
  <c r="G103" i="18"/>
  <c r="N106" i="18"/>
  <c r="Z97" i="18"/>
  <c r="Z115" i="18"/>
  <c r="G111" i="18"/>
  <c r="G104" i="18"/>
  <c r="F116" i="18"/>
  <c r="M102" i="18"/>
  <c r="F118" i="18"/>
  <c r="Z106" i="18"/>
  <c r="I105" i="18"/>
  <c r="X95" i="18"/>
  <c r="L102" i="18"/>
  <c r="Y99" i="18"/>
  <c r="Z109" i="18"/>
  <c r="G96" i="18"/>
  <c r="G113" i="18"/>
  <c r="K110" i="18"/>
  <c r="Z101" i="18"/>
  <c r="N111" i="18"/>
  <c r="G88" i="18"/>
  <c r="AB97" i="18"/>
  <c r="K121" i="18"/>
  <c r="Z95" i="18"/>
  <c r="Z102" i="18"/>
  <c r="F98" i="18"/>
  <c r="Y121" i="18"/>
  <c r="G107" i="18"/>
  <c r="L101" i="18"/>
  <c r="I107" i="18"/>
  <c r="Z104" i="18"/>
  <c r="G95" i="18"/>
  <c r="X113" i="18"/>
  <c r="X124" i="18"/>
  <c r="Y120" i="18"/>
  <c r="Z83" i="18"/>
  <c r="Y124" i="18"/>
  <c r="G83" i="18"/>
  <c r="X89" i="18"/>
  <c r="K103" i="18"/>
  <c r="N90" i="18"/>
  <c r="X84" i="18"/>
  <c r="M87" i="18"/>
  <c r="Y105" i="18"/>
  <c r="F92" i="18"/>
  <c r="N118" i="18"/>
  <c r="G116" i="18"/>
  <c r="AB93" i="18"/>
  <c r="G86" i="18"/>
  <c r="AB123" i="18"/>
  <c r="N99" i="18"/>
  <c r="I96" i="18"/>
  <c r="L98" i="18"/>
  <c r="I118" i="18"/>
  <c r="Z121" i="18"/>
  <c r="Y127" i="18"/>
  <c r="I101" i="18"/>
  <c r="Y117" i="18"/>
  <c r="G106" i="18"/>
  <c r="K82" i="18"/>
  <c r="X120" i="18"/>
  <c r="N123" i="18"/>
  <c r="N104" i="18"/>
  <c r="L99" i="18"/>
  <c r="X106" i="18"/>
  <c r="I116" i="18"/>
  <c r="F107" i="18"/>
  <c r="Y128" i="18"/>
  <c r="M96" i="18"/>
  <c r="M123" i="18"/>
  <c r="I113" i="18"/>
  <c r="G128" i="18"/>
  <c r="K96" i="18"/>
  <c r="Z103" i="18"/>
  <c r="M108" i="18"/>
  <c r="I91" i="18"/>
  <c r="I100" i="18"/>
  <c r="F82" i="18"/>
  <c r="AB87" i="18"/>
  <c r="G82" i="18"/>
  <c r="Z82" i="18"/>
  <c r="AB84" i="18"/>
  <c r="Z112" i="18"/>
  <c r="M128" i="18"/>
  <c r="AB103" i="18"/>
  <c r="G117" i="18"/>
  <c r="X118" i="18"/>
  <c r="Y116" i="18"/>
  <c r="G87" i="18"/>
  <c r="N109" i="18"/>
  <c r="AB107" i="18"/>
  <c r="K91" i="18"/>
  <c r="X114" i="18"/>
  <c r="N93" i="18"/>
  <c r="N83" i="18"/>
  <c r="I88" i="18"/>
  <c r="X97" i="18"/>
  <c r="M124" i="18"/>
  <c r="K119" i="18"/>
  <c r="Y119" i="18"/>
  <c r="AB96" i="18"/>
  <c r="I92" i="18"/>
  <c r="G127" i="18"/>
  <c r="N101" i="18"/>
  <c r="Y94" i="18"/>
  <c r="F106" i="18"/>
  <c r="I125" i="18"/>
  <c r="G89" i="18"/>
  <c r="F114" i="18"/>
  <c r="M115" i="18"/>
  <c r="K123" i="18"/>
  <c r="G105" i="18"/>
  <c r="G120" i="18"/>
  <c r="F125" i="18"/>
  <c r="Z122" i="18"/>
  <c r="Z89" i="18"/>
  <c r="K84" i="18"/>
  <c r="F122" i="18"/>
  <c r="L106" i="18"/>
  <c r="I109" i="18"/>
  <c r="Z123" i="18"/>
  <c r="M109" i="18"/>
  <c r="G93" i="18"/>
  <c r="M84" i="18"/>
  <c r="N84" i="18"/>
  <c r="AB118" i="18"/>
  <c r="L89" i="18"/>
  <c r="F104" i="18"/>
  <c r="K92" i="18"/>
  <c r="M82" i="18"/>
  <c r="G121" i="18"/>
  <c r="I87" i="18"/>
  <c r="K97" i="18"/>
  <c r="L109" i="18"/>
  <c r="Y106" i="18"/>
  <c r="L113" i="18"/>
  <c r="AB88" i="18"/>
  <c r="G90" i="18"/>
  <c r="Z98" i="18"/>
  <c r="M100" i="18"/>
  <c r="K113" i="18"/>
  <c r="L82" i="18"/>
  <c r="I83" i="18"/>
  <c r="Y114" i="18"/>
  <c r="AB85" i="18"/>
  <c r="Y83" i="18"/>
  <c r="L84" i="18"/>
  <c r="L94" i="18"/>
  <c r="N92" i="18"/>
  <c r="Y88" i="18"/>
  <c r="Z100" i="18"/>
  <c r="I89" i="18"/>
  <c r="AB113" i="18"/>
  <c r="X96" i="18"/>
  <c r="K99" i="18"/>
  <c r="AB119" i="18"/>
  <c r="M117" i="18"/>
  <c r="X121" i="18"/>
  <c r="Z85" i="18"/>
  <c r="N95" i="18"/>
  <c r="Z108" i="18"/>
  <c r="Z119" i="18"/>
  <c r="K118" i="18"/>
  <c r="F127" i="18"/>
  <c r="Z105" i="18"/>
  <c r="AB109" i="18"/>
  <c r="F110" i="18"/>
  <c r="Y92" i="18"/>
  <c r="G92" i="18"/>
  <c r="M98" i="18"/>
  <c r="Y104" i="18"/>
  <c r="AB121" i="18"/>
  <c r="L104" i="18"/>
  <c r="Z88" i="18"/>
  <c r="N113" i="18"/>
  <c r="L127" i="18"/>
  <c r="L122" i="18"/>
  <c r="K128" i="18"/>
  <c r="M90" i="18"/>
  <c r="M121" i="18"/>
  <c r="L124" i="18"/>
  <c r="I112" i="18"/>
  <c r="K90" i="18"/>
  <c r="N117" i="18"/>
  <c r="I93" i="18"/>
  <c r="X86" i="18"/>
  <c r="G112" i="18"/>
  <c r="Z86" i="18"/>
  <c r="Z107" i="18"/>
  <c r="K124" i="18"/>
  <c r="X85" i="18"/>
  <c r="F102" i="18"/>
  <c r="X90" i="18"/>
  <c r="X88" i="18"/>
  <c r="N91" i="18"/>
  <c r="F117" i="18"/>
  <c r="Y85" i="18"/>
  <c r="Z118" i="18"/>
  <c r="X87" i="18"/>
  <c r="F105" i="18"/>
  <c r="Y86" i="18"/>
  <c r="L110" i="18"/>
  <c r="AB126" i="18"/>
  <c r="Z94" i="18"/>
  <c r="I82" i="18"/>
  <c r="N107" i="18"/>
  <c r="M86" i="18"/>
  <c r="X117" i="18"/>
  <c r="F99" i="18"/>
  <c r="L112" i="18"/>
  <c r="M106" i="18"/>
  <c r="G114" i="18"/>
  <c r="I119" i="18"/>
  <c r="F112" i="18"/>
  <c r="M127" i="18"/>
  <c r="X103" i="18"/>
  <c r="M97" i="18"/>
  <c r="M113" i="18"/>
  <c r="AB95" i="18"/>
  <c r="I95" i="18"/>
  <c r="F115" i="18"/>
  <c r="Y84" i="18"/>
  <c r="AB99" i="18"/>
  <c r="K115" i="18"/>
  <c r="K108" i="18"/>
  <c r="Y111" i="18"/>
  <c r="Z114" i="18"/>
  <c r="G100" i="18"/>
  <c r="I114" i="18"/>
  <c r="L96" i="18"/>
  <c r="F111" i="18"/>
  <c r="F94" i="18"/>
  <c r="G102" i="18"/>
  <c r="AB111" i="18"/>
  <c r="M104" i="18"/>
  <c r="M101" i="18"/>
  <c r="K95" i="18"/>
  <c r="G125" i="18"/>
  <c r="AB86" i="18"/>
  <c r="N119" i="18"/>
  <c r="N125" i="18"/>
  <c r="F83" i="18"/>
  <c r="I99" i="18"/>
  <c r="AB106" i="18"/>
  <c r="I127" i="18"/>
  <c r="M93" i="18"/>
  <c r="N121" i="18"/>
  <c r="L97" i="18"/>
  <c r="G122" i="18"/>
  <c r="K93" i="18"/>
  <c r="K109" i="18"/>
  <c r="AB104" i="18"/>
  <c r="X101" i="18"/>
  <c r="K104" i="18"/>
  <c r="M111" i="18"/>
  <c r="L87" i="18"/>
  <c r="AB125" i="18"/>
  <c r="M110" i="18"/>
  <c r="I108" i="18"/>
  <c r="G85" i="18"/>
  <c r="Y109" i="18"/>
  <c r="Z120" i="18"/>
  <c r="F128" i="18"/>
  <c r="I117" i="18"/>
  <c r="M103" i="18"/>
  <c r="M112" i="18"/>
  <c r="K116" i="18"/>
  <c r="N100" i="18"/>
  <c r="Y123" i="18"/>
  <c r="X109" i="18"/>
  <c r="N108" i="18"/>
  <c r="L100" i="18"/>
  <c r="F85" i="18"/>
  <c r="X123" i="18"/>
  <c r="L117" i="18"/>
  <c r="G124" i="18"/>
  <c r="I103" i="18"/>
  <c r="AB102" i="18"/>
  <c r="G99" i="18"/>
  <c r="K101" i="18"/>
  <c r="X82" i="18"/>
  <c r="AB92" i="18"/>
  <c r="Z91" i="18"/>
  <c r="Z110" i="18"/>
  <c r="G94" i="18"/>
  <c r="Z125" i="18"/>
  <c r="AB83" i="18"/>
  <c r="X92" i="18"/>
  <c r="N89" i="18"/>
  <c r="X100" i="18"/>
  <c r="N85" i="18"/>
  <c r="M107" i="18"/>
  <c r="N112" i="18"/>
  <c r="X107" i="18"/>
  <c r="K87" i="18"/>
  <c r="I128" i="18"/>
  <c r="Y93" i="18"/>
  <c r="Y101" i="18"/>
  <c r="K105" i="18"/>
  <c r="N114" i="18"/>
  <c r="I115" i="18"/>
  <c r="F88" i="18"/>
  <c r="L120" i="18"/>
  <c r="AB114" i="18"/>
  <c r="I124" i="18"/>
  <c r="AB112" i="18"/>
  <c r="Z92" i="18"/>
  <c r="AB124" i="18"/>
  <c r="AB90" i="18"/>
  <c r="I86" i="18"/>
  <c r="L123" i="18"/>
  <c r="N120" i="18"/>
  <c r="X128" i="18"/>
  <c r="Y102" i="18"/>
  <c r="Z93" i="18"/>
  <c r="M118" i="18"/>
  <c r="N105" i="18"/>
  <c r="Y95" i="18"/>
  <c r="Y82" i="18"/>
  <c r="N127" i="18"/>
  <c r="N126" i="18"/>
  <c r="G118" i="18"/>
  <c r="Z124" i="18"/>
  <c r="K127" i="18"/>
  <c r="F101" i="18"/>
  <c r="M95" i="18"/>
  <c r="X116" i="18"/>
  <c r="K98" i="18"/>
  <c r="L86" i="18"/>
  <c r="K89" i="18"/>
  <c r="G123" i="18"/>
  <c r="F93" i="18"/>
  <c r="N94" i="18"/>
  <c r="N98" i="18"/>
  <c r="M91" i="18"/>
  <c r="F84" i="18"/>
  <c r="AB98" i="18"/>
  <c r="X102" i="18"/>
  <c r="L90" i="18"/>
  <c r="Z116" i="18"/>
  <c r="Z111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708" i="4" l="1"/>
  <c r="K7" i="22"/>
  <c r="K15" i="21"/>
  <c r="G131" i="1"/>
  <c r="B130" i="1"/>
  <c r="A130" i="1"/>
  <c r="K14" i="21"/>
  <c r="K12" i="21"/>
  <c r="K3" i="21"/>
  <c r="K13" i="22"/>
  <c r="K44" i="22"/>
  <c r="K6" i="22"/>
  <c r="K43" i="22"/>
  <c r="K32" i="22"/>
  <c r="K45" i="22"/>
  <c r="K35" i="22"/>
  <c r="K1152" i="4"/>
  <c r="K1709" i="4"/>
  <c r="AA1719" i="4"/>
  <c r="K40" i="22"/>
  <c r="K5" i="21"/>
  <c r="K1710" i="4"/>
  <c r="K1714" i="4"/>
  <c r="K1697" i="4"/>
  <c r="K1580" i="4"/>
  <c r="K1717" i="4"/>
  <c r="K1711" i="4"/>
  <c r="R104" i="18"/>
  <c r="O104" i="18"/>
  <c r="O80" i="18"/>
  <c r="R80" i="18"/>
  <c r="U80" i="18"/>
  <c r="W80" i="18"/>
  <c r="O118" i="18"/>
  <c r="R118" i="18"/>
  <c r="O29" i="18"/>
  <c r="R29" i="18"/>
  <c r="U29" i="18"/>
  <c r="W29" i="18"/>
  <c r="K26" i="21"/>
  <c r="O125" i="18"/>
  <c r="R125" i="18"/>
  <c r="K21" i="21"/>
  <c r="O13" i="18"/>
  <c r="R13" i="18"/>
  <c r="W13" i="18"/>
  <c r="U13" i="18"/>
  <c r="R89" i="18"/>
  <c r="O89" i="18"/>
  <c r="K1715" i="4"/>
  <c r="K6" i="21"/>
  <c r="K1719" i="4"/>
  <c r="K16" i="21"/>
  <c r="R82" i="18"/>
  <c r="O82" i="18"/>
  <c r="K29" i="22"/>
  <c r="O49" i="18"/>
  <c r="R49" i="18"/>
  <c r="U49" i="18"/>
  <c r="W49" i="18"/>
  <c r="R102" i="18"/>
  <c r="O102" i="18"/>
  <c r="R91" i="18"/>
  <c r="O91" i="18"/>
  <c r="K23" i="21"/>
  <c r="R120" i="18"/>
  <c r="O120" i="18"/>
  <c r="R126" i="18"/>
  <c r="O126" i="18"/>
  <c r="K3" i="22"/>
  <c r="K13" i="21"/>
  <c r="K33" i="22"/>
  <c r="O124" i="18"/>
  <c r="R124" i="18"/>
  <c r="K4" i="22"/>
  <c r="O47" i="18"/>
  <c r="R47" i="18"/>
  <c r="W47" i="18"/>
  <c r="U47" i="18"/>
  <c r="K8" i="21"/>
  <c r="O81" i="18"/>
  <c r="R81" i="18"/>
  <c r="W81" i="18"/>
  <c r="R93" i="18"/>
  <c r="O93" i="18"/>
  <c r="R109" i="18"/>
  <c r="O109" i="18"/>
  <c r="R37" i="18"/>
  <c r="O37" i="18"/>
  <c r="W37" i="18"/>
  <c r="U37" i="18"/>
  <c r="R70" i="18"/>
  <c r="O70" i="18"/>
  <c r="W70" i="18"/>
  <c r="U70" i="18"/>
  <c r="O72" i="18"/>
  <c r="R72" i="18"/>
  <c r="W72" i="18"/>
  <c r="U72" i="18"/>
  <c r="R103" i="18"/>
  <c r="O103" i="18"/>
  <c r="O43" i="18"/>
  <c r="R43" i="18"/>
  <c r="W43" i="18"/>
  <c r="U43" i="18"/>
  <c r="R58" i="18"/>
  <c r="O58" i="18"/>
  <c r="W58" i="18"/>
  <c r="U58" i="18"/>
  <c r="O27" i="18"/>
  <c r="R27" i="18"/>
  <c r="W27" i="18"/>
  <c r="U27" i="18"/>
  <c r="O39" i="18"/>
  <c r="R39" i="18"/>
  <c r="U39" i="18"/>
  <c r="W39" i="18"/>
  <c r="R66" i="18"/>
  <c r="O66" i="18"/>
  <c r="I4" i="20"/>
  <c r="W66" i="18"/>
  <c r="U66" i="18"/>
  <c r="R97" i="18"/>
  <c r="O97" i="18"/>
  <c r="O51" i="18"/>
  <c r="R51" i="18"/>
  <c r="U51" i="18"/>
  <c r="W51" i="18"/>
  <c r="R56" i="18"/>
  <c r="O56" i="18"/>
  <c r="U56" i="18"/>
  <c r="W56" i="18"/>
  <c r="O42" i="18"/>
  <c r="R42" i="18"/>
  <c r="W42" i="18"/>
  <c r="U42" i="18"/>
  <c r="R86" i="18"/>
  <c r="O86" i="18"/>
  <c r="K27" i="22"/>
  <c r="O74" i="18"/>
  <c r="R74" i="18"/>
  <c r="W74" i="18"/>
  <c r="U74" i="18"/>
  <c r="O99" i="18"/>
  <c r="R99" i="18"/>
  <c r="R23" i="18"/>
  <c r="O23" i="18"/>
  <c r="U23" i="18"/>
  <c r="W23" i="18"/>
  <c r="R128" i="18"/>
  <c r="O128" i="18"/>
  <c r="O65" i="18"/>
  <c r="R65" i="18"/>
  <c r="W65" i="18"/>
  <c r="U65" i="18"/>
  <c r="AD1719" i="4"/>
  <c r="AI1719" i="4" s="1"/>
  <c r="AB1719" i="4"/>
  <c r="AC1719" i="4"/>
  <c r="O78" i="18"/>
  <c r="R78" i="18"/>
  <c r="U78" i="18"/>
  <c r="W78" i="18"/>
  <c r="K1713" i="4"/>
  <c r="O106" i="18"/>
  <c r="R106" i="18"/>
  <c r="K1716" i="4"/>
  <c r="R110" i="18"/>
  <c r="O110" i="18"/>
  <c r="R123" i="18"/>
  <c r="O123" i="18"/>
  <c r="K22" i="21"/>
  <c r="K25" i="22"/>
  <c r="R100" i="18"/>
  <c r="O100" i="18"/>
  <c r="O15" i="18"/>
  <c r="R15" i="18"/>
  <c r="U15" i="18"/>
  <c r="W15" i="18"/>
  <c r="R75" i="18"/>
  <c r="O75" i="18"/>
  <c r="W75" i="18"/>
  <c r="U75" i="18"/>
  <c r="K27" i="21"/>
  <c r="K1712" i="4"/>
  <c r="O17" i="18"/>
  <c r="R17" i="18"/>
  <c r="U17" i="18"/>
  <c r="W17" i="18"/>
  <c r="O84" i="18"/>
  <c r="R84" i="18"/>
  <c r="O18" i="18"/>
  <c r="R18" i="18"/>
  <c r="W18" i="18"/>
  <c r="U18" i="18"/>
  <c r="O61" i="18"/>
  <c r="R61" i="18"/>
  <c r="U61" i="18"/>
  <c r="W61" i="18"/>
  <c r="R119" i="18"/>
  <c r="O119" i="18"/>
  <c r="O44" i="18"/>
  <c r="R44" i="18"/>
  <c r="W44" i="18"/>
  <c r="U44" i="18"/>
  <c r="O77" i="18"/>
  <c r="R77" i="18"/>
  <c r="W77" i="18"/>
  <c r="U77" i="18"/>
  <c r="K20" i="22"/>
  <c r="K42" i="22"/>
  <c r="R54" i="18"/>
  <c r="O54" i="18"/>
  <c r="U54" i="18"/>
  <c r="W54" i="18"/>
  <c r="K1718" i="4"/>
  <c r="R57" i="18"/>
  <c r="O57" i="18"/>
  <c r="W57" i="18"/>
  <c r="U57" i="18"/>
  <c r="R46" i="18"/>
  <c r="O46" i="18"/>
  <c r="U46" i="18"/>
  <c r="W46" i="18"/>
  <c r="O26" i="18"/>
  <c r="R26" i="18"/>
  <c r="U26" i="18"/>
  <c r="W26" i="18"/>
  <c r="O67" i="18"/>
  <c r="R67" i="18"/>
  <c r="W67" i="18"/>
  <c r="U67" i="18"/>
  <c r="I5" i="20"/>
  <c r="O96" i="18"/>
  <c r="R96" i="18"/>
  <c r="G5" i="20"/>
  <c r="O76" i="18"/>
  <c r="R76" i="18"/>
  <c r="U76" i="18"/>
  <c r="W76" i="18"/>
  <c r="O115" i="18"/>
  <c r="R115" i="18"/>
  <c r="O32" i="18"/>
  <c r="R32" i="18"/>
  <c r="U32" i="18"/>
  <c r="W32" i="18"/>
  <c r="R40" i="18"/>
  <c r="O40" i="18"/>
  <c r="U40" i="18"/>
  <c r="W40" i="18"/>
  <c r="G2" i="20"/>
  <c r="G4" i="20"/>
  <c r="O33" i="18"/>
  <c r="R33" i="18"/>
  <c r="W33" i="18"/>
  <c r="U33" i="18"/>
  <c r="O116" i="18"/>
  <c r="R116" i="18"/>
  <c r="R36" i="18"/>
  <c r="O36" i="18"/>
  <c r="U36" i="18"/>
  <c r="W36" i="18"/>
  <c r="O60" i="18"/>
  <c r="R60" i="18"/>
  <c r="W60" i="18"/>
  <c r="U60" i="18"/>
  <c r="O14" i="18"/>
  <c r="R14" i="18"/>
  <c r="W14" i="18"/>
  <c r="U14" i="18"/>
  <c r="O79" i="18"/>
  <c r="R79" i="18"/>
  <c r="W79" i="18"/>
  <c r="U79" i="18"/>
  <c r="O114" i="18"/>
  <c r="R114" i="18"/>
  <c r="R63" i="18"/>
  <c r="O63" i="18"/>
  <c r="W63" i="18"/>
  <c r="U63" i="18"/>
  <c r="R35" i="18"/>
  <c r="O35" i="18"/>
  <c r="I3" i="20"/>
  <c r="F11" i="12"/>
  <c r="U35" i="18"/>
  <c r="W35" i="18"/>
  <c r="R48" i="18"/>
  <c r="O48" i="18"/>
  <c r="U48" i="18"/>
  <c r="W48" i="18"/>
  <c r="O28" i="18"/>
  <c r="R28" i="18"/>
  <c r="W28" i="18"/>
  <c r="U28" i="18"/>
  <c r="O50" i="18"/>
  <c r="R50" i="18"/>
  <c r="W50" i="18"/>
  <c r="U50" i="18"/>
  <c r="O24" i="18"/>
  <c r="R24" i="18"/>
  <c r="W24" i="18"/>
  <c r="U24" i="18"/>
  <c r="O34" i="18"/>
  <c r="R34" i="18"/>
  <c r="U34" i="18"/>
  <c r="W34" i="18"/>
  <c r="O83" i="18"/>
  <c r="R83" i="18"/>
  <c r="AC1709" i="4"/>
  <c r="AD1709" i="4"/>
  <c r="AI1709" i="4" s="1"/>
  <c r="AB1709" i="4"/>
  <c r="R69" i="18"/>
  <c r="O69" i="18"/>
  <c r="W69" i="18"/>
  <c r="U69" i="18"/>
  <c r="O16" i="18"/>
  <c r="R16" i="18"/>
  <c r="W16" i="18"/>
  <c r="U16" i="18"/>
  <c r="O9" i="18"/>
  <c r="R9" i="18"/>
  <c r="I2" i="20"/>
  <c r="U9" i="18"/>
  <c r="W9" i="18"/>
  <c r="F10" i="12"/>
  <c r="O90" i="18"/>
  <c r="R90" i="18"/>
  <c r="R21" i="18"/>
  <c r="O21" i="18"/>
  <c r="W21" i="18"/>
  <c r="U21" i="18"/>
  <c r="R111" i="18"/>
  <c r="O111" i="18"/>
  <c r="K5" i="22"/>
  <c r="R45" i="18"/>
  <c r="O45" i="18"/>
  <c r="W45" i="18"/>
  <c r="U45" i="18"/>
  <c r="O52" i="18"/>
  <c r="R52" i="18"/>
  <c r="U52" i="18"/>
  <c r="W52" i="18"/>
  <c r="O19" i="18"/>
  <c r="R19" i="18"/>
  <c r="W19" i="18"/>
  <c r="U19" i="18"/>
  <c r="R122" i="18"/>
  <c r="O122" i="18"/>
  <c r="K26" i="22"/>
  <c r="R10" i="18"/>
  <c r="O10" i="18"/>
  <c r="W10" i="18"/>
  <c r="U10" i="18"/>
  <c r="R85" i="18"/>
  <c r="O85" i="18"/>
  <c r="O62" i="18"/>
  <c r="R62" i="18"/>
  <c r="W62" i="18"/>
  <c r="U62" i="18"/>
  <c r="R117" i="18"/>
  <c r="O117" i="18"/>
  <c r="K9" i="22"/>
  <c r="O68" i="18"/>
  <c r="R68" i="18"/>
  <c r="W68" i="18"/>
  <c r="U68" i="18"/>
  <c r="R94" i="18"/>
  <c r="O94" i="18"/>
  <c r="R92" i="18"/>
  <c r="O92" i="18"/>
  <c r="R30" i="18"/>
  <c r="O30" i="18"/>
  <c r="W30" i="18"/>
  <c r="U30" i="18"/>
  <c r="R11" i="18"/>
  <c r="O11" i="18"/>
  <c r="W11" i="18"/>
  <c r="U11" i="18"/>
  <c r="R22" i="18"/>
  <c r="O22" i="18"/>
  <c r="W22" i="18"/>
  <c r="U22" i="18"/>
  <c r="O107" i="18"/>
  <c r="R107" i="18"/>
  <c r="R105" i="18"/>
  <c r="O105" i="18"/>
  <c r="R121" i="18"/>
  <c r="O121" i="18"/>
  <c r="K1707" i="4"/>
  <c r="R38" i="18"/>
  <c r="O38" i="18"/>
  <c r="U38" i="18"/>
  <c r="W38" i="18"/>
  <c r="R12" i="18"/>
  <c r="O12" i="18"/>
  <c r="W12" i="18"/>
  <c r="U12" i="18"/>
  <c r="K10" i="22"/>
  <c r="K1568" i="4"/>
  <c r="K16" i="22"/>
  <c r="R87" i="18"/>
  <c r="O87" i="18"/>
  <c r="R101" i="18"/>
  <c r="O101" i="18"/>
  <c r="R108" i="18"/>
  <c r="O108" i="18"/>
  <c r="K9" i="21"/>
  <c r="O20" i="18"/>
  <c r="R20" i="18"/>
  <c r="W20" i="18"/>
  <c r="U20" i="18"/>
  <c r="R112" i="18"/>
  <c r="O112" i="18"/>
  <c r="R95" i="18"/>
  <c r="O95" i="18"/>
  <c r="K31" i="22"/>
  <c r="R113" i="18"/>
  <c r="O113" i="18"/>
  <c r="K46" i="22"/>
  <c r="O25" i="18"/>
  <c r="R25" i="18"/>
  <c r="W25" i="18"/>
  <c r="U25" i="18"/>
  <c r="O31" i="18"/>
  <c r="R31" i="18"/>
  <c r="U31" i="18"/>
  <c r="W31" i="18"/>
  <c r="O55" i="18"/>
  <c r="R55" i="18"/>
  <c r="W55" i="18"/>
  <c r="U55" i="18"/>
  <c r="O73" i="18"/>
  <c r="R73" i="18"/>
  <c r="W73" i="18"/>
  <c r="U73" i="18"/>
  <c r="R59" i="18"/>
  <c r="O59" i="18"/>
  <c r="U59" i="18"/>
  <c r="W59" i="18"/>
  <c r="O71" i="18"/>
  <c r="R71" i="18"/>
  <c r="W71" i="18"/>
  <c r="U71" i="18"/>
  <c r="R64" i="18"/>
  <c r="O64" i="18"/>
  <c r="U64" i="18"/>
  <c r="W64" i="18"/>
  <c r="K28" i="21"/>
  <c r="K18" i="21"/>
  <c r="K18" i="22"/>
  <c r="K15" i="22"/>
  <c r="K19" i="21"/>
  <c r="O41" i="18"/>
  <c r="R41" i="18"/>
  <c r="U41" i="18"/>
  <c r="W41" i="18"/>
  <c r="K12" i="22"/>
  <c r="K17" i="22"/>
  <c r="O127" i="18"/>
  <c r="R127" i="18"/>
  <c r="AA1709" i="4"/>
  <c r="K30" i="22"/>
  <c r="O98" i="18"/>
  <c r="R98" i="18"/>
  <c r="K19" i="22"/>
  <c r="O53" i="18"/>
  <c r="R53" i="18"/>
  <c r="U53" i="18"/>
  <c r="W53" i="18"/>
  <c r="K10" i="21"/>
  <c r="O88" i="18"/>
  <c r="R88" i="18"/>
  <c r="K1329" i="4"/>
  <c r="K1554" i="4"/>
  <c r="K1430" i="4"/>
  <c r="K1448" i="4"/>
  <c r="K1705" i="4"/>
  <c r="K1388" i="4"/>
  <c r="AA1537" i="4"/>
  <c r="K1529" i="4"/>
  <c r="AA1696" i="4"/>
  <c r="K1704" i="4"/>
  <c r="K1702" i="4"/>
  <c r="K1681" i="4"/>
  <c r="K1699" i="4"/>
  <c r="AA1706" i="4"/>
  <c r="K1695" i="4"/>
  <c r="K1706" i="4"/>
  <c r="K1701" i="4"/>
  <c r="K1698" i="4"/>
  <c r="AB1696" i="4"/>
  <c r="AD1696" i="4"/>
  <c r="AI1696" i="4" s="1"/>
  <c r="AC1696" i="4"/>
  <c r="K1696" i="4"/>
  <c r="AD1706" i="4"/>
  <c r="AI1706" i="4" s="1"/>
  <c r="AC1706" i="4"/>
  <c r="AB1706" i="4"/>
  <c r="K1700" i="4"/>
  <c r="K1703" i="4"/>
  <c r="K1694" i="4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1610" i="4"/>
  <c r="K1355" i="4"/>
  <c r="K1600" i="4"/>
  <c r="K1604" i="4"/>
  <c r="K1611" i="4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1216" i="4"/>
  <c r="K1214" i="4"/>
  <c r="K1217" i="4"/>
  <c r="K1223" i="4"/>
  <c r="K1215" i="4"/>
  <c r="K1218" i="4"/>
  <c r="K1225" i="4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207" i="4"/>
  <c r="K1210" i="4"/>
  <c r="K1200" i="4"/>
  <c r="AA1212" i="4"/>
  <c r="K1201" i="4"/>
  <c r="K1211" i="4"/>
  <c r="K1206" i="4"/>
  <c r="K1204" i="4"/>
  <c r="K1208" i="4"/>
  <c r="K1205" i="4"/>
  <c r="K1212" i="4"/>
  <c r="K1203" i="4"/>
  <c r="K1209" i="4"/>
  <c r="AA1202" i="4"/>
  <c r="AD1202" i="4"/>
  <c r="AI1202" i="4" s="1"/>
  <c r="AB1202" i="4"/>
  <c r="AC1202" i="4"/>
  <c r="K1194" i="4"/>
  <c r="AD1212" i="4"/>
  <c r="AI1212" i="4" s="1"/>
  <c r="AC1212" i="4"/>
  <c r="AB1212" i="4"/>
  <c r="K1202" i="4"/>
  <c r="AA1199" i="4"/>
  <c r="AA1189" i="4"/>
  <c r="K1191" i="4"/>
  <c r="K1198" i="4"/>
  <c r="K1199" i="4"/>
  <c r="K1190" i="4"/>
  <c r="AA1186" i="4"/>
  <c r="K1187" i="4"/>
  <c r="AC1199" i="4"/>
  <c r="AD1199" i="4"/>
  <c r="AI1199" i="4" s="1"/>
  <c r="AB1199" i="4"/>
  <c r="K1188" i="4"/>
  <c r="K1196" i="4"/>
  <c r="K1193" i="4"/>
  <c r="K1192" i="4"/>
  <c r="K1189" i="4"/>
  <c r="AD1189" i="4"/>
  <c r="AI1189" i="4" s="1"/>
  <c r="AB1189" i="4"/>
  <c r="AC1189" i="4"/>
  <c r="K1195" i="4"/>
  <c r="K1197" i="4"/>
  <c r="K1182" i="4"/>
  <c r="AA1176" i="4"/>
  <c r="K1175" i="4"/>
  <c r="K1183" i="4"/>
  <c r="K1176" i="4"/>
  <c r="K1179" i="4"/>
  <c r="K1180" i="4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1149" i="4"/>
  <c r="K1171" i="4"/>
  <c r="K1164" i="4"/>
  <c r="K1166" i="4"/>
  <c r="K1172" i="4"/>
  <c r="K1167" i="4"/>
  <c r="AC1163" i="4"/>
  <c r="AB1163" i="4"/>
  <c r="AD1163" i="4"/>
  <c r="AI1163" i="4" s="1"/>
  <c r="AD1173" i="4"/>
  <c r="AI1173" i="4" s="1"/>
  <c r="AB1173" i="4"/>
  <c r="AC1173" i="4"/>
  <c r="K1161" i="4"/>
  <c r="K1173" i="4"/>
  <c r="K1169" i="4"/>
  <c r="K1170" i="4"/>
  <c r="K1163" i="4"/>
  <c r="AA1163" i="4"/>
  <c r="K1162" i="4"/>
  <c r="K1153" i="4"/>
  <c r="K1158" i="4"/>
  <c r="K1157" i="4"/>
  <c r="K1154" i="4"/>
  <c r="AA1160" i="4"/>
  <c r="K1156" i="4"/>
  <c r="D18" i="13"/>
  <c r="D11" i="10"/>
  <c r="D4" i="12"/>
  <c r="D20" i="13" s="1"/>
  <c r="K1141" i="4"/>
  <c r="K1148" i="4"/>
  <c r="K1160" i="4"/>
  <c r="K1155" i="4"/>
  <c r="K1151" i="4"/>
  <c r="D9" i="13"/>
  <c r="F11" i="10"/>
  <c r="AD1150" i="4"/>
  <c r="AI1150" i="4" s="1"/>
  <c r="AC1150" i="4"/>
  <c r="AB1150" i="4"/>
  <c r="K1159" i="4"/>
  <c r="AA1150" i="4"/>
  <c r="AD1160" i="4"/>
  <c r="AI1160" i="4" s="1"/>
  <c r="AB1160" i="4"/>
  <c r="AC1160" i="4"/>
  <c r="K1150" i="4"/>
  <c r="K1143" i="4"/>
  <c r="K1140" i="4"/>
  <c r="K1139" i="4"/>
  <c r="AA1147" i="4"/>
  <c r="U94" i="18"/>
  <c r="W94" i="18"/>
  <c r="U90" i="18"/>
  <c r="U89" i="18"/>
  <c r="W89" i="18"/>
  <c r="D12" i="12"/>
  <c r="W100" i="18"/>
  <c r="U100" i="18"/>
  <c r="D13" i="12"/>
  <c r="W125" i="18"/>
  <c r="U125" i="18"/>
  <c r="W101" i="18"/>
  <c r="U101" i="18"/>
  <c r="Z40" i="19"/>
  <c r="W93" i="18"/>
  <c r="U93" i="18"/>
  <c r="K1135" i="4"/>
  <c r="W115" i="18"/>
  <c r="U115" i="18"/>
  <c r="U108" i="18"/>
  <c r="W108" i="18"/>
  <c r="W124" i="18"/>
  <c r="U124" i="18"/>
  <c r="U104" i="18"/>
  <c r="W104" i="18"/>
  <c r="U118" i="18"/>
  <c r="W118" i="18"/>
  <c r="U117" i="18"/>
  <c r="W117" i="18"/>
  <c r="U91" i="18"/>
  <c r="W91" i="18"/>
  <c r="U85" i="18"/>
  <c r="U97" i="18"/>
  <c r="W97" i="18"/>
  <c r="K1136" i="4"/>
  <c r="K1146" i="4"/>
  <c r="K1144" i="4"/>
  <c r="U107" i="18"/>
  <c r="W107" i="18"/>
  <c r="W99" i="18"/>
  <c r="U99" i="18"/>
  <c r="W122" i="18"/>
  <c r="U122" i="18"/>
  <c r="U84" i="18"/>
  <c r="W84" i="18"/>
  <c r="W87" i="18"/>
  <c r="U87" i="18"/>
  <c r="U112" i="18"/>
  <c r="W112" i="18"/>
  <c r="W126" i="18"/>
  <c r="U126" i="18"/>
  <c r="W105" i="18"/>
  <c r="U105" i="18"/>
  <c r="U88" i="18"/>
  <c r="W88" i="18"/>
  <c r="W119" i="18"/>
  <c r="U119" i="18"/>
  <c r="W83" i="18"/>
  <c r="U83" i="18"/>
  <c r="W114" i="18"/>
  <c r="U114" i="18"/>
  <c r="F13" i="12"/>
  <c r="U96" i="18"/>
  <c r="W96" i="18"/>
  <c r="U113" i="18"/>
  <c r="W113" i="18"/>
  <c r="W106" i="18"/>
  <c r="U106" i="18"/>
  <c r="F12" i="12"/>
  <c r="W82" i="18"/>
  <c r="U82" i="18"/>
  <c r="Q40" i="19"/>
  <c r="W121" i="18"/>
  <c r="U121" i="18"/>
  <c r="W116" i="18"/>
  <c r="U116" i="18"/>
  <c r="K1138" i="4"/>
  <c r="K1145" i="4"/>
  <c r="AA1137" i="4"/>
  <c r="U110" i="18"/>
  <c r="W110" i="18"/>
  <c r="F4" i="12"/>
  <c r="Q41" i="19"/>
  <c r="W128" i="18"/>
  <c r="U128" i="18"/>
  <c r="W95" i="18"/>
  <c r="U95" i="18"/>
  <c r="U127" i="18"/>
  <c r="W127" i="18"/>
  <c r="K1147" i="4"/>
  <c r="Z41" i="19"/>
  <c r="W103" i="18"/>
  <c r="U103" i="18"/>
  <c r="U111" i="18"/>
  <c r="W111" i="18"/>
  <c r="U120" i="18"/>
  <c r="W120" i="18"/>
  <c r="W109" i="18"/>
  <c r="U109" i="18"/>
  <c r="AD1147" i="4"/>
  <c r="AI1147" i="4" s="1"/>
  <c r="AB1147" i="4"/>
  <c r="AC1147" i="4"/>
  <c r="AB1137" i="4"/>
  <c r="AC1137" i="4"/>
  <c r="AD1137" i="4"/>
  <c r="AI1137" i="4" s="1"/>
  <c r="K1142" i="4"/>
  <c r="U102" i="18"/>
  <c r="W102" i="18"/>
  <c r="U123" i="18"/>
  <c r="W123" i="18"/>
  <c r="U92" i="18"/>
  <c r="W92" i="18"/>
  <c r="W86" i="18"/>
  <c r="U86" i="18"/>
  <c r="U98" i="18"/>
  <c r="K1137" i="4"/>
  <c r="T80" i="18"/>
  <c r="A40" i="6"/>
  <c r="B40" i="6"/>
  <c r="H40" i="14"/>
  <c r="C40" i="6"/>
  <c r="H41" i="6"/>
  <c r="I1753" i="4" l="1"/>
  <c r="J50" i="22"/>
  <c r="X1745" i="4"/>
  <c r="I1747" i="4"/>
  <c r="J1754" i="4"/>
  <c r="I1757" i="4"/>
  <c r="I1725" i="4"/>
  <c r="I1724" i="4"/>
  <c r="W1745" i="4"/>
  <c r="I1749" i="4"/>
  <c r="I49" i="22"/>
  <c r="W1725" i="4"/>
  <c r="J1752" i="4"/>
  <c r="I1723" i="4"/>
  <c r="J1723" i="4"/>
  <c r="K1723" i="4" s="1"/>
  <c r="W1728" i="4"/>
  <c r="J1740" i="4"/>
  <c r="I1730" i="4"/>
  <c r="I1748" i="4"/>
  <c r="I1732" i="4"/>
  <c r="J1727" i="4"/>
  <c r="I1729" i="4"/>
  <c r="X1731" i="4"/>
  <c r="X1724" i="4"/>
  <c r="J1753" i="4"/>
  <c r="K1753" i="4" s="1"/>
  <c r="J1738" i="4"/>
  <c r="X1729" i="4"/>
  <c r="J1746" i="4"/>
  <c r="W1723" i="4"/>
  <c r="J1724" i="4"/>
  <c r="I1733" i="4"/>
  <c r="J1732" i="4"/>
  <c r="I1754" i="4"/>
  <c r="I1755" i="4"/>
  <c r="J1758" i="4"/>
  <c r="I1726" i="4"/>
  <c r="I1745" i="4"/>
  <c r="J1743" i="4"/>
  <c r="J1739" i="4"/>
  <c r="J1733" i="4"/>
  <c r="J1749" i="4"/>
  <c r="X1726" i="4"/>
  <c r="W1721" i="4"/>
  <c r="I1728" i="4"/>
  <c r="W1720" i="4"/>
  <c r="I1722" i="4"/>
  <c r="I1750" i="4"/>
  <c r="W1724" i="4"/>
  <c r="I1731" i="4"/>
  <c r="W1727" i="4"/>
  <c r="J1726" i="4"/>
  <c r="I1758" i="4"/>
  <c r="X1728" i="4"/>
  <c r="J49" i="22"/>
  <c r="K49" i="22" s="1"/>
  <c r="J48" i="22"/>
  <c r="X1725" i="4"/>
  <c r="W1735" i="4"/>
  <c r="J1748" i="4"/>
  <c r="X1730" i="4"/>
  <c r="J1736" i="4"/>
  <c r="I1743" i="4"/>
  <c r="J1756" i="4"/>
  <c r="I1736" i="4"/>
  <c r="W1726" i="4"/>
  <c r="J1745" i="4"/>
  <c r="K1745" i="4" s="1"/>
  <c r="X1748" i="4"/>
  <c r="I1742" i="4"/>
  <c r="I1738" i="4"/>
  <c r="I1739" i="4"/>
  <c r="J1741" i="4"/>
  <c r="I47" i="22"/>
  <c r="J1722" i="4"/>
  <c r="X1721" i="4"/>
  <c r="AA1721" i="4" s="1"/>
  <c r="I1734" i="4"/>
  <c r="J1735" i="4"/>
  <c r="I1744" i="4"/>
  <c r="I1721" i="4"/>
  <c r="J1755" i="4"/>
  <c r="J1757" i="4"/>
  <c r="K1757" i="4" s="1"/>
  <c r="W1731" i="4"/>
  <c r="J1721" i="4"/>
  <c r="W1730" i="4"/>
  <c r="J47" i="22"/>
  <c r="K47" i="22" s="1"/>
  <c r="J1725" i="4"/>
  <c r="J1729" i="4"/>
  <c r="I1720" i="4"/>
  <c r="J1751" i="4"/>
  <c r="J1747" i="4"/>
  <c r="K1747" i="4" s="1"/>
  <c r="J1734" i="4"/>
  <c r="I1756" i="4"/>
  <c r="J1737" i="4"/>
  <c r="W1758" i="4"/>
  <c r="W1729" i="4"/>
  <c r="I1746" i="4"/>
  <c r="X1723" i="4"/>
  <c r="AA1723" i="4" s="1"/>
  <c r="I1752" i="4"/>
  <c r="J1744" i="4"/>
  <c r="J1730" i="4"/>
  <c r="K1730" i="4" s="1"/>
  <c r="J1750" i="4"/>
  <c r="I1740" i="4"/>
  <c r="X1732" i="4"/>
  <c r="I1727" i="4"/>
  <c r="J1742" i="4"/>
  <c r="I1735" i="4"/>
  <c r="I1751" i="4"/>
  <c r="J1728" i="4"/>
  <c r="K1728" i="4" s="1"/>
  <c r="J1720" i="4"/>
  <c r="X1735" i="4"/>
  <c r="X1758" i="4"/>
  <c r="I50" i="22"/>
  <c r="W1748" i="4"/>
  <c r="I1741" i="4"/>
  <c r="I1737" i="4"/>
  <c r="W1732" i="4"/>
  <c r="X1727" i="4"/>
  <c r="J1731" i="4"/>
  <c r="W1722" i="4"/>
  <c r="X1722" i="4"/>
  <c r="X1720" i="4"/>
  <c r="AA1720" i="4" s="1"/>
  <c r="I48" i="22"/>
  <c r="AT221" i="18"/>
  <c r="AT191" i="18"/>
  <c r="AT275" i="18"/>
  <c r="AT297" i="18"/>
  <c r="AA227" i="18"/>
  <c r="AT193" i="18"/>
  <c r="AT210" i="18"/>
  <c r="AT283" i="18"/>
  <c r="AA341" i="18"/>
  <c r="AA350" i="18"/>
  <c r="AT257" i="18"/>
  <c r="AA242" i="18"/>
  <c r="AA159" i="18"/>
  <c r="AT333" i="18"/>
  <c r="AA272" i="18"/>
  <c r="AT273" i="18"/>
  <c r="AA216" i="18"/>
  <c r="AT134" i="18"/>
  <c r="AA264" i="18"/>
  <c r="AA129" i="18"/>
  <c r="AT341" i="18"/>
  <c r="AA270" i="18"/>
  <c r="AA325" i="18"/>
  <c r="AT170" i="18"/>
  <c r="AA363" i="18"/>
  <c r="AA202" i="18"/>
  <c r="AT207" i="18"/>
  <c r="AA345" i="18"/>
  <c r="AA134" i="18"/>
  <c r="AT366" i="18"/>
  <c r="AT185" i="18"/>
  <c r="AA170" i="18"/>
  <c r="AT150" i="18"/>
  <c r="AT324" i="18"/>
  <c r="AA222" i="18"/>
  <c r="AT362" i="18"/>
  <c r="AT140" i="18"/>
  <c r="AT301" i="18"/>
  <c r="AA200" i="18"/>
  <c r="AA329" i="18"/>
  <c r="AA266" i="18"/>
  <c r="AA365" i="18"/>
  <c r="AA247" i="18"/>
  <c r="AT262" i="18"/>
  <c r="AA204" i="18"/>
  <c r="AA142" i="18"/>
  <c r="AT157" i="18"/>
  <c r="AA193" i="18"/>
  <c r="AA130" i="18"/>
  <c r="AA327" i="18"/>
  <c r="AT288" i="18"/>
  <c r="AA310" i="18"/>
  <c r="AT278" i="18"/>
  <c r="AT135" i="18"/>
  <c r="AT177" i="18"/>
  <c r="AA244" i="18"/>
  <c r="AT318" i="18"/>
  <c r="AT296" i="18"/>
  <c r="AT300" i="18"/>
  <c r="AA182" i="18"/>
  <c r="AT282" i="18"/>
  <c r="M359" i="18"/>
  <c r="N362" i="18"/>
  <c r="F133" i="18"/>
  <c r="T133" i="18" s="1"/>
  <c r="Y148" i="18"/>
  <c r="I215" i="18"/>
  <c r="K192" i="18"/>
  <c r="L198" i="18"/>
  <c r="I354" i="18"/>
  <c r="N144" i="18"/>
  <c r="G150" i="18"/>
  <c r="M157" i="18"/>
  <c r="K179" i="18"/>
  <c r="Z169" i="18"/>
  <c r="M341" i="18"/>
  <c r="Y238" i="18"/>
  <c r="N366" i="18"/>
  <c r="X152" i="18"/>
  <c r="AB188" i="18"/>
  <c r="AT337" i="18"/>
  <c r="AA328" i="18"/>
  <c r="AT348" i="18"/>
  <c r="AA207" i="18"/>
  <c r="AT306" i="18"/>
  <c r="AT198" i="18"/>
  <c r="AA157" i="18"/>
  <c r="AA318" i="18"/>
  <c r="AA367" i="18"/>
  <c r="AA291" i="18"/>
  <c r="AA279" i="18"/>
  <c r="AT165" i="18"/>
  <c r="AT131" i="18"/>
  <c r="AT293" i="18"/>
  <c r="AT163" i="18"/>
  <c r="AA299" i="18"/>
  <c r="AT242" i="18"/>
  <c r="AA319" i="18"/>
  <c r="AA211" i="18"/>
  <c r="AA359" i="18"/>
  <c r="AA238" i="18"/>
  <c r="AA177" i="18"/>
  <c r="AA220" i="18"/>
  <c r="AA161" i="18"/>
  <c r="AA212" i="18"/>
  <c r="AA137" i="18"/>
  <c r="AA316" i="18"/>
  <c r="AA284" i="18"/>
  <c r="AT133" i="18"/>
  <c r="AA298" i="18"/>
  <c r="AA255" i="18"/>
  <c r="AA183" i="18"/>
  <c r="AA360" i="18"/>
  <c r="AA169" i="18"/>
  <c r="AT353" i="18"/>
  <c r="AT265" i="18"/>
  <c r="AA339" i="18"/>
  <c r="AA198" i="18"/>
  <c r="AA215" i="18"/>
  <c r="AA253" i="18"/>
  <c r="AT164" i="18"/>
  <c r="AA146" i="18"/>
  <c r="AT259" i="18"/>
  <c r="AA210" i="18"/>
  <c r="AT227" i="18"/>
  <c r="AT175" i="18"/>
  <c r="AA293" i="18"/>
  <c r="AT255" i="18"/>
  <c r="AA346" i="18"/>
  <c r="AA353" i="18"/>
  <c r="AT261" i="18"/>
  <c r="AT173" i="18"/>
  <c r="AT151" i="18"/>
  <c r="AT319" i="18"/>
  <c r="AT251" i="18"/>
  <c r="AA343" i="18"/>
  <c r="K247" i="18"/>
  <c r="I336" i="18"/>
  <c r="N369" i="18"/>
  <c r="Z175" i="18"/>
  <c r="F155" i="18"/>
  <c r="T155" i="18" s="1"/>
  <c r="Y291" i="18"/>
  <c r="M170" i="18"/>
  <c r="M308" i="18"/>
  <c r="K135" i="18"/>
  <c r="X146" i="18"/>
  <c r="N341" i="18"/>
  <c r="Y328" i="18"/>
  <c r="G212" i="18"/>
  <c r="M202" i="18"/>
  <c r="N318" i="18"/>
  <c r="N254" i="18"/>
  <c r="I161" i="18"/>
  <c r="I181" i="18"/>
  <c r="Y308" i="18"/>
  <c r="F180" i="18"/>
  <c r="T180" i="18" s="1"/>
  <c r="AA303" i="18"/>
  <c r="AT260" i="18"/>
  <c r="AA160" i="18"/>
  <c r="AA249" i="18"/>
  <c r="AA132" i="18"/>
  <c r="AA226" i="18"/>
  <c r="AT309" i="18"/>
  <c r="AA181" i="18"/>
  <c r="AT264" i="18"/>
  <c r="AT248" i="18"/>
  <c r="AT290" i="18"/>
  <c r="AA176" i="18"/>
  <c r="AA306" i="18"/>
  <c r="AA179" i="18"/>
  <c r="AT336" i="18"/>
  <c r="AA147" i="18"/>
  <c r="AT244" i="18"/>
  <c r="AA209" i="18"/>
  <c r="AT152" i="18"/>
  <c r="AT216" i="18"/>
  <c r="AT298" i="18"/>
  <c r="AT287" i="18"/>
  <c r="AT213" i="18"/>
  <c r="AA140" i="18"/>
  <c r="AT155" i="18"/>
  <c r="AA133" i="18"/>
  <c r="AT186" i="18"/>
  <c r="AT215" i="18"/>
  <c r="AA342" i="18"/>
  <c r="AA240" i="18"/>
  <c r="AA340" i="18"/>
  <c r="AA185" i="18"/>
  <c r="AA368" i="18"/>
  <c r="AT224" i="18"/>
  <c r="AA194" i="18"/>
  <c r="AT253" i="18"/>
  <c r="AA285" i="18"/>
  <c r="AA223" i="18"/>
  <c r="AA313" i="18"/>
  <c r="AT311" i="18"/>
  <c r="AT268" i="18"/>
  <c r="AA301" i="18"/>
  <c r="AA292" i="18"/>
  <c r="AA154" i="18"/>
  <c r="AT247" i="18"/>
  <c r="AT143" i="18"/>
  <c r="AA237" i="18"/>
  <c r="AT271" i="18"/>
  <c r="AA167" i="18"/>
  <c r="AT236" i="18"/>
  <c r="AT199" i="18"/>
  <c r="AT239" i="18"/>
  <c r="AA231" i="18"/>
  <c r="AT350" i="18"/>
  <c r="AA332" i="18"/>
  <c r="AT225" i="18"/>
  <c r="AT202" i="18"/>
  <c r="AT286" i="18"/>
  <c r="AT327" i="18"/>
  <c r="AT344" i="18"/>
  <c r="AT249" i="18"/>
  <c r="AT289" i="18"/>
  <c r="AT303" i="18"/>
  <c r="F351" i="18"/>
  <c r="T351" i="18" s="1"/>
  <c r="F299" i="18"/>
  <c r="T299" i="18" s="1"/>
  <c r="L136" i="18"/>
  <c r="AB164" i="18"/>
  <c r="I174" i="18"/>
  <c r="I147" i="18"/>
  <c r="K143" i="18"/>
  <c r="M150" i="18"/>
  <c r="N224" i="18"/>
  <c r="G202" i="18"/>
  <c r="I252" i="18"/>
  <c r="M262" i="18"/>
  <c r="N231" i="18"/>
  <c r="K223" i="18"/>
  <c r="I284" i="18"/>
  <c r="I343" i="18"/>
  <c r="F317" i="18"/>
  <c r="T317" i="18" s="1"/>
  <c r="K250" i="18"/>
  <c r="Z184" i="18"/>
  <c r="I356" i="18"/>
  <c r="Z345" i="18"/>
  <c r="AA364" i="18"/>
  <c r="AT277" i="18"/>
  <c r="AA153" i="18"/>
  <c r="AA358" i="18"/>
  <c r="AT204" i="18"/>
  <c r="AT352" i="18"/>
  <c r="AT189" i="18"/>
  <c r="AA317" i="18"/>
  <c r="AA184" i="18"/>
  <c r="AA261" i="18"/>
  <c r="AA174" i="18"/>
  <c r="AT340" i="18"/>
  <c r="AT172" i="18"/>
  <c r="AA236" i="18"/>
  <c r="AA305" i="18"/>
  <c r="AT245" i="18"/>
  <c r="AT307" i="18"/>
  <c r="AT137" i="18"/>
  <c r="AT343" i="18"/>
  <c r="AA351" i="18"/>
  <c r="AT201" i="18"/>
  <c r="AT180" i="18"/>
  <c r="AA135" i="18"/>
  <c r="AT212" i="18"/>
  <c r="AA290" i="18"/>
  <c r="AA168" i="18"/>
  <c r="AA281" i="18"/>
  <c r="AT284" i="18"/>
  <c r="AT195" i="18"/>
  <c r="AA277" i="18"/>
  <c r="AA192" i="18"/>
  <c r="AA173" i="18"/>
  <c r="AA163" i="18"/>
  <c r="AT369" i="18"/>
  <c r="AT132" i="18"/>
  <c r="AT285" i="18"/>
  <c r="AA307" i="18"/>
  <c r="AA311" i="18"/>
  <c r="AT338" i="18"/>
  <c r="AA152" i="18"/>
  <c r="AA308" i="18"/>
  <c r="AT214" i="18"/>
  <c r="AA186" i="18"/>
  <c r="AA369" i="18"/>
  <c r="AT345" i="18"/>
  <c r="AA275" i="18"/>
  <c r="AT312" i="18"/>
  <c r="AT241" i="18"/>
  <c r="AA136" i="18"/>
  <c r="AA178" i="18"/>
  <c r="AA256" i="18"/>
  <c r="AT320" i="18"/>
  <c r="AA225" i="18"/>
  <c r="AT321" i="18"/>
  <c r="AA352" i="18"/>
  <c r="AA324" i="18"/>
  <c r="AA241" i="18"/>
  <c r="AT258" i="18"/>
  <c r="AA268" i="18"/>
  <c r="I196" i="18"/>
  <c r="G328" i="18"/>
  <c r="G235" i="18"/>
  <c r="N153" i="18"/>
  <c r="M178" i="18"/>
  <c r="L301" i="18"/>
  <c r="Y198" i="18"/>
  <c r="M192" i="18"/>
  <c r="I273" i="18"/>
  <c r="L295" i="18"/>
  <c r="Z186" i="18"/>
  <c r="AB271" i="18"/>
  <c r="M251" i="18"/>
  <c r="AB165" i="18"/>
  <c r="G205" i="18"/>
  <c r="Z366" i="18"/>
  <c r="AT182" i="18"/>
  <c r="AT272" i="18"/>
  <c r="AT205" i="18"/>
  <c r="AT203" i="18"/>
  <c r="AA354" i="18"/>
  <c r="AA199" i="18"/>
  <c r="AT153" i="18"/>
  <c r="AA148" i="18"/>
  <c r="AA221" i="18"/>
  <c r="AT317" i="18"/>
  <c r="AA245" i="18"/>
  <c r="AA251" i="18"/>
  <c r="AA296" i="18"/>
  <c r="AT178" i="18"/>
  <c r="AA366" i="18"/>
  <c r="AA287" i="18"/>
  <c r="AA172" i="18"/>
  <c r="AT355" i="18"/>
  <c r="AT231" i="18"/>
  <c r="AT243" i="18"/>
  <c r="AA348" i="18"/>
  <c r="AA155" i="18"/>
  <c r="AT235" i="18"/>
  <c r="AT237" i="18"/>
  <c r="AT233" i="18"/>
  <c r="AA269" i="18"/>
  <c r="AT339" i="18"/>
  <c r="AA304" i="18"/>
  <c r="AA218" i="18"/>
  <c r="AT252" i="18"/>
  <c r="AT274" i="18"/>
  <c r="AA295" i="18"/>
  <c r="AT334" i="18"/>
  <c r="AT147" i="18"/>
  <c r="AA267" i="18"/>
  <c r="AA326" i="18"/>
  <c r="AT188" i="18"/>
  <c r="AT179" i="18"/>
  <c r="AT314" i="18"/>
  <c r="AT208" i="18"/>
  <c r="AA302" i="18"/>
  <c r="AT240" i="18"/>
  <c r="AA288" i="18"/>
  <c r="AA191" i="18"/>
  <c r="AT329" i="18"/>
  <c r="AT308" i="18"/>
  <c r="AT266" i="18"/>
  <c r="AT156" i="18"/>
  <c r="AT346" i="18"/>
  <c r="AT129" i="18"/>
  <c r="AT209" i="18"/>
  <c r="AA228" i="18"/>
  <c r="AA297" i="18"/>
  <c r="AA300" i="18"/>
  <c r="AT232" i="18"/>
  <c r="AT294" i="18"/>
  <c r="AA320" i="18"/>
  <c r="AT192" i="18"/>
  <c r="AT322" i="18"/>
  <c r="AA278" i="18"/>
  <c r="G154" i="18"/>
  <c r="I328" i="18"/>
  <c r="I202" i="18"/>
  <c r="I250" i="18"/>
  <c r="X184" i="18"/>
  <c r="Z152" i="18"/>
  <c r="AB324" i="18"/>
  <c r="K196" i="18"/>
  <c r="Y354" i="18"/>
  <c r="K230" i="18"/>
  <c r="F244" i="18"/>
  <c r="T244" i="18" s="1"/>
  <c r="F236" i="18"/>
  <c r="T236" i="18" s="1"/>
  <c r="AB219" i="18"/>
  <c r="AB221" i="18"/>
  <c r="I345" i="18"/>
  <c r="Y259" i="18"/>
  <c r="M351" i="18"/>
  <c r="G367" i="18"/>
  <c r="Y130" i="18"/>
  <c r="X135" i="18"/>
  <c r="N260" i="18"/>
  <c r="AA230" i="18"/>
  <c r="AA315" i="18"/>
  <c r="AA282" i="18"/>
  <c r="AA260" i="18"/>
  <c r="AT222" i="18"/>
  <c r="AT183" i="18"/>
  <c r="AA171" i="18"/>
  <c r="AT310" i="18"/>
  <c r="AA254" i="18"/>
  <c r="AA175" i="18"/>
  <c r="AA205" i="18"/>
  <c r="AA283" i="18"/>
  <c r="AA243" i="18"/>
  <c r="AT139" i="18"/>
  <c r="AA151" i="18"/>
  <c r="AT148" i="18"/>
  <c r="AA248" i="18"/>
  <c r="AT313" i="18"/>
  <c r="AA206" i="18"/>
  <c r="AA289" i="18"/>
  <c r="AT250" i="18"/>
  <c r="AT223" i="18"/>
  <c r="AA208" i="18"/>
  <c r="AA322" i="18"/>
  <c r="AT149" i="18"/>
  <c r="AT159" i="18"/>
  <c r="AA224" i="18"/>
  <c r="AT211" i="18"/>
  <c r="AA273" i="18"/>
  <c r="AA201" i="18"/>
  <c r="AA195" i="18"/>
  <c r="AA336" i="18"/>
  <c r="AA338" i="18"/>
  <c r="AA239" i="18"/>
  <c r="AA138" i="18"/>
  <c r="AT295" i="18"/>
  <c r="AT335" i="18"/>
  <c r="AA196" i="18"/>
  <c r="AT206" i="18"/>
  <c r="AT356" i="18"/>
  <c r="AA131" i="18"/>
  <c r="AT316" i="18"/>
  <c r="AA233" i="18"/>
  <c r="AT229" i="18"/>
  <c r="AA294" i="18"/>
  <c r="AT349" i="18"/>
  <c r="AT226" i="18"/>
  <c r="AA234" i="18"/>
  <c r="AT234" i="18"/>
  <c r="AT176" i="18"/>
  <c r="AT299" i="18"/>
  <c r="AA321" i="18"/>
  <c r="AT220" i="18"/>
  <c r="AA164" i="18"/>
  <c r="AT171" i="18"/>
  <c r="AA314" i="18"/>
  <c r="AT217" i="18"/>
  <c r="AT270" i="18"/>
  <c r="AT263" i="18"/>
  <c r="AT146" i="18"/>
  <c r="AT197" i="18"/>
  <c r="AA323" i="18"/>
  <c r="AT360" i="18"/>
  <c r="M358" i="18"/>
  <c r="M162" i="18"/>
  <c r="G342" i="18"/>
  <c r="F203" i="18"/>
  <c r="T203" i="18" s="1"/>
  <c r="L190" i="18"/>
  <c r="Z178" i="18"/>
  <c r="Z301" i="18"/>
  <c r="N218" i="18"/>
  <c r="Z206" i="18"/>
  <c r="L203" i="18"/>
  <c r="Z226" i="18"/>
  <c r="AB293" i="18"/>
  <c r="L263" i="18"/>
  <c r="M208" i="18"/>
  <c r="K310" i="18"/>
  <c r="L180" i="18"/>
  <c r="G177" i="18"/>
  <c r="N245" i="18"/>
  <c r="L333" i="18"/>
  <c r="I350" i="18"/>
  <c r="N274" i="18"/>
  <c r="AA217" i="18"/>
  <c r="AT269" i="18"/>
  <c r="AT238" i="18"/>
  <c r="AT328" i="18"/>
  <c r="AA357" i="18"/>
  <c r="AT281" i="18"/>
  <c r="AT365" i="18"/>
  <c r="AT291" i="18"/>
  <c r="AA333" i="18"/>
  <c r="AT196" i="18"/>
  <c r="AA165" i="18"/>
  <c r="AA265" i="18"/>
  <c r="AA361" i="18"/>
  <c r="AA331" i="18"/>
  <c r="AT162" i="18"/>
  <c r="AT304" i="18"/>
  <c r="AT351" i="18"/>
  <c r="AT144" i="18"/>
  <c r="AT326" i="18"/>
  <c r="AA362" i="18"/>
  <c r="AA257" i="18"/>
  <c r="AT354" i="18"/>
  <c r="AT169" i="18"/>
  <c r="AT158" i="18"/>
  <c r="AA158" i="18"/>
  <c r="AT323" i="18"/>
  <c r="AT138" i="18"/>
  <c r="AT361" i="18"/>
  <c r="AA139" i="18"/>
  <c r="AT302" i="18"/>
  <c r="AA259" i="18"/>
  <c r="AT141" i="18"/>
  <c r="AT184" i="18"/>
  <c r="AA337" i="18"/>
  <c r="AA263" i="18"/>
  <c r="AT136" i="18"/>
  <c r="AA309" i="18"/>
  <c r="AT246" i="18"/>
  <c r="AA280" i="18"/>
  <c r="AA180" i="18"/>
  <c r="AT357" i="18"/>
  <c r="AT279" i="18"/>
  <c r="AA214" i="18"/>
  <c r="AT194" i="18"/>
  <c r="AA143" i="18"/>
  <c r="AA203" i="18"/>
  <c r="AT168" i="18"/>
  <c r="AT256" i="18"/>
  <c r="AT181" i="18"/>
  <c r="AT187" i="18"/>
  <c r="AT174" i="18"/>
  <c r="AT130" i="18"/>
  <c r="AT161" i="18"/>
  <c r="AT190" i="18"/>
  <c r="AT325" i="18"/>
  <c r="I162" i="18"/>
  <c r="M159" i="18"/>
  <c r="M293" i="18"/>
  <c r="L345" i="18"/>
  <c r="X358" i="18"/>
  <c r="Z212" i="18"/>
  <c r="AB233" i="18"/>
  <c r="N175" i="18"/>
  <c r="N212" i="18"/>
  <c r="AB192" i="18"/>
  <c r="F233" i="18"/>
  <c r="T233" i="18" s="1"/>
  <c r="I309" i="18"/>
  <c r="L178" i="18"/>
  <c r="Z271" i="18"/>
  <c r="G233" i="18"/>
  <c r="G192" i="18"/>
  <c r="X160" i="18"/>
  <c r="M137" i="18"/>
  <c r="AB273" i="18"/>
  <c r="L227" i="18"/>
  <c r="AT219" i="18"/>
  <c r="AA271" i="18"/>
  <c r="AT292" i="18"/>
  <c r="AT142" i="18"/>
  <c r="AA252" i="18"/>
  <c r="AA166" i="18"/>
  <c r="AT167" i="18"/>
  <c r="AA312" i="18"/>
  <c r="AT280" i="18"/>
  <c r="AT228" i="18"/>
  <c r="AA335" i="18"/>
  <c r="AA235" i="18"/>
  <c r="AA144" i="18"/>
  <c r="AA276" i="18"/>
  <c r="AA229" i="18"/>
  <c r="AA141" i="18"/>
  <c r="AT347" i="18"/>
  <c r="AA274" i="18"/>
  <c r="AA330" i="18"/>
  <c r="AT332" i="18"/>
  <c r="AT359" i="18"/>
  <c r="AA213" i="18"/>
  <c r="AA347" i="18"/>
  <c r="AA246" i="18"/>
  <c r="AA219" i="18"/>
  <c r="AT160" i="18"/>
  <c r="AA355" i="18"/>
  <c r="AA188" i="18"/>
  <c r="AA250" i="18"/>
  <c r="AT145" i="18"/>
  <c r="AT200" i="18"/>
  <c r="AT254" i="18"/>
  <c r="AA187" i="18"/>
  <c r="AA150" i="18"/>
  <c r="AT166" i="18"/>
  <c r="AA189" i="18"/>
  <c r="AA197" i="18"/>
  <c r="AA334" i="18"/>
  <c r="AT342" i="18"/>
  <c r="AT315" i="18"/>
  <c r="AT276" i="18"/>
  <c r="AT267" i="18"/>
  <c r="AT331" i="18"/>
  <c r="AT230" i="18"/>
  <c r="AT358" i="18"/>
  <c r="AT363" i="18"/>
  <c r="AA145" i="18"/>
  <c r="AA344" i="18"/>
  <c r="AA286" i="18"/>
  <c r="AA162" i="18"/>
  <c r="AT305" i="18"/>
  <c r="AA190" i="18"/>
  <c r="AT218" i="18"/>
  <c r="AA232" i="18"/>
  <c r="AT330" i="18"/>
  <c r="AT154" i="18"/>
  <c r="AA149" i="18"/>
  <c r="AA258" i="18"/>
  <c r="AA349" i="18"/>
  <c r="AA262" i="18"/>
  <c r="AT364" i="18"/>
  <c r="AT368" i="18"/>
  <c r="AA156" i="18"/>
  <c r="AA356" i="18"/>
  <c r="AT367" i="18"/>
  <c r="L320" i="18"/>
  <c r="Y302" i="18"/>
  <c r="F329" i="18"/>
  <c r="T329" i="18" s="1"/>
  <c r="L279" i="18"/>
  <c r="M342" i="18"/>
  <c r="Y211" i="18"/>
  <c r="N298" i="18"/>
  <c r="Y298" i="18"/>
  <c r="AB210" i="18"/>
  <c r="AB214" i="18"/>
  <c r="I131" i="18"/>
  <c r="X369" i="18"/>
  <c r="L261" i="18"/>
  <c r="Y282" i="18"/>
  <c r="G214" i="18"/>
  <c r="F290" i="18"/>
  <c r="T290" i="18" s="1"/>
  <c r="X332" i="18"/>
  <c r="AB218" i="18"/>
  <c r="AB365" i="18"/>
  <c r="N270" i="18"/>
  <c r="G152" i="18"/>
  <c r="Z218" i="18"/>
  <c r="G305" i="18"/>
  <c r="L340" i="18"/>
  <c r="I145" i="18"/>
  <c r="M278" i="18"/>
  <c r="Y358" i="18"/>
  <c r="X273" i="18"/>
  <c r="X156" i="18"/>
  <c r="L361" i="18"/>
  <c r="L338" i="18"/>
  <c r="I280" i="18"/>
  <c r="G166" i="18"/>
  <c r="Y244" i="18"/>
  <c r="M232" i="18"/>
  <c r="N350" i="18"/>
  <c r="N359" i="18"/>
  <c r="Y348" i="18"/>
  <c r="L277" i="18"/>
  <c r="I305" i="18"/>
  <c r="L293" i="18"/>
  <c r="N233" i="18"/>
  <c r="Z349" i="18"/>
  <c r="K316" i="18"/>
  <c r="Z309" i="18"/>
  <c r="N351" i="18"/>
  <c r="AB316" i="18"/>
  <c r="L355" i="18"/>
  <c r="Z321" i="18"/>
  <c r="Y165" i="18"/>
  <c r="X199" i="18"/>
  <c r="F274" i="18"/>
  <c r="T274" i="18" s="1"/>
  <c r="X222" i="18"/>
  <c r="Y356" i="18"/>
  <c r="L369" i="18"/>
  <c r="G282" i="18"/>
  <c r="Y158" i="18"/>
  <c r="N217" i="18"/>
  <c r="G267" i="18"/>
  <c r="K274" i="18"/>
  <c r="X321" i="18"/>
  <c r="X232" i="18"/>
  <c r="M188" i="18"/>
  <c r="L199" i="18"/>
  <c r="Y235" i="18"/>
  <c r="F229" i="18"/>
  <c r="T229" i="18" s="1"/>
  <c r="Y322" i="18"/>
  <c r="AB288" i="18"/>
  <c r="Z161" i="18"/>
  <c r="M325" i="18"/>
  <c r="X181" i="18"/>
  <c r="G167" i="18"/>
  <c r="I222" i="18"/>
  <c r="F173" i="18"/>
  <c r="T173" i="18" s="1"/>
  <c r="I279" i="18"/>
  <c r="F345" i="18"/>
  <c r="T345" i="18" s="1"/>
  <c r="L207" i="18"/>
  <c r="K258" i="18"/>
  <c r="K205" i="18"/>
  <c r="G352" i="18"/>
  <c r="N316" i="18"/>
  <c r="N176" i="18"/>
  <c r="X174" i="18"/>
  <c r="N329" i="18"/>
  <c r="I170" i="18"/>
  <c r="F352" i="18"/>
  <c r="T352" i="18" s="1"/>
  <c r="Y330" i="18"/>
  <c r="G204" i="18"/>
  <c r="N321" i="18"/>
  <c r="Y325" i="18"/>
  <c r="F286" i="18"/>
  <c r="T286" i="18" s="1"/>
  <c r="X355" i="18"/>
  <c r="Y362" i="18"/>
  <c r="G266" i="18"/>
  <c r="N140" i="18"/>
  <c r="AB190" i="18"/>
  <c r="M273" i="18"/>
  <c r="M333" i="18"/>
  <c r="F174" i="18"/>
  <c r="T174" i="18" s="1"/>
  <c r="X353" i="18"/>
  <c r="F219" i="18"/>
  <c r="T219" i="18" s="1"/>
  <c r="K248" i="18"/>
  <c r="M284" i="18"/>
  <c r="AB241" i="18"/>
  <c r="N300" i="18"/>
  <c r="K365" i="18"/>
  <c r="Z317" i="18"/>
  <c r="L296" i="18"/>
  <c r="X196" i="18"/>
  <c r="G179" i="18"/>
  <c r="L237" i="18"/>
  <c r="M148" i="18"/>
  <c r="G361" i="18"/>
  <c r="F213" i="18"/>
  <c r="T213" i="18" s="1"/>
  <c r="G144" i="18"/>
  <c r="N308" i="18"/>
  <c r="Y242" i="18"/>
  <c r="G300" i="18"/>
  <c r="M345" i="18"/>
  <c r="AB345" i="18"/>
  <c r="K283" i="18"/>
  <c r="Y257" i="18"/>
  <c r="K293" i="18"/>
  <c r="F181" i="18"/>
  <c r="T181" i="18" s="1"/>
  <c r="F266" i="18"/>
  <c r="T266" i="18" s="1"/>
  <c r="I365" i="18"/>
  <c r="L347" i="18"/>
  <c r="X147" i="18"/>
  <c r="L292" i="18"/>
  <c r="M161" i="18"/>
  <c r="Y245" i="18"/>
  <c r="Z231" i="18"/>
  <c r="F240" i="18"/>
  <c r="T240" i="18" s="1"/>
  <c r="I307" i="18"/>
  <c r="L219" i="18"/>
  <c r="N340" i="18"/>
  <c r="I176" i="18"/>
  <c r="X197" i="18"/>
  <c r="K278" i="18"/>
  <c r="AB279" i="18"/>
  <c r="G158" i="18"/>
  <c r="Z265" i="18"/>
  <c r="Z183" i="18"/>
  <c r="N291" i="18"/>
  <c r="M133" i="18"/>
  <c r="F337" i="18"/>
  <c r="T337" i="18" s="1"/>
  <c r="K229" i="18"/>
  <c r="L142" i="18"/>
  <c r="G180" i="18"/>
  <c r="AB254" i="18"/>
  <c r="L139" i="18"/>
  <c r="Y218" i="18"/>
  <c r="Z247" i="18"/>
  <c r="M335" i="18"/>
  <c r="L129" i="18"/>
  <c r="G155" i="18"/>
  <c r="K177" i="18"/>
  <c r="L328" i="18"/>
  <c r="G344" i="18"/>
  <c r="L241" i="18"/>
  <c r="K277" i="18"/>
  <c r="M238" i="18"/>
  <c r="G357" i="18"/>
  <c r="M196" i="18"/>
  <c r="Z207" i="18"/>
  <c r="F130" i="18"/>
  <c r="T130" i="18" s="1"/>
  <c r="X297" i="18"/>
  <c r="F193" i="18"/>
  <c r="T193" i="18" s="1"/>
  <c r="AB170" i="18"/>
  <c r="N338" i="18"/>
  <c r="F344" i="18"/>
  <c r="T344" i="18" s="1"/>
  <c r="Z236" i="18"/>
  <c r="F350" i="18"/>
  <c r="T350" i="18" s="1"/>
  <c r="X352" i="18"/>
  <c r="Z150" i="18"/>
  <c r="Z187" i="18"/>
  <c r="Z163" i="18"/>
  <c r="I153" i="18"/>
  <c r="Z353" i="18"/>
  <c r="X224" i="18"/>
  <c r="F211" i="18"/>
  <c r="T211" i="18" s="1"/>
  <c r="N289" i="18"/>
  <c r="L310" i="18"/>
  <c r="Z290" i="18"/>
  <c r="AB131" i="18"/>
  <c r="AB259" i="18"/>
  <c r="K201" i="18"/>
  <c r="G304" i="18"/>
  <c r="AB239" i="18"/>
  <c r="X270" i="18"/>
  <c r="F289" i="18"/>
  <c r="T289" i="18" s="1"/>
  <c r="AB350" i="18"/>
  <c r="X347" i="18"/>
  <c r="AB228" i="18"/>
  <c r="L233" i="18"/>
  <c r="G258" i="18"/>
  <c r="K333" i="18"/>
  <c r="Y207" i="18"/>
  <c r="G347" i="18"/>
  <c r="F239" i="18"/>
  <c r="T239" i="18" s="1"/>
  <c r="I187" i="18"/>
  <c r="I137" i="18"/>
  <c r="Z158" i="18"/>
  <c r="X212" i="18"/>
  <c r="I218" i="18"/>
  <c r="K195" i="18"/>
  <c r="Y252" i="18"/>
  <c r="K350" i="18"/>
  <c r="N337" i="18"/>
  <c r="Y194" i="18"/>
  <c r="M132" i="18"/>
  <c r="K361" i="18"/>
  <c r="Z194" i="18"/>
  <c r="L341" i="18"/>
  <c r="X245" i="18"/>
  <c r="X236" i="18"/>
  <c r="X354" i="18"/>
  <c r="N159" i="18"/>
  <c r="N177" i="18"/>
  <c r="F291" i="18"/>
  <c r="T291" i="18" s="1"/>
  <c r="Y363" i="18"/>
  <c r="F241" i="18"/>
  <c r="T241" i="18" s="1"/>
  <c r="G129" i="18"/>
  <c r="N136" i="18"/>
  <c r="G301" i="18"/>
  <c r="AB142" i="18"/>
  <c r="Y202" i="18"/>
  <c r="M337" i="18"/>
  <c r="Z282" i="18"/>
  <c r="K255" i="18"/>
  <c r="G288" i="18"/>
  <c r="L197" i="18"/>
  <c r="M222" i="18"/>
  <c r="I188" i="18"/>
  <c r="AB343" i="18"/>
  <c r="F308" i="18"/>
  <c r="T308" i="18" s="1"/>
  <c r="Z130" i="18"/>
  <c r="F301" i="18"/>
  <c r="T301" i="18" s="1"/>
  <c r="X294" i="18"/>
  <c r="AB144" i="18"/>
  <c r="L187" i="18"/>
  <c r="I212" i="18"/>
  <c r="Z222" i="18"/>
  <c r="X137" i="18"/>
  <c r="K304" i="18"/>
  <c r="AB307" i="18"/>
  <c r="Y316" i="18"/>
  <c r="F214" i="18"/>
  <c r="T214" i="18" s="1"/>
  <c r="G265" i="18"/>
  <c r="Z240" i="18"/>
  <c r="I342" i="18"/>
  <c r="X348" i="18"/>
  <c r="Z295" i="18"/>
  <c r="I355" i="18"/>
  <c r="F313" i="18"/>
  <c r="T313" i="18" s="1"/>
  <c r="K319" i="18"/>
  <c r="L218" i="18"/>
  <c r="M313" i="18"/>
  <c r="AB155" i="18"/>
  <c r="G142" i="18"/>
  <c r="Y134" i="18"/>
  <c r="Y131" i="18"/>
  <c r="G239" i="18"/>
  <c r="M253" i="18"/>
  <c r="M173" i="18"/>
  <c r="N332" i="18"/>
  <c r="K254" i="18"/>
  <c r="Z346" i="18"/>
  <c r="N293" i="18"/>
  <c r="AB209" i="18"/>
  <c r="AB358" i="18"/>
  <c r="G199" i="18"/>
  <c r="Z292" i="18"/>
  <c r="G294" i="18"/>
  <c r="Y285" i="18"/>
  <c r="I249" i="18"/>
  <c r="K351" i="18"/>
  <c r="X363" i="18"/>
  <c r="K204" i="18"/>
  <c r="G220" i="18"/>
  <c r="AB335" i="18"/>
  <c r="F342" i="18"/>
  <c r="T342" i="18" s="1"/>
  <c r="F184" i="18"/>
  <c r="T184" i="18" s="1"/>
  <c r="Z326" i="18"/>
  <c r="M296" i="18"/>
  <c r="N163" i="18"/>
  <c r="G191" i="18"/>
  <c r="G240" i="18"/>
  <c r="M252" i="18"/>
  <c r="N365" i="18"/>
  <c r="K224" i="18"/>
  <c r="N189" i="18"/>
  <c r="L152" i="18"/>
  <c r="X133" i="18"/>
  <c r="K206" i="18"/>
  <c r="K315" i="18"/>
  <c r="Y200" i="18"/>
  <c r="F237" i="18"/>
  <c r="T237" i="18" s="1"/>
  <c r="I289" i="18"/>
  <c r="F227" i="18"/>
  <c r="T227" i="18" s="1"/>
  <c r="Y268" i="18"/>
  <c r="Y159" i="18"/>
  <c r="K221" i="18"/>
  <c r="F212" i="18"/>
  <c r="T212" i="18" s="1"/>
  <c r="N139" i="18"/>
  <c r="AB283" i="18"/>
  <c r="K360" i="18"/>
  <c r="AB186" i="18"/>
  <c r="N174" i="18"/>
  <c r="G253" i="18"/>
  <c r="L343" i="18"/>
  <c r="Z313" i="18"/>
  <c r="M189" i="18"/>
  <c r="AB298" i="18"/>
  <c r="X182" i="18"/>
  <c r="X136" i="18"/>
  <c r="K133" i="18"/>
  <c r="L262" i="18"/>
  <c r="M231" i="18"/>
  <c r="AB172" i="18"/>
  <c r="Z174" i="18"/>
  <c r="Y340" i="18"/>
  <c r="G289" i="18"/>
  <c r="AB278" i="18"/>
  <c r="I141" i="18"/>
  <c r="AB206" i="18"/>
  <c r="AB166" i="18"/>
  <c r="L234" i="18"/>
  <c r="M163" i="18"/>
  <c r="K311" i="18"/>
  <c r="Z287" i="18"/>
  <c r="K132" i="18"/>
  <c r="I286" i="18"/>
  <c r="AB175" i="18"/>
  <c r="F152" i="18"/>
  <c r="T152" i="18" s="1"/>
  <c r="F336" i="18"/>
  <c r="T336" i="18" s="1"/>
  <c r="F145" i="18"/>
  <c r="T145" i="18" s="1"/>
  <c r="Z241" i="18"/>
  <c r="M336" i="18"/>
  <c r="Z245" i="18"/>
  <c r="L232" i="18"/>
  <c r="Y305" i="18"/>
  <c r="M245" i="18"/>
  <c r="N313" i="18"/>
  <c r="Y221" i="18"/>
  <c r="K198" i="18"/>
  <c r="G285" i="18"/>
  <c r="N355" i="18"/>
  <c r="M176" i="18"/>
  <c r="AB336" i="18"/>
  <c r="N272" i="18"/>
  <c r="L265" i="18"/>
  <c r="M167" i="18"/>
  <c r="F284" i="18"/>
  <c r="T284" i="18" s="1"/>
  <c r="N251" i="18"/>
  <c r="G137" i="18"/>
  <c r="G368" i="18"/>
  <c r="N328" i="18"/>
  <c r="Z160" i="18"/>
  <c r="X302" i="18"/>
  <c r="Z134" i="18"/>
  <c r="M299" i="18"/>
  <c r="F282" i="18"/>
  <c r="T282" i="18" s="1"/>
  <c r="G348" i="18"/>
  <c r="Y332" i="18"/>
  <c r="L151" i="18"/>
  <c r="L169" i="18"/>
  <c r="I206" i="18"/>
  <c r="AB129" i="18"/>
  <c r="F293" i="18"/>
  <c r="T293" i="18" s="1"/>
  <c r="F191" i="18"/>
  <c r="T191" i="18" s="1"/>
  <c r="N265" i="18"/>
  <c r="M233" i="18"/>
  <c r="M274" i="18"/>
  <c r="N134" i="18"/>
  <c r="I264" i="18"/>
  <c r="L215" i="18"/>
  <c r="X129" i="18"/>
  <c r="G346" i="18"/>
  <c r="I297" i="18"/>
  <c r="I300" i="18"/>
  <c r="L246" i="18"/>
  <c r="L179" i="18"/>
  <c r="K267" i="18"/>
  <c r="Z181" i="18"/>
  <c r="AB205" i="18"/>
  <c r="I357" i="18"/>
  <c r="K144" i="18"/>
  <c r="L236" i="18"/>
  <c r="X206" i="18"/>
  <c r="L362" i="18"/>
  <c r="Z356" i="18"/>
  <c r="N229" i="18"/>
  <c r="Z272" i="18"/>
  <c r="Z283" i="18"/>
  <c r="K134" i="18"/>
  <c r="F269" i="18"/>
  <c r="T269" i="18" s="1"/>
  <c r="L346" i="18"/>
  <c r="I265" i="18"/>
  <c r="L245" i="18"/>
  <c r="AB207" i="18"/>
  <c r="X307" i="18"/>
  <c r="AB211" i="18"/>
  <c r="F334" i="18"/>
  <c r="T334" i="18" s="1"/>
  <c r="G161" i="18"/>
  <c r="L148" i="18"/>
  <c r="F160" i="18"/>
  <c r="T160" i="18" s="1"/>
  <c r="N323" i="18"/>
  <c r="AB137" i="18"/>
  <c r="F363" i="18"/>
  <c r="T363" i="18" s="1"/>
  <c r="F298" i="18"/>
  <c r="T298" i="18" s="1"/>
  <c r="K281" i="18"/>
  <c r="G175" i="18"/>
  <c r="G201" i="18"/>
  <c r="X290" i="18"/>
  <c r="L315" i="18"/>
  <c r="F258" i="18"/>
  <c r="T258" i="18" s="1"/>
  <c r="Y215" i="18"/>
  <c r="M229" i="18"/>
  <c r="K171" i="18"/>
  <c r="F273" i="18"/>
  <c r="T273" i="18" s="1"/>
  <c r="N179" i="18"/>
  <c r="Y210" i="18"/>
  <c r="AB237" i="18"/>
  <c r="X205" i="18"/>
  <c r="Y349" i="18"/>
  <c r="Z343" i="18"/>
  <c r="I311" i="18"/>
  <c r="Y319" i="18"/>
  <c r="G172" i="18"/>
  <c r="Z306" i="18"/>
  <c r="N331" i="18"/>
  <c r="I243" i="18"/>
  <c r="X247" i="18"/>
  <c r="Z196" i="18"/>
  <c r="F224" i="18"/>
  <c r="T224" i="18" s="1"/>
  <c r="F147" i="18"/>
  <c r="T147" i="18" s="1"/>
  <c r="L240" i="18"/>
  <c r="N178" i="18"/>
  <c r="N181" i="18"/>
  <c r="I276" i="18"/>
  <c r="Y175" i="18"/>
  <c r="L176" i="18"/>
  <c r="Z199" i="18"/>
  <c r="Y258" i="18"/>
  <c r="F358" i="18"/>
  <c r="T358" i="18" s="1"/>
  <c r="I230" i="18"/>
  <c r="K336" i="18"/>
  <c r="AB217" i="18"/>
  <c r="AB274" i="18"/>
  <c r="M312" i="18"/>
  <c r="Y359" i="18"/>
  <c r="X304" i="18"/>
  <c r="Z140" i="18"/>
  <c r="Y195" i="18"/>
  <c r="Z172" i="18"/>
  <c r="K292" i="18"/>
  <c r="L357" i="18"/>
  <c r="K300" i="18"/>
  <c r="M327" i="18"/>
  <c r="G186" i="18"/>
  <c r="Y209" i="18"/>
  <c r="Y310" i="18"/>
  <c r="F206" i="18"/>
  <c r="T206" i="18" s="1"/>
  <c r="L327" i="18"/>
  <c r="I233" i="18"/>
  <c r="K362" i="18"/>
  <c r="G339" i="18"/>
  <c r="X275" i="18"/>
  <c r="AB141" i="18"/>
  <c r="N344" i="18"/>
  <c r="F332" i="18"/>
  <c r="T332" i="18" s="1"/>
  <c r="Z242" i="18"/>
  <c r="G319" i="18"/>
  <c r="AB161" i="18"/>
  <c r="Z166" i="18"/>
  <c r="F247" i="18"/>
  <c r="T247" i="18" s="1"/>
  <c r="M326" i="18"/>
  <c r="Z276" i="18"/>
  <c r="L145" i="18"/>
  <c r="L188" i="18"/>
  <c r="Y243" i="18"/>
  <c r="AB344" i="18"/>
  <c r="AB312" i="18"/>
  <c r="X165" i="18"/>
  <c r="Z281" i="18"/>
  <c r="Y303" i="18"/>
  <c r="I367" i="18"/>
  <c r="AB268" i="18"/>
  <c r="X296" i="18"/>
  <c r="AB295" i="18"/>
  <c r="AB354" i="18"/>
  <c r="G224" i="18"/>
  <c r="I277" i="18"/>
  <c r="Z225" i="18"/>
  <c r="L276" i="18"/>
  <c r="N211" i="18"/>
  <c r="Y183" i="18"/>
  <c r="AB154" i="18"/>
  <c r="I293" i="18"/>
  <c r="Z244" i="18"/>
  <c r="M240" i="18"/>
  <c r="Z220" i="18"/>
  <c r="L158" i="18"/>
  <c r="N131" i="18"/>
  <c r="K157" i="18"/>
  <c r="I178" i="18"/>
  <c r="F175" i="18"/>
  <c r="T175" i="18" s="1"/>
  <c r="I239" i="18"/>
  <c r="X291" i="18"/>
  <c r="I288" i="18"/>
  <c r="K335" i="18"/>
  <c r="Z151" i="18"/>
  <c r="K228" i="18"/>
  <c r="K194" i="18"/>
  <c r="X187" i="18"/>
  <c r="M353" i="18"/>
  <c r="AB261" i="18"/>
  <c r="X225" i="18"/>
  <c r="F307" i="18"/>
  <c r="T307" i="18" s="1"/>
  <c r="L360" i="18"/>
  <c r="M181" i="18"/>
  <c r="AB130" i="18"/>
  <c r="L352" i="18"/>
  <c r="K148" i="18"/>
  <c r="X271" i="18"/>
  <c r="Z217" i="18"/>
  <c r="I198" i="18"/>
  <c r="F132" i="18"/>
  <c r="T132" i="18" s="1"/>
  <c r="F359" i="18"/>
  <c r="T359" i="18" s="1"/>
  <c r="K251" i="18"/>
  <c r="AB290" i="18"/>
  <c r="N287" i="18"/>
  <c r="G261" i="18"/>
  <c r="F311" i="18"/>
  <c r="T311" i="18" s="1"/>
  <c r="M354" i="18"/>
  <c r="L156" i="18"/>
  <c r="Z210" i="18"/>
  <c r="K303" i="18"/>
  <c r="L313" i="18"/>
  <c r="F369" i="18"/>
  <c r="T369" i="18" s="1"/>
  <c r="K331" i="18"/>
  <c r="X292" i="18"/>
  <c r="K152" i="18"/>
  <c r="G323" i="18"/>
  <c r="M138" i="18"/>
  <c r="F199" i="18"/>
  <c r="T199" i="18" s="1"/>
  <c r="AB300" i="18"/>
  <c r="X194" i="18"/>
  <c r="X242" i="18"/>
  <c r="G273" i="18"/>
  <c r="X201" i="18"/>
  <c r="M328" i="18"/>
  <c r="G140" i="18"/>
  <c r="X295" i="18"/>
  <c r="I339" i="18"/>
  <c r="I201" i="18"/>
  <c r="G234" i="18"/>
  <c r="X190" i="18"/>
  <c r="F294" i="18"/>
  <c r="T294" i="18" s="1"/>
  <c r="Y239" i="18"/>
  <c r="F177" i="18"/>
  <c r="T177" i="18" s="1"/>
  <c r="N361" i="18"/>
  <c r="I148" i="18"/>
  <c r="N185" i="18"/>
  <c r="N284" i="18"/>
  <c r="X341" i="18"/>
  <c r="Z157" i="18"/>
  <c r="K161" i="18"/>
  <c r="K216" i="18"/>
  <c r="N275" i="18"/>
  <c r="AB294" i="18"/>
  <c r="Y311" i="18"/>
  <c r="K261" i="18"/>
  <c r="M204" i="18"/>
  <c r="M292" i="18"/>
  <c r="G277" i="18"/>
  <c r="I359" i="18"/>
  <c r="G268" i="18"/>
  <c r="N241" i="18"/>
  <c r="L189" i="18"/>
  <c r="N301" i="18"/>
  <c r="K186" i="18"/>
  <c r="M282" i="18"/>
  <c r="K244" i="18"/>
  <c r="L143" i="18"/>
  <c r="X308" i="18"/>
  <c r="F185" i="18"/>
  <c r="T185" i="18" s="1"/>
  <c r="L306" i="18"/>
  <c r="F196" i="18"/>
  <c r="T196" i="18" s="1"/>
  <c r="N173" i="18"/>
  <c r="Y249" i="18"/>
  <c r="X148" i="18"/>
  <c r="L298" i="18"/>
  <c r="N165" i="18"/>
  <c r="L160" i="18"/>
  <c r="F280" i="18"/>
  <c r="T280" i="18" s="1"/>
  <c r="N171" i="18"/>
  <c r="Z230" i="18"/>
  <c r="AB196" i="18"/>
  <c r="Z302" i="18"/>
  <c r="G303" i="18"/>
  <c r="X172" i="18"/>
  <c r="AB182" i="18"/>
  <c r="G272" i="18"/>
  <c r="M211" i="18"/>
  <c r="F295" i="18"/>
  <c r="T295" i="18" s="1"/>
  <c r="AB331" i="18"/>
  <c r="I180" i="18"/>
  <c r="Y290" i="18"/>
  <c r="X278" i="18"/>
  <c r="M164" i="18"/>
  <c r="N192" i="18"/>
  <c r="L183" i="18"/>
  <c r="L172" i="18"/>
  <c r="X360" i="18"/>
  <c r="F218" i="18"/>
  <c r="T218" i="18" s="1"/>
  <c r="F170" i="18"/>
  <c r="T170" i="18" s="1"/>
  <c r="Y365" i="18"/>
  <c r="K200" i="18"/>
  <c r="F270" i="18"/>
  <c r="T270" i="18" s="1"/>
  <c r="Y201" i="18"/>
  <c r="L162" i="18"/>
  <c r="G181" i="18"/>
  <c r="G219" i="18"/>
  <c r="L130" i="18"/>
  <c r="F252" i="18"/>
  <c r="T252" i="18" s="1"/>
  <c r="F189" i="18"/>
  <c r="T189" i="18" s="1"/>
  <c r="G198" i="18"/>
  <c r="Z316" i="18"/>
  <c r="Z314" i="18"/>
  <c r="X365" i="18"/>
  <c r="L134" i="18"/>
  <c r="I142" i="18"/>
  <c r="X198" i="18"/>
  <c r="AB306" i="18"/>
  <c r="Y323" i="18"/>
  <c r="K349" i="18"/>
  <c r="I226" i="18"/>
  <c r="G162" i="18"/>
  <c r="L290" i="18"/>
  <c r="Z258" i="18"/>
  <c r="M317" i="18"/>
  <c r="F287" i="18"/>
  <c r="T287" i="18" s="1"/>
  <c r="M349" i="18"/>
  <c r="F205" i="18"/>
  <c r="T205" i="18" s="1"/>
  <c r="X243" i="18"/>
  <c r="N213" i="18"/>
  <c r="X168" i="18"/>
  <c r="N335" i="18"/>
  <c r="Z267" i="18"/>
  <c r="G151" i="18"/>
  <c r="Z289" i="18"/>
  <c r="F172" i="18"/>
  <c r="T172" i="18" s="1"/>
  <c r="M156" i="18"/>
  <c r="I235" i="18"/>
  <c r="K215" i="18"/>
  <c r="X274" i="18"/>
  <c r="AB333" i="18"/>
  <c r="AB266" i="18"/>
  <c r="AB342" i="18"/>
  <c r="F216" i="18"/>
  <c r="T216" i="18" s="1"/>
  <c r="L210" i="18"/>
  <c r="G196" i="18"/>
  <c r="Z277" i="18"/>
  <c r="I200" i="18"/>
  <c r="X252" i="18"/>
  <c r="I349" i="18"/>
  <c r="N214" i="18"/>
  <c r="G232" i="18"/>
  <c r="Y254" i="18"/>
  <c r="N203" i="18"/>
  <c r="L356" i="18"/>
  <c r="L171" i="18"/>
  <c r="I221" i="18"/>
  <c r="X344" i="18"/>
  <c r="Z339" i="18"/>
  <c r="L272" i="18"/>
  <c r="I136" i="18"/>
  <c r="Y343" i="18"/>
  <c r="K297" i="18"/>
  <c r="F315" i="18"/>
  <c r="T315" i="18" s="1"/>
  <c r="X286" i="18"/>
  <c r="K156" i="18"/>
  <c r="K298" i="18"/>
  <c r="X281" i="18"/>
  <c r="X351" i="18"/>
  <c r="N261" i="18"/>
  <c r="F283" i="18"/>
  <c r="T283" i="18" s="1"/>
  <c r="L305" i="18"/>
  <c r="F156" i="18"/>
  <c r="T156" i="18" s="1"/>
  <c r="I204" i="18"/>
  <c r="F234" i="18"/>
  <c r="T234" i="18" s="1"/>
  <c r="N209" i="18"/>
  <c r="Y355" i="18"/>
  <c r="I319" i="18"/>
  <c r="Z192" i="18"/>
  <c r="F149" i="18"/>
  <c r="T149" i="18" s="1"/>
  <c r="L164" i="18"/>
  <c r="G312" i="18"/>
  <c r="Z328" i="18"/>
  <c r="Y321" i="18"/>
  <c r="N319" i="18"/>
  <c r="Y307" i="18"/>
  <c r="M244" i="18"/>
  <c r="Z251" i="18"/>
  <c r="I175" i="18"/>
  <c r="AB296" i="18"/>
  <c r="K153" i="18"/>
  <c r="F331" i="18"/>
  <c r="T331" i="18" s="1"/>
  <c r="F339" i="18"/>
  <c r="T339" i="18" s="1"/>
  <c r="Z367" i="18"/>
  <c r="F157" i="18"/>
  <c r="T157" i="18" s="1"/>
  <c r="N232" i="18"/>
  <c r="Y226" i="18"/>
  <c r="F249" i="18"/>
  <c r="T249" i="18" s="1"/>
  <c r="I195" i="18"/>
  <c r="I346" i="18"/>
  <c r="K211" i="18"/>
  <c r="AB240" i="18"/>
  <c r="M303" i="18"/>
  <c r="I338" i="18"/>
  <c r="Z269" i="18"/>
  <c r="K286" i="18"/>
  <c r="X179" i="18"/>
  <c r="G230" i="18"/>
  <c r="I159" i="18"/>
  <c r="G343" i="18"/>
  <c r="AB255" i="18"/>
  <c r="I251" i="18"/>
  <c r="L300" i="18"/>
  <c r="Z334" i="18"/>
  <c r="L325" i="18"/>
  <c r="Z197" i="18"/>
  <c r="M329" i="18"/>
  <c r="G185" i="18"/>
  <c r="N221" i="18"/>
  <c r="N191" i="18"/>
  <c r="G256" i="18"/>
  <c r="M242" i="18"/>
  <c r="G170" i="18"/>
  <c r="M348" i="18"/>
  <c r="G211" i="18"/>
  <c r="N346" i="18"/>
  <c r="F262" i="18"/>
  <c r="T262" i="18" s="1"/>
  <c r="Y274" i="18"/>
  <c r="X282" i="18"/>
  <c r="AB299" i="18"/>
  <c r="K357" i="18"/>
  <c r="Z136" i="18"/>
  <c r="X327" i="18"/>
  <c r="G187" i="18"/>
  <c r="X235" i="18"/>
  <c r="Y170" i="18"/>
  <c r="Y225" i="18"/>
  <c r="Y246" i="18"/>
  <c r="AB147" i="18"/>
  <c r="M300" i="18"/>
  <c r="X350" i="18"/>
  <c r="AB157" i="18"/>
  <c r="Y132" i="18"/>
  <c r="X264" i="18"/>
  <c r="I209" i="18"/>
  <c r="Z235" i="18"/>
  <c r="K213" i="18"/>
  <c r="L193" i="18"/>
  <c r="K260" i="18"/>
  <c r="G238" i="18"/>
  <c r="Z239" i="18"/>
  <c r="G254" i="18"/>
  <c r="F275" i="18"/>
  <c r="T275" i="18" s="1"/>
  <c r="Z232" i="18"/>
  <c r="Y293" i="18"/>
  <c r="L137" i="18"/>
  <c r="Y152" i="18"/>
  <c r="M169" i="18"/>
  <c r="Y234" i="18"/>
  <c r="K131" i="18"/>
  <c r="L267" i="18"/>
  <c r="K352" i="18"/>
  <c r="Y144" i="18"/>
  <c r="Y164" i="18"/>
  <c r="F243" i="18"/>
  <c r="T243" i="18" s="1"/>
  <c r="Z338" i="18"/>
  <c r="X162" i="18"/>
  <c r="N314" i="18"/>
  <c r="I361" i="18"/>
  <c r="Z320" i="18"/>
  <c r="G200" i="18"/>
  <c r="AB146" i="18"/>
  <c r="Z164" i="18"/>
  <c r="Y276" i="18"/>
  <c r="N327" i="18"/>
  <c r="G315" i="18"/>
  <c r="X288" i="18"/>
  <c r="AB238" i="18"/>
  <c r="K237" i="18"/>
  <c r="X139" i="18"/>
  <c r="K291" i="18"/>
  <c r="L257" i="18"/>
  <c r="M323" i="18"/>
  <c r="AB152" i="18"/>
  <c r="X191" i="18"/>
  <c r="L221" i="18"/>
  <c r="G190" i="18"/>
  <c r="Y138" i="18"/>
  <c r="N200" i="18"/>
  <c r="K158" i="18"/>
  <c r="L192" i="18"/>
  <c r="X221" i="18"/>
  <c r="Y193" i="18"/>
  <c r="I325" i="18"/>
  <c r="F200" i="18"/>
  <c r="T200" i="18" s="1"/>
  <c r="X154" i="18"/>
  <c r="L243" i="18"/>
  <c r="M258" i="18"/>
  <c r="I149" i="18"/>
  <c r="F135" i="18"/>
  <c r="T135" i="18" s="1"/>
  <c r="M191" i="18"/>
  <c r="M199" i="18"/>
  <c r="M184" i="18"/>
  <c r="N158" i="18"/>
  <c r="K364" i="18"/>
  <c r="G216" i="18"/>
  <c r="L144" i="18"/>
  <c r="K193" i="18"/>
  <c r="X313" i="18"/>
  <c r="AB361" i="18"/>
  <c r="G332" i="18"/>
  <c r="I362" i="18"/>
  <c r="G306" i="18"/>
  <c r="Z142" i="18"/>
  <c r="K164" i="18"/>
  <c r="I337" i="18"/>
  <c r="X239" i="18"/>
  <c r="Y179" i="18"/>
  <c r="Z310" i="18"/>
  <c r="G133" i="18"/>
  <c r="Z202" i="18"/>
  <c r="AB357" i="18"/>
  <c r="G168" i="18"/>
  <c r="X163" i="18"/>
  <c r="M219" i="18"/>
  <c r="Z252" i="18"/>
  <c r="Y139" i="18"/>
  <c r="N263" i="18"/>
  <c r="I317" i="18"/>
  <c r="AB145" i="18"/>
  <c r="Y275" i="18"/>
  <c r="Z205" i="18"/>
  <c r="L167" i="18"/>
  <c r="Y206" i="18"/>
  <c r="L329" i="18"/>
  <c r="F353" i="18"/>
  <c r="T353" i="18" s="1"/>
  <c r="Z159" i="18"/>
  <c r="L165" i="18"/>
  <c r="L168" i="18"/>
  <c r="N219" i="18"/>
  <c r="Z179" i="18"/>
  <c r="I132" i="18"/>
  <c r="K356" i="18"/>
  <c r="K256" i="18"/>
  <c r="AB159" i="18"/>
  <c r="G264" i="18"/>
  <c r="K340" i="18"/>
  <c r="L331" i="18"/>
  <c r="F220" i="18"/>
  <c r="T220" i="18" s="1"/>
  <c r="N186" i="18"/>
  <c r="Y212" i="18"/>
  <c r="K239" i="18"/>
  <c r="Y341" i="18"/>
  <c r="K366" i="18"/>
  <c r="N170" i="18"/>
  <c r="X334" i="18"/>
  <c r="L363" i="18"/>
  <c r="N342" i="18"/>
  <c r="G314" i="18"/>
  <c r="Y256" i="18"/>
  <c r="M369" i="18"/>
  <c r="Z278" i="18"/>
  <c r="Y350" i="18"/>
  <c r="Z139" i="18"/>
  <c r="I208" i="18"/>
  <c r="Z348" i="18"/>
  <c r="N306" i="18"/>
  <c r="I183" i="18"/>
  <c r="Y143" i="18"/>
  <c r="AB349" i="18"/>
  <c r="AB341" i="18"/>
  <c r="L344" i="18"/>
  <c r="L196" i="18"/>
  <c r="F364" i="18"/>
  <c r="T364" i="18" s="1"/>
  <c r="L324" i="18"/>
  <c r="Z369" i="18"/>
  <c r="G241" i="18"/>
  <c r="F292" i="18"/>
  <c r="T292" i="18" s="1"/>
  <c r="Y216" i="18"/>
  <c r="Z155" i="18"/>
  <c r="AB368" i="18"/>
  <c r="K296" i="18"/>
  <c r="I152" i="18"/>
  <c r="M203" i="18"/>
  <c r="K329" i="18"/>
  <c r="X367" i="18"/>
  <c r="F347" i="18"/>
  <c r="T347" i="18" s="1"/>
  <c r="Y184" i="18"/>
  <c r="M139" i="18"/>
  <c r="I192" i="18"/>
  <c r="Z332" i="18"/>
  <c r="F169" i="18"/>
  <c r="T169" i="18" s="1"/>
  <c r="L256" i="18"/>
  <c r="K233" i="18"/>
  <c r="M234" i="18"/>
  <c r="Z284" i="18"/>
  <c r="K168" i="18"/>
  <c r="I353" i="18"/>
  <c r="I369" i="18"/>
  <c r="N302" i="18"/>
  <c r="M249" i="18"/>
  <c r="Z288" i="18"/>
  <c r="Y214" i="18"/>
  <c r="L303" i="18"/>
  <c r="L150" i="18"/>
  <c r="AB353" i="18"/>
  <c r="X195" i="18"/>
  <c r="AB173" i="18"/>
  <c r="Y228" i="18"/>
  <c r="X312" i="18"/>
  <c r="K324" i="18"/>
  <c r="AB213" i="18"/>
  <c r="L288" i="18"/>
  <c r="Y294" i="18"/>
  <c r="Y265" i="18"/>
  <c r="I164" i="18"/>
  <c r="K318" i="18"/>
  <c r="X316" i="18"/>
  <c r="Z189" i="18"/>
  <c r="X272" i="18"/>
  <c r="I156" i="18"/>
  <c r="Z335" i="18"/>
  <c r="Z146" i="18"/>
  <c r="L131" i="18"/>
  <c r="K238" i="18"/>
  <c r="X320" i="18"/>
  <c r="I254" i="18"/>
  <c r="Y157" i="18"/>
  <c r="F297" i="18"/>
  <c r="T297" i="18" s="1"/>
  <c r="N152" i="18"/>
  <c r="L135" i="18"/>
  <c r="X143" i="18"/>
  <c r="M271" i="18"/>
  <c r="X349" i="18"/>
  <c r="K231" i="18"/>
  <c r="Z170" i="18"/>
  <c r="I241" i="18"/>
  <c r="I321" i="18"/>
  <c r="K249" i="18"/>
  <c r="Z141" i="18"/>
  <c r="AB264" i="18"/>
  <c r="L251" i="18"/>
  <c r="G148" i="18"/>
  <c r="X279" i="18"/>
  <c r="M185" i="18"/>
  <c r="M285" i="18"/>
  <c r="Z227" i="18"/>
  <c r="Z250" i="18"/>
  <c r="I364" i="18"/>
  <c r="K359" i="18"/>
  <c r="L222" i="18"/>
  <c r="AB203" i="18"/>
  <c r="K320" i="18"/>
  <c r="AB242" i="18"/>
  <c r="Y287" i="18"/>
  <c r="F356" i="18"/>
  <c r="T356" i="18" s="1"/>
  <c r="K270" i="18"/>
  <c r="L294" i="18"/>
  <c r="Z249" i="18"/>
  <c r="K227" i="18"/>
  <c r="X315" i="18"/>
  <c r="M301" i="18"/>
  <c r="M129" i="18"/>
  <c r="N160" i="18"/>
  <c r="M356" i="18"/>
  <c r="AB301" i="18"/>
  <c r="Y277" i="18"/>
  <c r="N357" i="18"/>
  <c r="L283" i="18"/>
  <c r="I144" i="18"/>
  <c r="I303" i="18"/>
  <c r="K325" i="18"/>
  <c r="Y173" i="18"/>
  <c r="M365" i="18"/>
  <c r="F210" i="18"/>
  <c r="T210" i="18" s="1"/>
  <c r="M141" i="18"/>
  <c r="N294" i="18"/>
  <c r="I283" i="18"/>
  <c r="N266" i="18"/>
  <c r="L209" i="18"/>
  <c r="Y283" i="18"/>
  <c r="K276" i="18"/>
  <c r="F163" i="18"/>
  <c r="T163" i="18" s="1"/>
  <c r="I184" i="18"/>
  <c r="K241" i="18"/>
  <c r="M228" i="18"/>
  <c r="F146" i="18"/>
  <c r="T146" i="18" s="1"/>
  <c r="Z214" i="18"/>
  <c r="X149" i="18"/>
  <c r="N276" i="18"/>
  <c r="Z297" i="18"/>
  <c r="G259" i="18"/>
  <c r="K358" i="18"/>
  <c r="N268" i="18"/>
  <c r="F272" i="18"/>
  <c r="T272" i="18" s="1"/>
  <c r="F278" i="18"/>
  <c r="T278" i="18" s="1"/>
  <c r="N129" i="18"/>
  <c r="K141" i="18"/>
  <c r="Y366" i="18"/>
  <c r="N247" i="18"/>
  <c r="X176" i="18"/>
  <c r="AB227" i="18"/>
  <c r="I167" i="18"/>
  <c r="Z182" i="18"/>
  <c r="AB319" i="18"/>
  <c r="L133" i="18"/>
  <c r="N225" i="18"/>
  <c r="X153" i="18"/>
  <c r="G279" i="18"/>
  <c r="Z329" i="18"/>
  <c r="F166" i="18"/>
  <c r="T166" i="18" s="1"/>
  <c r="I256" i="18"/>
  <c r="AB267" i="18"/>
  <c r="AB304" i="18"/>
  <c r="F165" i="18"/>
  <c r="T165" i="18" s="1"/>
  <c r="F138" i="18"/>
  <c r="T138" i="18" s="1"/>
  <c r="K346" i="18"/>
  <c r="I129" i="18"/>
  <c r="M130" i="18"/>
  <c r="X230" i="18"/>
  <c r="G139" i="18"/>
  <c r="Z216" i="18"/>
  <c r="Y284" i="18"/>
  <c r="AB265" i="18"/>
  <c r="G184" i="18"/>
  <c r="Y278" i="18"/>
  <c r="I190" i="18"/>
  <c r="I146" i="18"/>
  <c r="N155" i="18"/>
  <c r="X208" i="18"/>
  <c r="Y156" i="18"/>
  <c r="L270" i="18"/>
  <c r="F357" i="18"/>
  <c r="T357" i="18" s="1"/>
  <c r="X293" i="18"/>
  <c r="AB135" i="18"/>
  <c r="AB220" i="18"/>
  <c r="M172" i="18"/>
  <c r="AB334" i="18"/>
  <c r="L351" i="18"/>
  <c r="K240" i="18"/>
  <c r="F151" i="18"/>
  <c r="T151" i="18" s="1"/>
  <c r="X186" i="18"/>
  <c r="K180" i="18"/>
  <c r="G296" i="18"/>
  <c r="M223" i="18"/>
  <c r="Y313" i="18"/>
  <c r="N202" i="18"/>
  <c r="L195" i="18"/>
  <c r="K220" i="18"/>
  <c r="AB366" i="18"/>
  <c r="K308" i="18"/>
  <c r="G245" i="18"/>
  <c r="F179" i="18"/>
  <c r="T179" i="18" s="1"/>
  <c r="L159" i="18"/>
  <c r="I335" i="18"/>
  <c r="X331" i="18"/>
  <c r="X330" i="18"/>
  <c r="X257" i="18"/>
  <c r="I223" i="18"/>
  <c r="AB183" i="18"/>
  <c r="Z362" i="18"/>
  <c r="M254" i="18"/>
  <c r="M331" i="18"/>
  <c r="I292" i="18"/>
  <c r="I244" i="18"/>
  <c r="F264" i="18"/>
  <c r="T264" i="18" s="1"/>
  <c r="L206" i="18"/>
  <c r="AB223" i="18"/>
  <c r="K225" i="18"/>
  <c r="I310" i="18"/>
  <c r="X305" i="18"/>
  <c r="L185" i="18"/>
  <c r="N324" i="18"/>
  <c r="M364" i="18"/>
  <c r="L204" i="18"/>
  <c r="L326" i="18"/>
  <c r="Z286" i="18"/>
  <c r="X346" i="18"/>
  <c r="M276" i="18"/>
  <c r="Z333" i="18"/>
  <c r="L289" i="18"/>
  <c r="N228" i="18"/>
  <c r="Z219" i="18"/>
  <c r="I308" i="18"/>
  <c r="M213" i="18"/>
  <c r="L200" i="18"/>
  <c r="F321" i="18"/>
  <c r="T321" i="18" s="1"/>
  <c r="AB286" i="18"/>
  <c r="Z315" i="18"/>
  <c r="F281" i="18"/>
  <c r="T281" i="18" s="1"/>
  <c r="N150" i="18"/>
  <c r="N135" i="18"/>
  <c r="G138" i="18"/>
  <c r="Y232" i="18"/>
  <c r="L157" i="18"/>
  <c r="M362" i="18"/>
  <c r="AB280" i="18"/>
  <c r="Y174" i="18"/>
  <c r="F288" i="18"/>
  <c r="T288" i="18" s="1"/>
  <c r="M142" i="18"/>
  <c r="M309" i="18"/>
  <c r="M197" i="18"/>
  <c r="K243" i="18"/>
  <c r="AB277" i="18"/>
  <c r="I352" i="18"/>
  <c r="AB356" i="18"/>
  <c r="F367" i="18"/>
  <c r="T367" i="18" s="1"/>
  <c r="L297" i="18"/>
  <c r="G293" i="18"/>
  <c r="K175" i="18"/>
  <c r="N238" i="18"/>
  <c r="K279" i="18"/>
  <c r="K330" i="18"/>
  <c r="N244" i="18"/>
  <c r="F143" i="18"/>
  <c r="T143" i="18" s="1"/>
  <c r="I237" i="18"/>
  <c r="AB329" i="18"/>
  <c r="X173" i="18"/>
  <c r="F254" i="18"/>
  <c r="T254" i="18" s="1"/>
  <c r="M305" i="18"/>
  <c r="AB281" i="18"/>
  <c r="Y309" i="18"/>
  <c r="AB189" i="18"/>
  <c r="M227" i="18"/>
  <c r="X157" i="18"/>
  <c r="Y133" i="18"/>
  <c r="Z173" i="18"/>
  <c r="N269" i="18"/>
  <c r="Z311" i="18"/>
  <c r="X361" i="18"/>
  <c r="I163" i="18"/>
  <c r="Z185" i="18"/>
  <c r="Y347" i="18"/>
  <c r="Z145" i="18"/>
  <c r="AB185" i="18"/>
  <c r="X256" i="18"/>
  <c r="Z327" i="18"/>
  <c r="Y315" i="18"/>
  <c r="Z273" i="18"/>
  <c r="X219" i="18"/>
  <c r="G281" i="18"/>
  <c r="AB260" i="18"/>
  <c r="N143" i="18"/>
  <c r="N142" i="18"/>
  <c r="Y241" i="18"/>
  <c r="AB256" i="18"/>
  <c r="F302" i="18"/>
  <c r="T302" i="18" s="1"/>
  <c r="M151" i="18"/>
  <c r="N297" i="18"/>
  <c r="Y236" i="18"/>
  <c r="G157" i="18"/>
  <c r="L155" i="18"/>
  <c r="X301" i="18"/>
  <c r="Y344" i="18"/>
  <c r="M198" i="18"/>
  <c r="N182" i="18"/>
  <c r="X150" i="18"/>
  <c r="G364" i="18"/>
  <c r="M363" i="18"/>
  <c r="M288" i="18"/>
  <c r="K354" i="18"/>
  <c r="X254" i="18"/>
  <c r="G286" i="18"/>
  <c r="L302" i="18"/>
  <c r="K312" i="18"/>
  <c r="G359" i="18"/>
  <c r="F192" i="18"/>
  <c r="T192" i="18" s="1"/>
  <c r="AB359" i="18"/>
  <c r="Y338" i="18"/>
  <c r="Y188" i="18"/>
  <c r="AB285" i="18"/>
  <c r="I216" i="18"/>
  <c r="M174" i="18"/>
  <c r="F322" i="18"/>
  <c r="T322" i="18" s="1"/>
  <c r="G134" i="18"/>
  <c r="M146" i="18"/>
  <c r="G284" i="18"/>
  <c r="N292" i="18"/>
  <c r="X338" i="18"/>
  <c r="M259" i="18"/>
  <c r="N164" i="18"/>
  <c r="Z352" i="18"/>
  <c r="Z147" i="18"/>
  <c r="X325" i="18"/>
  <c r="K355" i="18"/>
  <c r="F248" i="18"/>
  <c r="T248" i="18" s="1"/>
  <c r="M195" i="18"/>
  <c r="Y353" i="18"/>
  <c r="AB284" i="18"/>
  <c r="X336" i="18"/>
  <c r="Y270" i="18"/>
  <c r="X171" i="18"/>
  <c r="K345" i="18"/>
  <c r="Y288" i="18"/>
  <c r="M168" i="18"/>
  <c r="Z201" i="18"/>
  <c r="G153" i="18"/>
  <c r="N180" i="18"/>
  <c r="G324" i="18"/>
  <c r="K343" i="18"/>
  <c r="AB287" i="18"/>
  <c r="Y140" i="18"/>
  <c r="K162" i="18"/>
  <c r="Z203" i="18"/>
  <c r="G322" i="18"/>
  <c r="N193" i="18"/>
  <c r="Y190" i="18"/>
  <c r="K185" i="18"/>
  <c r="F217" i="18"/>
  <c r="T217" i="18" s="1"/>
  <c r="Y280" i="18"/>
  <c r="F222" i="18"/>
  <c r="T222" i="18" s="1"/>
  <c r="G236" i="18"/>
  <c r="AB311" i="18"/>
  <c r="M316" i="18"/>
  <c r="L353" i="18"/>
  <c r="AB156" i="18"/>
  <c r="X241" i="18"/>
  <c r="L282" i="18"/>
  <c r="I257" i="18"/>
  <c r="L317" i="18"/>
  <c r="Y237" i="18"/>
  <c r="L285" i="18"/>
  <c r="Z223" i="18"/>
  <c r="AB253" i="18"/>
  <c r="M186" i="18"/>
  <c r="M214" i="18"/>
  <c r="M206" i="18"/>
  <c r="F366" i="18"/>
  <c r="T366" i="18" s="1"/>
  <c r="M241" i="18"/>
  <c r="I210" i="18"/>
  <c r="Z131" i="18"/>
  <c r="N220" i="18"/>
  <c r="X311" i="18"/>
  <c r="K369" i="18"/>
  <c r="L337" i="18"/>
  <c r="G307" i="18"/>
  <c r="AB272" i="18"/>
  <c r="G189" i="18"/>
  <c r="K203" i="18"/>
  <c r="F162" i="18"/>
  <c r="T162" i="18" s="1"/>
  <c r="Y189" i="18"/>
  <c r="X342" i="18"/>
  <c r="F343" i="18"/>
  <c r="T343" i="18" s="1"/>
  <c r="L211" i="18"/>
  <c r="G251" i="18"/>
  <c r="M152" i="18"/>
  <c r="K151" i="18"/>
  <c r="Z360" i="18"/>
  <c r="G337" i="18"/>
  <c r="X314" i="18"/>
  <c r="L271" i="18"/>
  <c r="G218" i="18"/>
  <c r="N363" i="18"/>
  <c r="Z261" i="18"/>
  <c r="I157" i="18"/>
  <c r="Y334" i="18"/>
  <c r="Z296" i="18"/>
  <c r="Y360" i="18"/>
  <c r="I274" i="18"/>
  <c r="M166" i="18"/>
  <c r="F215" i="18"/>
  <c r="T215" i="18" s="1"/>
  <c r="G182" i="18"/>
  <c r="G176" i="18"/>
  <c r="K210" i="18"/>
  <c r="F327" i="18"/>
  <c r="T327" i="18" s="1"/>
  <c r="AB292" i="18"/>
  <c r="I351" i="18"/>
  <c r="M343" i="18"/>
  <c r="F362" i="18"/>
  <c r="T362" i="18" s="1"/>
  <c r="L217" i="18"/>
  <c r="N253" i="18"/>
  <c r="M250" i="18"/>
  <c r="L244" i="18"/>
  <c r="G369" i="18"/>
  <c r="G227" i="18"/>
  <c r="Z171" i="18"/>
  <c r="X366" i="18"/>
  <c r="X185" i="18"/>
  <c r="Y161" i="18"/>
  <c r="X335" i="18"/>
  <c r="Y178" i="18"/>
  <c r="M339" i="18"/>
  <c r="G271" i="18"/>
  <c r="X298" i="18"/>
  <c r="X356" i="18"/>
  <c r="G295" i="18"/>
  <c r="F136" i="18"/>
  <c r="T136" i="18" s="1"/>
  <c r="G136" i="18"/>
  <c r="Z248" i="18"/>
  <c r="Y163" i="18"/>
  <c r="M268" i="18"/>
  <c r="M314" i="18"/>
  <c r="AB139" i="18"/>
  <c r="Y176" i="18"/>
  <c r="F296" i="18"/>
  <c r="T296" i="18" s="1"/>
  <c r="K212" i="18"/>
  <c r="M324" i="18"/>
  <c r="M147" i="18"/>
  <c r="G183" i="18"/>
  <c r="Z259" i="18"/>
  <c r="L248" i="18"/>
  <c r="N309" i="18"/>
  <c r="I135" i="18"/>
  <c r="N283" i="18"/>
  <c r="M165" i="18"/>
  <c r="G298" i="18"/>
  <c r="N230" i="18"/>
  <c r="F159" i="18"/>
  <c r="T159" i="18" s="1"/>
  <c r="AB321" i="18"/>
  <c r="Z263" i="18"/>
  <c r="AB199" i="18"/>
  <c r="M269" i="18"/>
  <c r="I255" i="18"/>
  <c r="I166" i="18"/>
  <c r="I324" i="18"/>
  <c r="K363" i="18"/>
  <c r="G252" i="18"/>
  <c r="I302" i="18"/>
  <c r="X164" i="18"/>
  <c r="L287" i="18"/>
  <c r="Z358" i="18"/>
  <c r="AB250" i="18"/>
  <c r="M350" i="18"/>
  <c r="AB153" i="18"/>
  <c r="X170" i="18"/>
  <c r="G195" i="18"/>
  <c r="K165" i="18"/>
  <c r="N237" i="18"/>
  <c r="AB197" i="18"/>
  <c r="X214" i="18"/>
  <c r="N257" i="18"/>
  <c r="Y129" i="18"/>
  <c r="G160" i="18"/>
  <c r="Z350" i="18"/>
  <c r="G130" i="18"/>
  <c r="G274" i="18"/>
  <c r="AB363" i="18"/>
  <c r="I220" i="18"/>
  <c r="M144" i="18"/>
  <c r="G146" i="18"/>
  <c r="Z256" i="18"/>
  <c r="F242" i="18"/>
  <c r="T242" i="18" s="1"/>
  <c r="K184" i="18"/>
  <c r="X337" i="18"/>
  <c r="I334" i="18"/>
  <c r="N368" i="18"/>
  <c r="Z135" i="18"/>
  <c r="Y230" i="18"/>
  <c r="G243" i="18"/>
  <c r="G341" i="18"/>
  <c r="L260" i="18"/>
  <c r="F341" i="18"/>
  <c r="T341" i="18" s="1"/>
  <c r="M277" i="18"/>
  <c r="X155" i="18"/>
  <c r="AB204" i="18"/>
  <c r="F346" i="18"/>
  <c r="T346" i="18" s="1"/>
  <c r="Y320" i="18"/>
  <c r="Z355" i="18"/>
  <c r="X333" i="18"/>
  <c r="F310" i="18"/>
  <c r="T310" i="18" s="1"/>
  <c r="Y267" i="18"/>
  <c r="AB236" i="18"/>
  <c r="AB362" i="18"/>
  <c r="M160" i="18"/>
  <c r="I169" i="18"/>
  <c r="L235" i="18"/>
  <c r="F300" i="18"/>
  <c r="T300" i="18" s="1"/>
  <c r="M295" i="18"/>
  <c r="N354" i="18"/>
  <c r="N166" i="18"/>
  <c r="X229" i="18"/>
  <c r="N162" i="18"/>
  <c r="N264" i="18"/>
  <c r="I306" i="18"/>
  <c r="N194" i="18"/>
  <c r="X161" i="18"/>
  <c r="M260" i="18"/>
  <c r="G242" i="18"/>
  <c r="AB314" i="18"/>
  <c r="I358" i="18"/>
  <c r="G327" i="18"/>
  <c r="K154" i="18"/>
  <c r="Y261" i="18"/>
  <c r="L177" i="18"/>
  <c r="L308" i="18"/>
  <c r="Z319" i="18"/>
  <c r="K138" i="18"/>
  <c r="Z347" i="18"/>
  <c r="I327" i="18"/>
  <c r="F255" i="18"/>
  <c r="T255" i="18" s="1"/>
  <c r="X238" i="18"/>
  <c r="G311" i="18"/>
  <c r="N161" i="18"/>
  <c r="L291" i="18"/>
  <c r="Y346" i="18"/>
  <c r="Y166" i="18"/>
  <c r="N146" i="18"/>
  <c r="K338" i="18"/>
  <c r="L141" i="18"/>
  <c r="F256" i="18"/>
  <c r="T256" i="18" s="1"/>
  <c r="AB369" i="18"/>
  <c r="AB235" i="18"/>
  <c r="AB232" i="18"/>
  <c r="L309" i="18"/>
  <c r="F323" i="18"/>
  <c r="T323" i="18" s="1"/>
  <c r="M182" i="18"/>
  <c r="K252" i="18"/>
  <c r="Y147" i="18"/>
  <c r="AB251" i="18"/>
  <c r="Z137" i="18"/>
  <c r="L258" i="18"/>
  <c r="Y329" i="18"/>
  <c r="K137" i="18"/>
  <c r="N299" i="18"/>
  <c r="AB352" i="18"/>
  <c r="M158" i="18"/>
  <c r="M357" i="18"/>
  <c r="Z325" i="18"/>
  <c r="X262" i="18"/>
  <c r="AB187" i="18"/>
  <c r="L367" i="18"/>
  <c r="I298" i="18"/>
  <c r="F348" i="18"/>
  <c r="T348" i="18" s="1"/>
  <c r="M334" i="18"/>
  <c r="X203" i="18"/>
  <c r="K245" i="18"/>
  <c r="K271" i="18"/>
  <c r="N315" i="18"/>
  <c r="F285" i="18"/>
  <c r="T285" i="18" s="1"/>
  <c r="M131" i="18"/>
  <c r="Y250" i="18"/>
  <c r="Y352" i="18"/>
  <c r="G203" i="18"/>
  <c r="G316" i="18"/>
  <c r="Y145" i="18"/>
  <c r="AB346" i="18"/>
  <c r="Y342" i="18"/>
  <c r="G320" i="18"/>
  <c r="L166" i="18"/>
  <c r="F235" i="18"/>
  <c r="T235" i="18" s="1"/>
  <c r="I214" i="18"/>
  <c r="I197" i="18"/>
  <c r="F183" i="18"/>
  <c r="T183" i="18" s="1"/>
  <c r="K327" i="18"/>
  <c r="Z255" i="18"/>
  <c r="G174" i="18"/>
  <c r="L226" i="18"/>
  <c r="AB198" i="18"/>
  <c r="G208" i="18"/>
  <c r="K174" i="18"/>
  <c r="N339" i="18"/>
  <c r="F223" i="18"/>
  <c r="T223" i="18" s="1"/>
  <c r="G331" i="18"/>
  <c r="L273" i="18"/>
  <c r="M218" i="18"/>
  <c r="I158" i="18"/>
  <c r="F176" i="18"/>
  <c r="T176" i="18" s="1"/>
  <c r="N333" i="18"/>
  <c r="K163" i="18"/>
  <c r="G349" i="18"/>
  <c r="X144" i="18"/>
  <c r="L231" i="18"/>
  <c r="AB244" i="18"/>
  <c r="G309" i="18"/>
  <c r="K199" i="18"/>
  <c r="M267" i="18"/>
  <c r="N172" i="18"/>
  <c r="Z177" i="18"/>
  <c r="L281" i="18"/>
  <c r="L278" i="18"/>
  <c r="Z275" i="18"/>
  <c r="K334" i="18"/>
  <c r="F168" i="18"/>
  <c r="T168" i="18" s="1"/>
  <c r="F161" i="18"/>
  <c r="T161" i="18" s="1"/>
  <c r="F230" i="18"/>
  <c r="T230" i="18" s="1"/>
  <c r="L330" i="18"/>
  <c r="F324" i="18"/>
  <c r="T324" i="18" s="1"/>
  <c r="K262" i="18"/>
  <c r="L314" i="18"/>
  <c r="AB338" i="18"/>
  <c r="I296" i="18"/>
  <c r="Y317" i="18"/>
  <c r="X145" i="18"/>
  <c r="AB158" i="18"/>
  <c r="L269" i="18"/>
  <c r="Z156" i="18"/>
  <c r="I341" i="18"/>
  <c r="N210" i="18"/>
  <c r="F131" i="18"/>
  <c r="T131" i="18" s="1"/>
  <c r="G329" i="18"/>
  <c r="X265" i="18"/>
  <c r="X220" i="18"/>
  <c r="G351" i="18"/>
  <c r="Y135" i="18"/>
  <c r="Z308" i="18"/>
  <c r="F314" i="18"/>
  <c r="T314" i="18" s="1"/>
  <c r="G221" i="18"/>
  <c r="M290" i="18"/>
  <c r="X362" i="18"/>
  <c r="L342" i="18"/>
  <c r="Y318" i="18"/>
  <c r="G299" i="18"/>
  <c r="N326" i="18"/>
  <c r="Y273" i="18"/>
  <c r="X319" i="18"/>
  <c r="G143" i="18"/>
  <c r="X260" i="18"/>
  <c r="Z300" i="18"/>
  <c r="L138" i="18"/>
  <c r="L312" i="18"/>
  <c r="K167" i="18"/>
  <c r="G362" i="18"/>
  <c r="I287" i="18"/>
  <c r="M193" i="18"/>
  <c r="K322" i="18"/>
  <c r="G225" i="18"/>
  <c r="G215" i="18"/>
  <c r="N130" i="18"/>
  <c r="L264" i="18"/>
  <c r="G291" i="18"/>
  <c r="K139" i="18"/>
  <c r="L216" i="18"/>
  <c r="M368" i="18"/>
  <c r="N190" i="18"/>
  <c r="AB225" i="18"/>
  <c r="K341" i="18"/>
  <c r="Y180" i="18"/>
  <c r="I281" i="18"/>
  <c r="G260" i="18"/>
  <c r="G302" i="18"/>
  <c r="G263" i="18"/>
  <c r="AB322" i="18"/>
  <c r="Y177" i="18"/>
  <c r="Z211" i="18"/>
  <c r="X267" i="18"/>
  <c r="Y295" i="18"/>
  <c r="K209" i="18"/>
  <c r="X180" i="18"/>
  <c r="L266" i="18"/>
  <c r="K172" i="18"/>
  <c r="X210" i="18"/>
  <c r="G270" i="18"/>
  <c r="M155" i="18"/>
  <c r="M261" i="18"/>
  <c r="L354" i="18"/>
  <c r="M304" i="18"/>
  <c r="AB174" i="18"/>
  <c r="Y192" i="18"/>
  <c r="AB351" i="18"/>
  <c r="I242" i="18"/>
  <c r="Z337" i="18"/>
  <c r="N151" i="18"/>
  <c r="N290" i="18"/>
  <c r="X248" i="18"/>
  <c r="M194" i="18"/>
  <c r="AB247" i="18"/>
  <c r="Y331" i="18"/>
  <c r="G197" i="18"/>
  <c r="Z243" i="18"/>
  <c r="F204" i="18"/>
  <c r="T204" i="18" s="1"/>
  <c r="X309" i="18"/>
  <c r="F260" i="18"/>
  <c r="T260" i="18" s="1"/>
  <c r="Y205" i="18"/>
  <c r="I236" i="18"/>
  <c r="N281" i="18"/>
  <c r="G194" i="18"/>
  <c r="G178" i="18"/>
  <c r="X329" i="18"/>
  <c r="G210" i="18"/>
  <c r="M263" i="18"/>
  <c r="Y219" i="18"/>
  <c r="F139" i="18"/>
  <c r="T139" i="18" s="1"/>
  <c r="F195" i="18"/>
  <c r="T195" i="18" s="1"/>
  <c r="AB229" i="18"/>
  <c r="G217" i="18"/>
  <c r="Y326" i="18"/>
  <c r="N138" i="18"/>
  <c r="F265" i="18"/>
  <c r="T265" i="18" s="1"/>
  <c r="L311" i="18"/>
  <c r="X141" i="18"/>
  <c r="K222" i="18"/>
  <c r="N226" i="18"/>
  <c r="M291" i="18"/>
  <c r="Z132" i="18"/>
  <c r="X263" i="18"/>
  <c r="Y260" i="18"/>
  <c r="N248" i="18"/>
  <c r="K235" i="18"/>
  <c r="N167" i="18"/>
  <c r="K353" i="18"/>
  <c r="Z238" i="18"/>
  <c r="AB317" i="18"/>
  <c r="I130" i="18"/>
  <c r="Y264" i="18"/>
  <c r="AB326" i="18"/>
  <c r="I262" i="18"/>
  <c r="AB337" i="18"/>
  <c r="K266" i="18"/>
  <c r="F259" i="18"/>
  <c r="T259" i="18" s="1"/>
  <c r="X202" i="18"/>
  <c r="I234" i="18"/>
  <c r="Y296" i="18"/>
  <c r="N271" i="18"/>
  <c r="G338" i="18"/>
  <c r="I154" i="18"/>
  <c r="K197" i="18"/>
  <c r="G244" i="18"/>
  <c r="N204" i="18"/>
  <c r="M321" i="18"/>
  <c r="AB340" i="18"/>
  <c r="M175" i="18"/>
  <c r="G360" i="18"/>
  <c r="L321" i="18"/>
  <c r="I238" i="18"/>
  <c r="K218" i="18"/>
  <c r="AB327" i="18"/>
  <c r="X217" i="18"/>
  <c r="K284" i="18"/>
  <c r="M209" i="18"/>
  <c r="F140" i="18"/>
  <c r="T140" i="18" s="1"/>
  <c r="X246" i="18"/>
  <c r="F316" i="18"/>
  <c r="T316" i="18" s="1"/>
  <c r="N137" i="18"/>
  <c r="G290" i="18"/>
  <c r="N133" i="18"/>
  <c r="X140" i="18"/>
  <c r="F306" i="18"/>
  <c r="T306" i="18" s="1"/>
  <c r="M286" i="18"/>
  <c r="AB181" i="18"/>
  <c r="Z209" i="18"/>
  <c r="Z294" i="18"/>
  <c r="Z357" i="18"/>
  <c r="Z165" i="18"/>
  <c r="F238" i="18"/>
  <c r="T238" i="18" s="1"/>
  <c r="M153" i="18"/>
  <c r="M310" i="18"/>
  <c r="F365" i="18"/>
  <c r="T365" i="18" s="1"/>
  <c r="AB143" i="18"/>
  <c r="X284" i="18"/>
  <c r="X277" i="18"/>
  <c r="G249" i="18"/>
  <c r="L350" i="18"/>
  <c r="F144" i="18"/>
  <c r="T144" i="18" s="1"/>
  <c r="F326" i="18"/>
  <c r="T326" i="18" s="1"/>
  <c r="G164" i="18"/>
  <c r="I330" i="18"/>
  <c r="K294" i="18"/>
  <c r="AB177" i="18"/>
  <c r="Z228" i="18"/>
  <c r="Y217" i="18"/>
  <c r="M257" i="18"/>
  <c r="Z298" i="18"/>
  <c r="X326" i="18"/>
  <c r="I259" i="18"/>
  <c r="Z270" i="18"/>
  <c r="M225" i="18"/>
  <c r="F164" i="18"/>
  <c r="T164" i="18" s="1"/>
  <c r="I138" i="18"/>
  <c r="I151" i="18"/>
  <c r="G147" i="18"/>
  <c r="X177" i="18"/>
  <c r="L275" i="18"/>
  <c r="F148" i="18"/>
  <c r="T148" i="18" s="1"/>
  <c r="X237" i="18"/>
  <c r="F303" i="18"/>
  <c r="T303" i="18" s="1"/>
  <c r="M318" i="18"/>
  <c r="I199" i="18"/>
  <c r="K301" i="18"/>
  <c r="Z299" i="18"/>
  <c r="Y167" i="18"/>
  <c r="X255" i="18"/>
  <c r="X268" i="18"/>
  <c r="X215" i="18"/>
  <c r="G297" i="18"/>
  <c r="AB151" i="18"/>
  <c r="M366" i="18"/>
  <c r="AB262" i="18"/>
  <c r="Z246" i="18"/>
  <c r="L132" i="18"/>
  <c r="AB308" i="18"/>
  <c r="F208" i="18"/>
  <c r="T208" i="18" s="1"/>
  <c r="Y191" i="18"/>
  <c r="AB194" i="18"/>
  <c r="N240" i="18"/>
  <c r="I266" i="18"/>
  <c r="Y182" i="18"/>
  <c r="N147" i="18"/>
  <c r="F328" i="18"/>
  <c r="T328" i="18" s="1"/>
  <c r="X132" i="18"/>
  <c r="M297" i="18"/>
  <c r="K326" i="18"/>
  <c r="M237" i="18"/>
  <c r="N206" i="18"/>
  <c r="M360" i="18"/>
  <c r="AB136" i="18"/>
  <c r="N249" i="18"/>
  <c r="L334" i="18"/>
  <c r="AB310" i="18"/>
  <c r="X134" i="18"/>
  <c r="Z234" i="18"/>
  <c r="L268" i="18"/>
  <c r="F194" i="18"/>
  <c r="T194" i="18" s="1"/>
  <c r="F279" i="18"/>
  <c r="T279" i="18" s="1"/>
  <c r="X345" i="18"/>
  <c r="Z359" i="18"/>
  <c r="K136" i="18"/>
  <c r="Y204" i="18"/>
  <c r="Z253" i="18"/>
  <c r="Z260" i="18"/>
  <c r="K189" i="18"/>
  <c r="K129" i="18"/>
  <c r="K265" i="18"/>
  <c r="L238" i="18"/>
  <c r="L230" i="18"/>
  <c r="N222" i="18"/>
  <c r="Z138" i="18"/>
  <c r="AB167" i="18"/>
  <c r="X261" i="18"/>
  <c r="Y272" i="18"/>
  <c r="X323" i="18"/>
  <c r="K142" i="18"/>
  <c r="K289" i="18"/>
  <c r="AB231" i="18"/>
  <c r="AB360" i="18"/>
  <c r="Y255" i="18"/>
  <c r="X285" i="18"/>
  <c r="K191" i="18"/>
  <c r="G345" i="18"/>
  <c r="AB303" i="18"/>
  <c r="Z193" i="18"/>
  <c r="M330" i="18"/>
  <c r="F129" i="18"/>
  <c r="T129" i="18" s="1"/>
  <c r="AB200" i="18"/>
  <c r="Y169" i="18"/>
  <c r="Y324" i="18"/>
  <c r="G169" i="18"/>
  <c r="M298" i="18"/>
  <c r="I240" i="18"/>
  <c r="K176" i="18"/>
  <c r="G333" i="18"/>
  <c r="L202" i="18"/>
  <c r="Y289" i="18"/>
  <c r="I268" i="18"/>
  <c r="X306" i="18"/>
  <c r="G292" i="18"/>
  <c r="Z264" i="18"/>
  <c r="L223" i="18"/>
  <c r="AB179" i="18"/>
  <c r="M217" i="18"/>
  <c r="G334" i="18"/>
  <c r="G283" i="18"/>
  <c r="Z148" i="18"/>
  <c r="I140" i="18"/>
  <c r="L323" i="18"/>
  <c r="F232" i="18"/>
  <c r="T232" i="18" s="1"/>
  <c r="K317" i="18"/>
  <c r="N285" i="18"/>
  <c r="I275" i="18"/>
  <c r="K295" i="18"/>
  <c r="K188" i="18"/>
  <c r="M243" i="18"/>
  <c r="Z195" i="18"/>
  <c r="X250" i="18"/>
  <c r="M275" i="18"/>
  <c r="Z361" i="18"/>
  <c r="AB140" i="18"/>
  <c r="I228" i="18"/>
  <c r="L318" i="18"/>
  <c r="G255" i="18"/>
  <c r="I316" i="18"/>
  <c r="L205" i="18"/>
  <c r="I267" i="18"/>
  <c r="I282" i="18"/>
  <c r="Z324" i="18"/>
  <c r="L174" i="18"/>
  <c r="Z162" i="18"/>
  <c r="K236" i="18"/>
  <c r="G222" i="18"/>
  <c r="Y172" i="18"/>
  <c r="X228" i="18"/>
  <c r="Y240" i="18"/>
  <c r="K146" i="18"/>
  <c r="X343" i="18"/>
  <c r="M294" i="18"/>
  <c r="F277" i="18"/>
  <c r="T277" i="18" s="1"/>
  <c r="Y223" i="18"/>
  <c r="G262" i="18"/>
  <c r="L250" i="18"/>
  <c r="M355" i="18"/>
  <c r="AB178" i="18"/>
  <c r="F257" i="18"/>
  <c r="T257" i="18" s="1"/>
  <c r="F333" i="18"/>
  <c r="T333" i="18" s="1"/>
  <c r="AB132" i="18"/>
  <c r="N199" i="18"/>
  <c r="K173" i="18"/>
  <c r="G276" i="18"/>
  <c r="G354" i="18"/>
  <c r="Z312" i="18"/>
  <c r="G141" i="18"/>
  <c r="G321" i="18"/>
  <c r="N358" i="18"/>
  <c r="I272" i="18"/>
  <c r="G313" i="18"/>
  <c r="N195" i="18"/>
  <c r="G171" i="18"/>
  <c r="G149" i="18"/>
  <c r="I301" i="18"/>
  <c r="M281" i="18"/>
  <c r="N187" i="18"/>
  <c r="K314" i="18"/>
  <c r="M145" i="18"/>
  <c r="L212" i="18"/>
  <c r="L322" i="18"/>
  <c r="K299" i="18"/>
  <c r="AB160" i="18"/>
  <c r="F338" i="18"/>
  <c r="T338" i="18" s="1"/>
  <c r="G335" i="18"/>
  <c r="N267" i="18"/>
  <c r="G278" i="18"/>
  <c r="K145" i="18"/>
  <c r="Z204" i="18"/>
  <c r="Z340" i="18"/>
  <c r="N132" i="18"/>
  <c r="I219" i="18"/>
  <c r="X167" i="18"/>
  <c r="N242" i="18"/>
  <c r="F158" i="18"/>
  <c r="T158" i="18" s="1"/>
  <c r="G336" i="18"/>
  <c r="AB168" i="18"/>
  <c r="F325" i="18"/>
  <c r="T325" i="18" s="1"/>
  <c r="M207" i="18"/>
  <c r="I318" i="18"/>
  <c r="M367" i="18"/>
  <c r="AB149" i="18"/>
  <c r="I225" i="18"/>
  <c r="N360" i="18"/>
  <c r="L359" i="18"/>
  <c r="K208" i="18"/>
  <c r="Z257" i="18"/>
  <c r="Y345" i="18"/>
  <c r="L161" i="18"/>
  <c r="N343" i="18"/>
  <c r="Y160" i="18"/>
  <c r="Y253" i="18"/>
  <c r="N310" i="18"/>
  <c r="I150" i="18"/>
  <c r="F141" i="18"/>
  <c r="T141" i="18" s="1"/>
  <c r="X324" i="18"/>
  <c r="M315" i="18"/>
  <c r="Y186" i="18"/>
  <c r="G275" i="18"/>
  <c r="N305" i="18"/>
  <c r="Z180" i="18"/>
  <c r="AB276" i="18"/>
  <c r="L319" i="18"/>
  <c r="F340" i="18"/>
  <c r="T340" i="18" s="1"/>
  <c r="M283" i="18"/>
  <c r="N145" i="18"/>
  <c r="N356" i="18"/>
  <c r="AB184" i="18"/>
  <c r="K159" i="18"/>
  <c r="F271" i="18"/>
  <c r="T271" i="18" s="1"/>
  <c r="G363" i="18"/>
  <c r="L224" i="18"/>
  <c r="G223" i="18"/>
  <c r="Y224" i="18"/>
  <c r="AB245" i="18"/>
  <c r="X175" i="18"/>
  <c r="F304" i="18"/>
  <c r="T304" i="18" s="1"/>
  <c r="Z190" i="18"/>
  <c r="M246" i="18"/>
  <c r="M289" i="18"/>
  <c r="G213" i="18"/>
  <c r="M306" i="18"/>
  <c r="M287" i="18"/>
  <c r="AB302" i="18"/>
  <c r="G246" i="18"/>
  <c r="X318" i="18"/>
  <c r="Y162" i="18"/>
  <c r="M140" i="18"/>
  <c r="Y279" i="18"/>
  <c r="Y136" i="18"/>
  <c r="Y292" i="18"/>
  <c r="Z305" i="18"/>
  <c r="L252" i="18"/>
  <c r="M210" i="18"/>
  <c r="I224" i="18"/>
  <c r="M224" i="18"/>
  <c r="Z254" i="18"/>
  <c r="X339" i="18"/>
  <c r="X231" i="18"/>
  <c r="L184" i="18"/>
  <c r="L225" i="18"/>
  <c r="X303" i="18"/>
  <c r="L368" i="18"/>
  <c r="Z293" i="18"/>
  <c r="AB367" i="18"/>
  <c r="AB339" i="18"/>
  <c r="N246" i="18"/>
  <c r="Z279" i="18"/>
  <c r="Z129" i="18"/>
  <c r="K368" i="18"/>
  <c r="N364" i="18"/>
  <c r="AB180" i="18"/>
  <c r="Y364" i="18"/>
  <c r="Y229" i="18"/>
  <c r="AB252" i="18"/>
  <c r="I261" i="18"/>
  <c r="X287" i="18"/>
  <c r="AB133" i="18"/>
  <c r="G353" i="18"/>
  <c r="K328" i="18"/>
  <c r="N208" i="18"/>
  <c r="K226" i="18"/>
  <c r="Y153" i="18"/>
  <c r="I227" i="18"/>
  <c r="I269" i="18"/>
  <c r="G165" i="18"/>
  <c r="L358" i="18"/>
  <c r="L259" i="18"/>
  <c r="L304" i="18"/>
  <c r="K313" i="18"/>
  <c r="F263" i="18"/>
  <c r="T263" i="18" s="1"/>
  <c r="M134" i="18"/>
  <c r="N348" i="18"/>
  <c r="Y203" i="18"/>
  <c r="L316" i="18"/>
  <c r="X322" i="18"/>
  <c r="K232" i="18"/>
  <c r="I229" i="18"/>
  <c r="Y213" i="18"/>
  <c r="I245" i="18"/>
  <c r="N262" i="18"/>
  <c r="G317" i="18"/>
  <c r="AB325" i="18"/>
  <c r="AB215" i="18"/>
  <c r="K344" i="18"/>
  <c r="Z266" i="18"/>
  <c r="AB348" i="18"/>
  <c r="N227" i="18"/>
  <c r="Y271" i="18"/>
  <c r="K323" i="18"/>
  <c r="Y196" i="18"/>
  <c r="M266" i="18"/>
  <c r="I173" i="18"/>
  <c r="K214" i="18"/>
  <c r="N250" i="18"/>
  <c r="Y247" i="18"/>
  <c r="M302" i="18"/>
  <c r="N148" i="18"/>
  <c r="AB313" i="18"/>
  <c r="L332" i="18"/>
  <c r="F305" i="18"/>
  <c r="T305" i="18" s="1"/>
  <c r="X258" i="18"/>
  <c r="F360" i="18"/>
  <c r="T360" i="18" s="1"/>
  <c r="Y281" i="18"/>
  <c r="K140" i="18"/>
  <c r="Y149" i="18"/>
  <c r="Z221" i="18"/>
  <c r="AB257" i="18"/>
  <c r="Z213" i="18"/>
  <c r="M311" i="18"/>
  <c r="Y312" i="18"/>
  <c r="Y327" i="18"/>
  <c r="L147" i="18"/>
  <c r="X130" i="18"/>
  <c r="K339" i="18"/>
  <c r="K263" i="18"/>
  <c r="L214" i="18"/>
  <c r="K242" i="18"/>
  <c r="X357" i="18"/>
  <c r="X276" i="18"/>
  <c r="G257" i="18"/>
  <c r="I247" i="18"/>
  <c r="Z341" i="18"/>
  <c r="I320" i="18"/>
  <c r="G145" i="18"/>
  <c r="X204" i="18"/>
  <c r="F228" i="18"/>
  <c r="T228" i="18" s="1"/>
  <c r="AB330" i="18"/>
  <c r="Z144" i="18"/>
  <c r="Y368" i="18"/>
  <c r="G188" i="18"/>
  <c r="X289" i="18"/>
  <c r="G163" i="18"/>
  <c r="X234" i="18"/>
  <c r="L229" i="18"/>
  <c r="AB364" i="18"/>
  <c r="K321" i="18"/>
  <c r="Z198" i="18"/>
  <c r="Y231" i="18"/>
  <c r="K166" i="18"/>
  <c r="I326" i="18"/>
  <c r="G207" i="18"/>
  <c r="K309" i="18"/>
  <c r="AB176" i="18"/>
  <c r="X253" i="18"/>
  <c r="X299" i="18"/>
  <c r="K155" i="18"/>
  <c r="N311" i="18"/>
  <c r="M264" i="18"/>
  <c r="N259" i="18"/>
  <c r="Z307" i="18"/>
  <c r="F354" i="18"/>
  <c r="T354" i="18" s="1"/>
  <c r="G173" i="18"/>
  <c r="K285" i="18"/>
  <c r="Z285" i="18"/>
  <c r="F142" i="18"/>
  <c r="T142" i="18" s="1"/>
  <c r="M320" i="18"/>
  <c r="G355" i="18"/>
  <c r="L191" i="18"/>
  <c r="Y286" i="18"/>
  <c r="M236" i="18"/>
  <c r="G193" i="18"/>
  <c r="G366" i="18"/>
  <c r="M265" i="18"/>
  <c r="N216" i="18"/>
  <c r="K150" i="18"/>
  <c r="AB212" i="18"/>
  <c r="M154" i="18"/>
  <c r="X227" i="18"/>
  <c r="X158" i="18"/>
  <c r="F231" i="18"/>
  <c r="T231" i="18" s="1"/>
  <c r="N183" i="18"/>
  <c r="X169" i="18"/>
  <c r="AB320" i="18"/>
  <c r="N312" i="18"/>
  <c r="Y233" i="18"/>
  <c r="G308" i="18"/>
  <c r="G325" i="18"/>
  <c r="L154" i="18"/>
  <c r="Y269" i="18"/>
  <c r="X166" i="18"/>
  <c r="L280" i="18"/>
  <c r="Z237" i="18"/>
  <c r="L149" i="18"/>
  <c r="N258" i="18"/>
  <c r="K306" i="18"/>
  <c r="F225" i="18"/>
  <c r="T225" i="18" s="1"/>
  <c r="I291" i="18"/>
  <c r="Y185" i="18"/>
  <c r="I270" i="18"/>
  <c r="Y141" i="18"/>
  <c r="Z330" i="18"/>
  <c r="F318" i="18"/>
  <c r="T318" i="18" s="1"/>
  <c r="N278" i="18"/>
  <c r="F154" i="18"/>
  <c r="T154" i="18" s="1"/>
  <c r="N273" i="18"/>
  <c r="I344" i="18"/>
  <c r="I340" i="18"/>
  <c r="M221" i="18"/>
  <c r="F312" i="18"/>
  <c r="T312" i="18" s="1"/>
  <c r="M216" i="18"/>
  <c r="M344" i="18"/>
  <c r="K178" i="18"/>
  <c r="X328" i="18"/>
  <c r="K269" i="18"/>
  <c r="AB243" i="18"/>
  <c r="AB195" i="18"/>
  <c r="N201" i="18"/>
  <c r="Z344" i="18"/>
  <c r="G206" i="18"/>
  <c r="I139" i="18"/>
  <c r="F319" i="18"/>
  <c r="T319" i="18" s="1"/>
  <c r="G228" i="18"/>
  <c r="G358" i="18"/>
  <c r="I207" i="18"/>
  <c r="N256" i="18"/>
  <c r="N353" i="18"/>
  <c r="I143" i="18"/>
  <c r="N347" i="18"/>
  <c r="Z188" i="18"/>
  <c r="N154" i="18"/>
  <c r="K288" i="18"/>
  <c r="N234" i="18"/>
  <c r="AB202" i="18"/>
  <c r="X283" i="18"/>
  <c r="I177" i="18"/>
  <c r="I193" i="18"/>
  <c r="K147" i="18"/>
  <c r="AB230" i="18"/>
  <c r="Y351" i="18"/>
  <c r="L175" i="18"/>
  <c r="Y168" i="18"/>
  <c r="AB171" i="18"/>
  <c r="M235" i="18"/>
  <c r="Z143" i="18"/>
  <c r="M361" i="18"/>
  <c r="M183" i="18"/>
  <c r="F209" i="18"/>
  <c r="T209" i="18" s="1"/>
  <c r="Y299" i="18"/>
  <c r="X142" i="18"/>
  <c r="G365" i="18"/>
  <c r="G326" i="18"/>
  <c r="G159" i="18"/>
  <c r="G280" i="18"/>
  <c r="G248" i="18"/>
  <c r="K305" i="18"/>
  <c r="M272" i="18"/>
  <c r="AB289" i="18"/>
  <c r="Y369" i="18"/>
  <c r="L242" i="18"/>
  <c r="AB222" i="18"/>
  <c r="F134" i="18"/>
  <c r="T134" i="18" s="1"/>
  <c r="M248" i="18"/>
  <c r="Y263" i="18"/>
  <c r="Z351" i="18"/>
  <c r="M212" i="18"/>
  <c r="X188" i="18"/>
  <c r="Y300" i="18"/>
  <c r="Y266" i="18"/>
  <c r="N157" i="18"/>
  <c r="N243" i="18"/>
  <c r="F221" i="18"/>
  <c r="T221" i="18" s="1"/>
  <c r="F207" i="18"/>
  <c r="T207" i="18" s="1"/>
  <c r="Y155" i="18"/>
  <c r="F202" i="18"/>
  <c r="T202" i="18" s="1"/>
  <c r="AB208" i="18"/>
  <c r="N279" i="18"/>
  <c r="K275" i="18"/>
  <c r="I258" i="18"/>
  <c r="I211" i="18"/>
  <c r="L366" i="18"/>
  <c r="L213" i="18"/>
  <c r="AB328" i="18"/>
  <c r="X200" i="18"/>
  <c r="Y154" i="18"/>
  <c r="K302" i="18"/>
  <c r="N317" i="18"/>
  <c r="L364" i="18"/>
  <c r="G350" i="18"/>
  <c r="G209" i="18"/>
  <c r="X223" i="18"/>
  <c r="F267" i="18"/>
  <c r="T267" i="18" s="1"/>
  <c r="I347" i="18"/>
  <c r="I295" i="18"/>
  <c r="F226" i="18"/>
  <c r="T226" i="18" s="1"/>
  <c r="Y357" i="18"/>
  <c r="K257" i="18"/>
  <c r="L208" i="18"/>
  <c r="Z200" i="18"/>
  <c r="I315" i="18"/>
  <c r="L163" i="18"/>
  <c r="F198" i="18"/>
  <c r="T198" i="18" s="1"/>
  <c r="I314" i="18"/>
  <c r="AB270" i="18"/>
  <c r="K342" i="18"/>
  <c r="I205" i="18"/>
  <c r="M177" i="18"/>
  <c r="F355" i="18"/>
  <c r="T355" i="18" s="1"/>
  <c r="M179" i="18"/>
  <c r="X192" i="18"/>
  <c r="I260" i="18"/>
  <c r="AB216" i="18"/>
  <c r="I191" i="18"/>
  <c r="I348" i="18"/>
  <c r="Z154" i="18"/>
  <c r="F137" i="18"/>
  <c r="T137" i="18" s="1"/>
  <c r="N141" i="18"/>
  <c r="L335" i="18"/>
  <c r="L146" i="18"/>
  <c r="G135" i="18"/>
  <c r="L170" i="18"/>
  <c r="F186" i="18"/>
  <c r="T186" i="18" s="1"/>
  <c r="M200" i="18"/>
  <c r="Y297" i="18"/>
  <c r="AB282" i="18"/>
  <c r="M187" i="18"/>
  <c r="Y367" i="18"/>
  <c r="AB138" i="18"/>
  <c r="Y199" i="18"/>
  <c r="I329" i="18"/>
  <c r="N303" i="18"/>
  <c r="I189" i="18"/>
  <c r="L201" i="18"/>
  <c r="M307" i="18"/>
  <c r="AB305" i="18"/>
  <c r="G340" i="18"/>
  <c r="N149" i="18"/>
  <c r="X310" i="18"/>
  <c r="N296" i="18"/>
  <c r="N330" i="18"/>
  <c r="M256" i="18"/>
  <c r="I294" i="18"/>
  <c r="K190" i="18"/>
  <c r="I263" i="18"/>
  <c r="AB193" i="18"/>
  <c r="Z336" i="18"/>
  <c r="Y137" i="18"/>
  <c r="N205" i="18"/>
  <c r="M347" i="18"/>
  <c r="I366" i="18"/>
  <c r="Z363" i="18"/>
  <c r="Z354" i="18"/>
  <c r="Z262" i="18"/>
  <c r="F190" i="18"/>
  <c r="T190" i="18" s="1"/>
  <c r="F349" i="18"/>
  <c r="T349" i="18" s="1"/>
  <c r="Y361" i="18"/>
  <c r="Z153" i="18"/>
  <c r="L220" i="18"/>
  <c r="F197" i="18"/>
  <c r="T197" i="18" s="1"/>
  <c r="K130" i="18"/>
  <c r="K337" i="18"/>
  <c r="F167" i="18"/>
  <c r="T167" i="18" s="1"/>
  <c r="Z168" i="18"/>
  <c r="K181" i="18"/>
  <c r="K187" i="18"/>
  <c r="K170" i="18"/>
  <c r="K290" i="18"/>
  <c r="I253" i="18"/>
  <c r="F253" i="18"/>
  <c r="T253" i="18" s="1"/>
  <c r="M346" i="18"/>
  <c r="Z215" i="18"/>
  <c r="F276" i="18"/>
  <c r="T276" i="18" s="1"/>
  <c r="K253" i="18"/>
  <c r="F188" i="18"/>
  <c r="T188" i="18" s="1"/>
  <c r="K280" i="18"/>
  <c r="I231" i="18"/>
  <c r="AB258" i="18"/>
  <c r="I155" i="18"/>
  <c r="Y314" i="18"/>
  <c r="I304" i="18"/>
  <c r="N252" i="18"/>
  <c r="N322" i="18"/>
  <c r="L253" i="18"/>
  <c r="Y336" i="18"/>
  <c r="AB224" i="18"/>
  <c r="M332" i="18"/>
  <c r="X317" i="18"/>
  <c r="I172" i="18"/>
  <c r="AB297" i="18"/>
  <c r="G237" i="18"/>
  <c r="K307" i="18"/>
  <c r="N277" i="18"/>
  <c r="L181" i="18"/>
  <c r="F320" i="18"/>
  <c r="T320" i="18" s="1"/>
  <c r="X233" i="18"/>
  <c r="N345" i="18"/>
  <c r="I182" i="18"/>
  <c r="N367" i="18"/>
  <c r="I333" i="18"/>
  <c r="I203" i="18"/>
  <c r="I134" i="18"/>
  <c r="AB275" i="18"/>
  <c r="L254" i="18"/>
  <c r="K282" i="18"/>
  <c r="I332" i="18"/>
  <c r="Z304" i="18"/>
  <c r="L140" i="18"/>
  <c r="Y208" i="18"/>
  <c r="F261" i="18"/>
  <c r="T261" i="18" s="1"/>
  <c r="Y220" i="18"/>
  <c r="G330" i="18"/>
  <c r="K234" i="18"/>
  <c r="M190" i="18"/>
  <c r="K268" i="18"/>
  <c r="M171" i="18"/>
  <c r="Z323" i="18"/>
  <c r="Z229" i="18"/>
  <c r="M143" i="18"/>
  <c r="X151" i="18"/>
  <c r="I299" i="18"/>
  <c r="N196" i="18"/>
  <c r="I271" i="18"/>
  <c r="Y222" i="18"/>
  <c r="Z342" i="18"/>
  <c r="N304" i="18"/>
  <c r="N295" i="18"/>
  <c r="K347" i="18"/>
  <c r="G132" i="18"/>
  <c r="I194" i="18"/>
  <c r="K287" i="18"/>
  <c r="X189" i="18"/>
  <c r="F201" i="18"/>
  <c r="T201" i="18" s="1"/>
  <c r="X193" i="18"/>
  <c r="Y150" i="18"/>
  <c r="AB309" i="18"/>
  <c r="I217" i="18"/>
  <c r="Z274" i="18"/>
  <c r="X269" i="18"/>
  <c r="L239" i="18"/>
  <c r="AB269" i="18"/>
  <c r="M338" i="18"/>
  <c r="Y301" i="18"/>
  <c r="G231" i="18"/>
  <c r="N207" i="18"/>
  <c r="N188" i="18"/>
  <c r="Z280" i="18"/>
  <c r="K273" i="18"/>
  <c r="M270" i="18"/>
  <c r="I278" i="18"/>
  <c r="N184" i="18"/>
  <c r="N336" i="18"/>
  <c r="M136" i="18"/>
  <c r="M322" i="18"/>
  <c r="AB234" i="18"/>
  <c r="X244" i="18"/>
  <c r="AB263" i="18"/>
  <c r="Z167" i="18"/>
  <c r="AB191" i="18"/>
  <c r="X216" i="18"/>
  <c r="M220" i="18"/>
  <c r="AB347" i="18"/>
  <c r="N320" i="18"/>
  <c r="Y304" i="18"/>
  <c r="I360" i="18"/>
  <c r="X209" i="18"/>
  <c r="F150" i="18"/>
  <c r="T150" i="18" s="1"/>
  <c r="M205" i="18"/>
  <c r="Y262" i="18"/>
  <c r="K246" i="18"/>
  <c r="Z322" i="18"/>
  <c r="N223" i="18"/>
  <c r="AB150" i="18"/>
  <c r="G226" i="18"/>
  <c r="M340" i="18"/>
  <c r="I322" i="18"/>
  <c r="G356" i="18"/>
  <c r="X213" i="18"/>
  <c r="Y197" i="18"/>
  <c r="K149" i="18"/>
  <c r="Z176" i="18"/>
  <c r="X259" i="18"/>
  <c r="G229" i="18"/>
  <c r="G318" i="18"/>
  <c r="M280" i="18"/>
  <c r="M201" i="18"/>
  <c r="AB162" i="18"/>
  <c r="G250" i="18"/>
  <c r="N282" i="18"/>
  <c r="I232" i="18"/>
  <c r="F368" i="18"/>
  <c r="T368" i="18" s="1"/>
  <c r="X368" i="18"/>
  <c r="M319" i="18"/>
  <c r="N325" i="18"/>
  <c r="I168" i="18"/>
  <c r="Z208" i="18"/>
  <c r="X159" i="18"/>
  <c r="AB134" i="18"/>
  <c r="X178" i="18"/>
  <c r="X266" i="18"/>
  <c r="X218" i="18"/>
  <c r="AB318" i="18"/>
  <c r="Y146" i="18"/>
  <c r="N236" i="18"/>
  <c r="K160" i="18"/>
  <c r="AB323" i="18"/>
  <c r="Z365" i="18"/>
  <c r="I363" i="18"/>
  <c r="N197" i="18"/>
  <c r="I323" i="18"/>
  <c r="L286" i="18"/>
  <c r="N288" i="18"/>
  <c r="Z318" i="18"/>
  <c r="AB248" i="18"/>
  <c r="N239" i="18"/>
  <c r="L349" i="18"/>
  <c r="K217" i="18"/>
  <c r="Z368" i="18"/>
  <c r="L249" i="18"/>
  <c r="N286" i="18"/>
  <c r="G287" i="18"/>
  <c r="X340" i="18"/>
  <c r="X364" i="18"/>
  <c r="L365" i="18"/>
  <c r="M247" i="18"/>
  <c r="L339" i="18"/>
  <c r="Z233" i="18"/>
  <c r="N156" i="18"/>
  <c r="G269" i="18"/>
  <c r="I160" i="18"/>
  <c r="AB355" i="18"/>
  <c r="Y339" i="18"/>
  <c r="AB163" i="18"/>
  <c r="Y251" i="18"/>
  <c r="N169" i="18"/>
  <c r="X300" i="18"/>
  <c r="K264" i="18"/>
  <c r="K219" i="18"/>
  <c r="Q45" i="19" s="1"/>
  <c r="R45" i="19" s="1"/>
  <c r="AB249" i="18"/>
  <c r="Z149" i="18"/>
  <c r="K182" i="18"/>
  <c r="AB201" i="18"/>
  <c r="Z291" i="18"/>
  <c r="I133" i="18"/>
  <c r="AB226" i="18"/>
  <c r="L284" i="18"/>
  <c r="Y333" i="18"/>
  <c r="X226" i="18"/>
  <c r="M215" i="18"/>
  <c r="K367" i="18"/>
  <c r="M226" i="18"/>
  <c r="I368" i="18"/>
  <c r="G156" i="18"/>
  <c r="X138" i="18"/>
  <c r="K202" i="18"/>
  <c r="X183" i="18"/>
  <c r="AB291" i="18"/>
  <c r="AB169" i="18"/>
  <c r="I179" i="18"/>
  <c r="Y306" i="18"/>
  <c r="X251" i="18"/>
  <c r="Y248" i="18"/>
  <c r="I165" i="18"/>
  <c r="F182" i="18"/>
  <c r="T182" i="18" s="1"/>
  <c r="N307" i="18"/>
  <c r="Z303" i="18"/>
  <c r="Z224" i="18"/>
  <c r="G247" i="18"/>
  <c r="L255" i="18"/>
  <c r="F335" i="18"/>
  <c r="T335" i="18" s="1"/>
  <c r="N349" i="18"/>
  <c r="F268" i="18"/>
  <c r="T268" i="18" s="1"/>
  <c r="F171" i="18"/>
  <c r="T171" i="18" s="1"/>
  <c r="I290" i="18"/>
  <c r="L153" i="18"/>
  <c r="F178" i="18"/>
  <c r="T178" i="18" s="1"/>
  <c r="L299" i="18"/>
  <c r="G310" i="18"/>
  <c r="X211" i="18"/>
  <c r="N198" i="18"/>
  <c r="K259" i="18"/>
  <c r="M279" i="18"/>
  <c r="N334" i="18"/>
  <c r="X359" i="18"/>
  <c r="N215" i="18"/>
  <c r="N352" i="18"/>
  <c r="K272" i="18"/>
  <c r="Y227" i="18"/>
  <c r="Y171" i="18"/>
  <c r="L307" i="18"/>
  <c r="F361" i="18"/>
  <c r="T361" i="18" s="1"/>
  <c r="G131" i="18"/>
  <c r="I331" i="18"/>
  <c r="L336" i="18"/>
  <c r="M149" i="18"/>
  <c r="M180" i="18"/>
  <c r="N255" i="18"/>
  <c r="L348" i="18"/>
  <c r="Y187" i="18"/>
  <c r="I186" i="18"/>
  <c r="Y335" i="18"/>
  <c r="Z191" i="18"/>
  <c r="M230" i="18"/>
  <c r="Z331" i="18"/>
  <c r="M255" i="18"/>
  <c r="F187" i="18"/>
  <c r="T187" i="18" s="1"/>
  <c r="Y181" i="18"/>
  <c r="F246" i="18"/>
  <c r="T246" i="18" s="1"/>
  <c r="I171" i="18"/>
  <c r="Y142" i="18"/>
  <c r="M239" i="18"/>
  <c r="X280" i="18"/>
  <c r="X249" i="18"/>
  <c r="I185" i="18"/>
  <c r="L228" i="18"/>
  <c r="M135" i="18"/>
  <c r="I313" i="18"/>
  <c r="K207" i="18"/>
  <c r="Z364" i="18"/>
  <c r="M352" i="18"/>
  <c r="N168" i="18"/>
  <c r="F251" i="18"/>
  <c r="T251" i="18" s="1"/>
  <c r="X207" i="18"/>
  <c r="L247" i="18"/>
  <c r="X240" i="18"/>
  <c r="K348" i="18"/>
  <c r="N235" i="18"/>
  <c r="L186" i="18"/>
  <c r="F245" i="18"/>
  <c r="T245" i="18" s="1"/>
  <c r="I213" i="18"/>
  <c r="I246" i="18"/>
  <c r="Z268" i="18"/>
  <c r="Y151" i="18"/>
  <c r="AB246" i="18"/>
  <c r="I312" i="18"/>
  <c r="Z133" i="18"/>
  <c r="AB148" i="18"/>
  <c r="L274" i="18"/>
  <c r="K169" i="18"/>
  <c r="X131" i="18"/>
  <c r="AB315" i="18"/>
  <c r="L173" i="18"/>
  <c r="F330" i="18"/>
  <c r="T330" i="18" s="1"/>
  <c r="AB332" i="18"/>
  <c r="Y337" i="18"/>
  <c r="F250" i="18"/>
  <c r="T250" i="18" s="1"/>
  <c r="L194" i="18"/>
  <c r="L182" i="18"/>
  <c r="K332" i="18"/>
  <c r="F309" i="18"/>
  <c r="T309" i="18" s="1"/>
  <c r="F153" i="18"/>
  <c r="T153" i="18" s="1"/>
  <c r="K183" i="18"/>
  <c r="N280" i="18"/>
  <c r="I248" i="18"/>
  <c r="I285" i="18"/>
  <c r="A131" i="1"/>
  <c r="B131" i="1"/>
  <c r="T125" i="18"/>
  <c r="T123" i="18"/>
  <c r="N11" i="12"/>
  <c r="L10" i="12"/>
  <c r="L11" i="12"/>
  <c r="N10" i="12"/>
  <c r="J10" i="12"/>
  <c r="H10" i="12"/>
  <c r="J11" i="12"/>
  <c r="H11" i="12"/>
  <c r="T124" i="18"/>
  <c r="T85" i="18"/>
  <c r="T122" i="18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E7" i="17"/>
  <c r="F7" i="17" s="1"/>
  <c r="D26" i="17"/>
  <c r="E9" i="13"/>
  <c r="E26" i="17"/>
  <c r="F26" i="17"/>
  <c r="E30" i="17"/>
  <c r="F30" i="17" s="1"/>
  <c r="G30" i="17" s="1"/>
  <c r="E18" i="13"/>
  <c r="L4" i="12"/>
  <c r="D26" i="13" s="1"/>
  <c r="E26" i="13" s="1"/>
  <c r="L11" i="10"/>
  <c r="D24" i="13"/>
  <c r="T81" i="18"/>
  <c r="N13" i="12"/>
  <c r="J12" i="12"/>
  <c r="H12" i="12"/>
  <c r="R40" i="19"/>
  <c r="U40" i="19"/>
  <c r="R41" i="19"/>
  <c r="U41" i="19"/>
  <c r="X41" i="19" s="1"/>
  <c r="D11" i="13"/>
  <c r="J4" i="12"/>
  <c r="D14" i="13" s="1"/>
  <c r="H4" i="12"/>
  <c r="D17" i="13" s="1"/>
  <c r="E17" i="13" s="1"/>
  <c r="L12" i="12"/>
  <c r="AA40" i="19"/>
  <c r="AA41" i="19"/>
  <c r="H13" i="12"/>
  <c r="J13" i="12"/>
  <c r="N12" i="12"/>
  <c r="L13" i="12"/>
  <c r="C41" i="6"/>
  <c r="H42" i="6"/>
  <c r="A41" i="6"/>
  <c r="B41" i="6"/>
  <c r="K1748" i="4" l="1"/>
  <c r="K1729" i="4"/>
  <c r="K1720" i="4"/>
  <c r="K1722" i="4"/>
  <c r="AA1725" i="4"/>
  <c r="K1742" i="4"/>
  <c r="P20" i="12"/>
  <c r="K1732" i="4"/>
  <c r="AA1758" i="4"/>
  <c r="K1726" i="4"/>
  <c r="K1744" i="4"/>
  <c r="K1749" i="4"/>
  <c r="K1751" i="4"/>
  <c r="AA1722" i="4"/>
  <c r="P19" i="12"/>
  <c r="P15" i="12"/>
  <c r="P21" i="12"/>
  <c r="P17" i="12"/>
  <c r="K1733" i="4"/>
  <c r="K1755" i="4"/>
  <c r="P16" i="12"/>
  <c r="P18" i="12"/>
  <c r="K1731" i="4"/>
  <c r="AA1735" i="4"/>
  <c r="K1725" i="4"/>
  <c r="AA1727" i="4"/>
  <c r="K1750" i="4"/>
  <c r="K1737" i="4"/>
  <c r="K1758" i="4"/>
  <c r="R329" i="18"/>
  <c r="O329" i="18"/>
  <c r="U329" i="18"/>
  <c r="W329" i="18"/>
  <c r="R170" i="18"/>
  <c r="O170" i="18"/>
  <c r="U170" i="18"/>
  <c r="W170" i="18"/>
  <c r="AC1731" i="4"/>
  <c r="AB1731" i="4"/>
  <c r="AD1731" i="4"/>
  <c r="AI1731" i="4" s="1"/>
  <c r="AC1726" i="4"/>
  <c r="AB1726" i="4"/>
  <c r="AD1726" i="4"/>
  <c r="AI1726" i="4" s="1"/>
  <c r="AD1724" i="4"/>
  <c r="AI1724" i="4" s="1"/>
  <c r="AB1724" i="4"/>
  <c r="AC1724" i="4"/>
  <c r="AA1724" i="4"/>
  <c r="AD1728" i="4"/>
  <c r="AI1728" i="4" s="1"/>
  <c r="AC1728" i="4"/>
  <c r="AB1728" i="4"/>
  <c r="R325" i="18"/>
  <c r="O325" i="18"/>
  <c r="U325" i="18"/>
  <c r="W325" i="18"/>
  <c r="R272" i="18"/>
  <c r="O272" i="18"/>
  <c r="W272" i="18"/>
  <c r="U272" i="18"/>
  <c r="AD1748" i="4"/>
  <c r="AI1748" i="4" s="1"/>
  <c r="AB1748" i="4"/>
  <c r="AC1748" i="4"/>
  <c r="K48" i="22"/>
  <c r="K1739" i="4"/>
  <c r="AA1731" i="4"/>
  <c r="R232" i="18"/>
  <c r="O232" i="18"/>
  <c r="U232" i="18"/>
  <c r="W232" i="18"/>
  <c r="R334" i="18"/>
  <c r="U334" i="18"/>
  <c r="O334" i="18"/>
  <c r="W334" i="18"/>
  <c r="O213" i="18"/>
  <c r="R213" i="18"/>
  <c r="W213" i="18"/>
  <c r="U213" i="18"/>
  <c r="O276" i="18"/>
  <c r="R276" i="18"/>
  <c r="W276" i="18"/>
  <c r="U276" i="18"/>
  <c r="O166" i="18"/>
  <c r="R166" i="18"/>
  <c r="U166" i="18"/>
  <c r="W166" i="18"/>
  <c r="R158" i="18"/>
  <c r="U158" i="18"/>
  <c r="O158" i="18"/>
  <c r="F15" i="12"/>
  <c r="W158" i="18"/>
  <c r="R333" i="18"/>
  <c r="O333" i="18"/>
  <c r="U333" i="18"/>
  <c r="W333" i="18"/>
  <c r="R217" i="18"/>
  <c r="O217" i="18"/>
  <c r="W217" i="18"/>
  <c r="U217" i="18"/>
  <c r="O294" i="18"/>
  <c r="R294" i="18"/>
  <c r="U294" i="18"/>
  <c r="W294" i="18"/>
  <c r="W273" i="18"/>
  <c r="R273" i="18"/>
  <c r="O273" i="18"/>
  <c r="U273" i="18"/>
  <c r="R243" i="18"/>
  <c r="O243" i="18"/>
  <c r="W243" i="18"/>
  <c r="U243" i="18"/>
  <c r="O300" i="18"/>
  <c r="R300" i="18"/>
  <c r="U300" i="18"/>
  <c r="W300" i="18"/>
  <c r="R155" i="18"/>
  <c r="O155" i="18"/>
  <c r="U155" i="18"/>
  <c r="W155" i="18"/>
  <c r="O199" i="18"/>
  <c r="R199" i="18"/>
  <c r="W199" i="18"/>
  <c r="U199" i="18"/>
  <c r="R241" i="18"/>
  <c r="O241" i="18"/>
  <c r="W241" i="18"/>
  <c r="U241" i="18"/>
  <c r="R136" i="18"/>
  <c r="O136" i="18"/>
  <c r="W136" i="18"/>
  <c r="U136" i="18"/>
  <c r="R308" i="18"/>
  <c r="O308" i="18"/>
  <c r="W308" i="18"/>
  <c r="U308" i="18"/>
  <c r="R163" i="18"/>
  <c r="O163" i="18"/>
  <c r="U163" i="18"/>
  <c r="W163" i="18"/>
  <c r="R290" i="18"/>
  <c r="O290" i="18"/>
  <c r="W290" i="18"/>
  <c r="U290" i="18"/>
  <c r="R184" i="18"/>
  <c r="O184" i="18"/>
  <c r="W184" i="18"/>
  <c r="U184" i="18"/>
  <c r="R364" i="18"/>
  <c r="O364" i="18"/>
  <c r="U364" i="18"/>
  <c r="W364" i="18"/>
  <c r="O231" i="18"/>
  <c r="R231" i="18"/>
  <c r="U231" i="18"/>
  <c r="W231" i="18"/>
  <c r="O285" i="18"/>
  <c r="R285" i="18"/>
  <c r="W285" i="18"/>
  <c r="U285" i="18"/>
  <c r="R342" i="18"/>
  <c r="O342" i="18"/>
  <c r="W342" i="18"/>
  <c r="U342" i="18"/>
  <c r="R306" i="18"/>
  <c r="O306" i="18"/>
  <c r="U306" i="18"/>
  <c r="W306" i="18"/>
  <c r="R132" i="18"/>
  <c r="O132" i="18"/>
  <c r="U132" i="18"/>
  <c r="W132" i="18"/>
  <c r="W346" i="18"/>
  <c r="R346" i="18"/>
  <c r="O346" i="18"/>
  <c r="U346" i="18"/>
  <c r="R360" i="18"/>
  <c r="O360" i="18"/>
  <c r="U360" i="18"/>
  <c r="W360" i="18"/>
  <c r="R212" i="18"/>
  <c r="O212" i="18"/>
  <c r="W212" i="18"/>
  <c r="U212" i="18"/>
  <c r="W367" i="18"/>
  <c r="R367" i="18"/>
  <c r="O367" i="18"/>
  <c r="U367" i="18"/>
  <c r="R244" i="18"/>
  <c r="O244" i="18"/>
  <c r="W244" i="18"/>
  <c r="U244" i="18"/>
  <c r="R193" i="18"/>
  <c r="O193" i="18"/>
  <c r="U193" i="18"/>
  <c r="W193" i="18"/>
  <c r="Z49" i="19"/>
  <c r="D4" i="10"/>
  <c r="D19" i="13" s="1"/>
  <c r="D14" i="12"/>
  <c r="D21" i="12"/>
  <c r="D20" i="12"/>
  <c r="D18" i="12"/>
  <c r="O197" i="18"/>
  <c r="R197" i="18"/>
  <c r="W197" i="18"/>
  <c r="U197" i="18"/>
  <c r="W250" i="18"/>
  <c r="U250" i="18"/>
  <c r="R250" i="18"/>
  <c r="O250" i="18"/>
  <c r="R144" i="18"/>
  <c r="O144" i="18"/>
  <c r="U144" i="18"/>
  <c r="W144" i="18"/>
  <c r="R252" i="18"/>
  <c r="O252" i="18"/>
  <c r="U252" i="18"/>
  <c r="W252" i="18"/>
  <c r="R180" i="18"/>
  <c r="O180" i="18"/>
  <c r="W180" i="18"/>
  <c r="U180" i="18"/>
  <c r="R321" i="18"/>
  <c r="O321" i="18"/>
  <c r="W321" i="18"/>
  <c r="U321" i="18"/>
  <c r="O289" i="18"/>
  <c r="R289" i="18"/>
  <c r="W289" i="18"/>
  <c r="U289" i="18"/>
  <c r="R283" i="18"/>
  <c r="O283" i="18"/>
  <c r="W283" i="18"/>
  <c r="U283" i="18"/>
  <c r="R260" i="18"/>
  <c r="O260" i="18"/>
  <c r="W260" i="18"/>
  <c r="U260" i="18"/>
  <c r="R297" i="18"/>
  <c r="O297" i="18"/>
  <c r="U297" i="18"/>
  <c r="W297" i="18"/>
  <c r="R218" i="18"/>
  <c r="O218" i="18"/>
  <c r="W218" i="18"/>
  <c r="U218" i="18"/>
  <c r="R348" i="18"/>
  <c r="O348" i="18"/>
  <c r="W348" i="18"/>
  <c r="U348" i="18"/>
  <c r="R296" i="18"/>
  <c r="O296" i="18"/>
  <c r="U296" i="18"/>
  <c r="W296" i="18"/>
  <c r="R354" i="18"/>
  <c r="O354" i="18"/>
  <c r="U354" i="18"/>
  <c r="W354" i="18"/>
  <c r="R324" i="18"/>
  <c r="O324" i="18"/>
  <c r="U324" i="18"/>
  <c r="W324" i="18"/>
  <c r="R152" i="18"/>
  <c r="O152" i="18"/>
  <c r="W152" i="18"/>
  <c r="U152" i="18"/>
  <c r="O173" i="18"/>
  <c r="R173" i="18"/>
  <c r="U173" i="18"/>
  <c r="W173" i="18"/>
  <c r="R317" i="18"/>
  <c r="O317" i="18"/>
  <c r="U317" i="18"/>
  <c r="W317" i="18"/>
  <c r="R154" i="18"/>
  <c r="O154" i="18"/>
  <c r="U154" i="18"/>
  <c r="W154" i="18"/>
  <c r="R176" i="18"/>
  <c r="O176" i="18"/>
  <c r="U176" i="18"/>
  <c r="W176" i="18"/>
  <c r="R249" i="18"/>
  <c r="O249" i="18"/>
  <c r="F18" i="12"/>
  <c r="U249" i="18"/>
  <c r="W249" i="18"/>
  <c r="W343" i="18"/>
  <c r="R343" i="18"/>
  <c r="O343" i="18"/>
  <c r="U343" i="18"/>
  <c r="O253" i="18"/>
  <c r="R253" i="18"/>
  <c r="W253" i="18"/>
  <c r="U253" i="18"/>
  <c r="O183" i="18"/>
  <c r="R183" i="18"/>
  <c r="U183" i="18"/>
  <c r="W183" i="18"/>
  <c r="R161" i="18"/>
  <c r="O161" i="18"/>
  <c r="U161" i="18"/>
  <c r="W161" i="18"/>
  <c r="R299" i="18"/>
  <c r="O299" i="18"/>
  <c r="W299" i="18"/>
  <c r="U299" i="18"/>
  <c r="O318" i="18"/>
  <c r="R318" i="18"/>
  <c r="W318" i="18"/>
  <c r="U318" i="18"/>
  <c r="Z44" i="19"/>
  <c r="R200" i="18"/>
  <c r="O200" i="18"/>
  <c r="U200" i="18"/>
  <c r="W200" i="18"/>
  <c r="Q47" i="19"/>
  <c r="Z47" i="19"/>
  <c r="O262" i="18"/>
  <c r="R262" i="18"/>
  <c r="W262" i="18"/>
  <c r="U262" i="18"/>
  <c r="O190" i="18"/>
  <c r="R190" i="18"/>
  <c r="U190" i="18"/>
  <c r="W190" i="18"/>
  <c r="O189" i="18"/>
  <c r="R189" i="18"/>
  <c r="U189" i="18"/>
  <c r="W189" i="18"/>
  <c r="R188" i="18"/>
  <c r="O188" i="18"/>
  <c r="F16" i="12"/>
  <c r="W188" i="18"/>
  <c r="U188" i="18"/>
  <c r="R235" i="18"/>
  <c r="O235" i="18"/>
  <c r="U235" i="18"/>
  <c r="W235" i="18"/>
  <c r="O280" i="18"/>
  <c r="R280" i="18"/>
  <c r="U280" i="18"/>
  <c r="W280" i="18"/>
  <c r="F19" i="12"/>
  <c r="R259" i="18"/>
  <c r="O259" i="18"/>
  <c r="W259" i="18"/>
  <c r="U259" i="18"/>
  <c r="R233" i="18"/>
  <c r="O233" i="18"/>
  <c r="U233" i="18"/>
  <c r="W233" i="18"/>
  <c r="R138" i="18"/>
  <c r="O138" i="18"/>
  <c r="W138" i="18"/>
  <c r="U138" i="18"/>
  <c r="R224" i="18"/>
  <c r="O224" i="18"/>
  <c r="U224" i="18"/>
  <c r="W224" i="18"/>
  <c r="O206" i="18"/>
  <c r="R206" i="18"/>
  <c r="U206" i="18"/>
  <c r="W206" i="18"/>
  <c r="O205" i="18"/>
  <c r="R205" i="18"/>
  <c r="U205" i="18"/>
  <c r="W205" i="18"/>
  <c r="R282" i="18"/>
  <c r="O282" i="18"/>
  <c r="U282" i="18"/>
  <c r="W282" i="18"/>
  <c r="O278" i="18"/>
  <c r="R278" i="18"/>
  <c r="U278" i="18"/>
  <c r="W278" i="18"/>
  <c r="R228" i="18"/>
  <c r="O228" i="18"/>
  <c r="U228" i="18"/>
  <c r="W228" i="18"/>
  <c r="O191" i="18"/>
  <c r="R191" i="18"/>
  <c r="U191" i="18"/>
  <c r="W191" i="18"/>
  <c r="R326" i="18"/>
  <c r="O326" i="18"/>
  <c r="W326" i="18"/>
  <c r="U326" i="18"/>
  <c r="R304" i="18"/>
  <c r="O304" i="18"/>
  <c r="U304" i="18"/>
  <c r="W304" i="18"/>
  <c r="R251" i="18"/>
  <c r="O251" i="18"/>
  <c r="W251" i="18"/>
  <c r="U251" i="18"/>
  <c r="R352" i="18"/>
  <c r="O352" i="18"/>
  <c r="W352" i="18"/>
  <c r="U352" i="18"/>
  <c r="R192" i="18"/>
  <c r="O192" i="18"/>
  <c r="W192" i="18"/>
  <c r="U192" i="18"/>
  <c r="O135" i="18"/>
  <c r="R135" i="18"/>
  <c r="W135" i="18"/>
  <c r="U135" i="18"/>
  <c r="R305" i="18"/>
  <c r="O305" i="18"/>
  <c r="W305" i="18"/>
  <c r="U305" i="18"/>
  <c r="R292" i="18"/>
  <c r="O292" i="18"/>
  <c r="W292" i="18"/>
  <c r="U292" i="18"/>
  <c r="R194" i="18"/>
  <c r="O194" i="18"/>
  <c r="W194" i="18"/>
  <c r="U194" i="18"/>
  <c r="R160" i="18"/>
  <c r="O160" i="18"/>
  <c r="W160" i="18"/>
  <c r="U160" i="18"/>
  <c r="R293" i="18"/>
  <c r="O293" i="18"/>
  <c r="W293" i="18"/>
  <c r="U293" i="18"/>
  <c r="O215" i="18"/>
  <c r="R215" i="18"/>
  <c r="W215" i="18"/>
  <c r="U215" i="18"/>
  <c r="W255" i="18"/>
  <c r="O255" i="18"/>
  <c r="R255" i="18"/>
  <c r="U255" i="18"/>
  <c r="R220" i="18"/>
  <c r="O220" i="18"/>
  <c r="U220" i="18"/>
  <c r="W220" i="18"/>
  <c r="O157" i="18"/>
  <c r="R157" i="18"/>
  <c r="W157" i="18"/>
  <c r="U157" i="18"/>
  <c r="O142" i="18"/>
  <c r="R142" i="18"/>
  <c r="W142" i="18"/>
  <c r="U142" i="18"/>
  <c r="R270" i="18"/>
  <c r="O270" i="18"/>
  <c r="W270" i="18"/>
  <c r="U270" i="18"/>
  <c r="K1741" i="4"/>
  <c r="K1756" i="4"/>
  <c r="K1743" i="4"/>
  <c r="K1724" i="4"/>
  <c r="O159" i="18"/>
  <c r="R159" i="18"/>
  <c r="U159" i="18"/>
  <c r="W159" i="18"/>
  <c r="R227" i="18"/>
  <c r="O227" i="18"/>
  <c r="W227" i="18"/>
  <c r="U227" i="18"/>
  <c r="AD1722" i="4"/>
  <c r="AI1722" i="4" s="1"/>
  <c r="AB1722" i="4"/>
  <c r="AC1722" i="4"/>
  <c r="AA1732" i="4"/>
  <c r="AB1729" i="4"/>
  <c r="AD1729" i="4"/>
  <c r="AI1729" i="4" s="1"/>
  <c r="AC1729" i="4"/>
  <c r="AA1728" i="4"/>
  <c r="AB1720" i="4"/>
  <c r="AD1720" i="4"/>
  <c r="AI1720" i="4" s="1"/>
  <c r="AC1720" i="4"/>
  <c r="AD1723" i="4"/>
  <c r="AI1723" i="4" s="1"/>
  <c r="AC1723" i="4"/>
  <c r="AB1723" i="4"/>
  <c r="K1727" i="4"/>
  <c r="K1752" i="4"/>
  <c r="K1754" i="4"/>
  <c r="Q44" i="19"/>
  <c r="D16" i="12"/>
  <c r="R349" i="18"/>
  <c r="O349" i="18"/>
  <c r="W349" i="18"/>
  <c r="U349" i="18"/>
  <c r="R335" i="18"/>
  <c r="O335" i="18"/>
  <c r="W335" i="18"/>
  <c r="U335" i="18"/>
  <c r="R315" i="18"/>
  <c r="O315" i="18"/>
  <c r="U315" i="18"/>
  <c r="W315" i="18"/>
  <c r="O277" i="18"/>
  <c r="R277" i="18"/>
  <c r="W277" i="18"/>
  <c r="U277" i="18"/>
  <c r="R177" i="18"/>
  <c r="O177" i="18"/>
  <c r="U177" i="18"/>
  <c r="W177" i="18"/>
  <c r="Q49" i="19"/>
  <c r="Q42" i="19"/>
  <c r="Z42" i="19"/>
  <c r="O258" i="18"/>
  <c r="R258" i="18"/>
  <c r="W258" i="18"/>
  <c r="U258" i="18"/>
  <c r="W162" i="18"/>
  <c r="O162" i="18"/>
  <c r="R162" i="18"/>
  <c r="U162" i="18"/>
  <c r="O150" i="18"/>
  <c r="R150" i="18"/>
  <c r="U150" i="18"/>
  <c r="W150" i="18"/>
  <c r="R274" i="18"/>
  <c r="O274" i="18"/>
  <c r="U274" i="18"/>
  <c r="W274" i="18"/>
  <c r="O271" i="18"/>
  <c r="R271" i="18"/>
  <c r="U271" i="18"/>
  <c r="W271" i="18"/>
  <c r="O143" i="18"/>
  <c r="R143" i="18"/>
  <c r="W143" i="18"/>
  <c r="U143" i="18"/>
  <c r="R309" i="18"/>
  <c r="O309" i="18"/>
  <c r="U309" i="18"/>
  <c r="W309" i="18"/>
  <c r="O139" i="18"/>
  <c r="R139" i="18"/>
  <c r="W139" i="18"/>
  <c r="U139" i="18"/>
  <c r="R257" i="18"/>
  <c r="O257" i="18"/>
  <c r="W257" i="18"/>
  <c r="U257" i="18"/>
  <c r="R361" i="18"/>
  <c r="O361" i="18"/>
  <c r="U361" i="18"/>
  <c r="W361" i="18"/>
  <c r="R357" i="18"/>
  <c r="O357" i="18"/>
  <c r="U357" i="18"/>
  <c r="W357" i="18"/>
  <c r="R131" i="18"/>
  <c r="O131" i="18"/>
  <c r="U131" i="18"/>
  <c r="W131" i="18"/>
  <c r="R338" i="18"/>
  <c r="O338" i="18"/>
  <c r="U338" i="18"/>
  <c r="W338" i="18"/>
  <c r="R248" i="18"/>
  <c r="O248" i="18"/>
  <c r="U248" i="18"/>
  <c r="W248" i="18"/>
  <c r="O254" i="18"/>
  <c r="R254" i="18"/>
  <c r="W254" i="18"/>
  <c r="U254" i="18"/>
  <c r="U230" i="18"/>
  <c r="O230" i="18"/>
  <c r="R230" i="18"/>
  <c r="W230" i="18"/>
  <c r="O269" i="18"/>
  <c r="R269" i="18"/>
  <c r="W269" i="18"/>
  <c r="U269" i="18"/>
  <c r="R225" i="18"/>
  <c r="O225" i="18"/>
  <c r="W225" i="18"/>
  <c r="U225" i="18"/>
  <c r="R307" i="18"/>
  <c r="O307" i="18"/>
  <c r="W307" i="18"/>
  <c r="U307" i="18"/>
  <c r="O167" i="18"/>
  <c r="R167" i="18"/>
  <c r="U167" i="18"/>
  <c r="W167" i="18"/>
  <c r="R368" i="18"/>
  <c r="O368" i="18"/>
  <c r="W368" i="18"/>
  <c r="U368" i="18"/>
  <c r="R303" i="18"/>
  <c r="O303" i="18"/>
  <c r="W303" i="18"/>
  <c r="U303" i="18"/>
  <c r="F21" i="12"/>
  <c r="R339" i="18"/>
  <c r="O339" i="18"/>
  <c r="U339" i="18"/>
  <c r="W339" i="18"/>
  <c r="O238" i="18"/>
  <c r="R238" i="18"/>
  <c r="W238" i="18"/>
  <c r="U238" i="18"/>
  <c r="O182" i="18"/>
  <c r="R182" i="18"/>
  <c r="U182" i="18"/>
  <c r="W182" i="18"/>
  <c r="R310" i="18"/>
  <c r="O310" i="18"/>
  <c r="U310" i="18"/>
  <c r="W310" i="18"/>
  <c r="R345" i="18"/>
  <c r="O345" i="18"/>
  <c r="W345" i="18"/>
  <c r="U345" i="18"/>
  <c r="R129" i="18"/>
  <c r="O129" i="18"/>
  <c r="I6" i="20"/>
  <c r="F14" i="12"/>
  <c r="W129" i="18"/>
  <c r="U129" i="18"/>
  <c r="F4" i="10"/>
  <c r="O242" i="18"/>
  <c r="R242" i="18"/>
  <c r="U242" i="18"/>
  <c r="W242" i="18"/>
  <c r="AD1758" i="4"/>
  <c r="AI1758" i="4" s="1"/>
  <c r="AB1758" i="4"/>
  <c r="AC1758" i="4"/>
  <c r="K1736" i="4"/>
  <c r="K1746" i="4"/>
  <c r="AD1725" i="4"/>
  <c r="AI1725" i="4" s="1"/>
  <c r="AC1725" i="4"/>
  <c r="AB1725" i="4"/>
  <c r="O222" i="18"/>
  <c r="R222" i="18"/>
  <c r="U222" i="18"/>
  <c r="W222" i="18"/>
  <c r="R264" i="18"/>
  <c r="O264" i="18"/>
  <c r="U264" i="18"/>
  <c r="W264" i="18"/>
  <c r="K1735" i="4"/>
  <c r="AA1730" i="4"/>
  <c r="AC1721" i="4"/>
  <c r="AD1721" i="4"/>
  <c r="AI1721" i="4" s="1"/>
  <c r="AB1721" i="4"/>
  <c r="AA1729" i="4"/>
  <c r="AA1745" i="4"/>
  <c r="Q46" i="19"/>
  <c r="D17" i="12"/>
  <c r="D15" i="12"/>
  <c r="Q48" i="19"/>
  <c r="O330" i="18"/>
  <c r="R330" i="18"/>
  <c r="W330" i="18"/>
  <c r="U330" i="18"/>
  <c r="R203" i="18"/>
  <c r="O203" i="18"/>
  <c r="W203" i="18"/>
  <c r="U203" i="18"/>
  <c r="R288" i="18"/>
  <c r="O288" i="18"/>
  <c r="W288" i="18"/>
  <c r="U288" i="18"/>
  <c r="O245" i="18"/>
  <c r="R245" i="18"/>
  <c r="U245" i="18"/>
  <c r="W245" i="18"/>
  <c r="R311" i="18"/>
  <c r="O311" i="18"/>
  <c r="W311" i="18"/>
  <c r="U311" i="18"/>
  <c r="F20" i="12"/>
  <c r="O133" i="18"/>
  <c r="R133" i="18"/>
  <c r="U133" i="18"/>
  <c r="W133" i="18"/>
  <c r="R298" i="18"/>
  <c r="O298" i="18"/>
  <c r="W298" i="18"/>
  <c r="U298" i="18"/>
  <c r="R204" i="18"/>
  <c r="O204" i="18"/>
  <c r="U204" i="18"/>
  <c r="W204" i="18"/>
  <c r="D19" i="12"/>
  <c r="O286" i="18"/>
  <c r="R286" i="18"/>
  <c r="W286" i="18"/>
  <c r="U286" i="18"/>
  <c r="R187" i="18"/>
  <c r="O187" i="18"/>
  <c r="W187" i="18"/>
  <c r="U187" i="18"/>
  <c r="O362" i="18"/>
  <c r="R362" i="18"/>
  <c r="W362" i="18"/>
  <c r="U362" i="18"/>
  <c r="W314" i="18"/>
  <c r="O314" i="18"/>
  <c r="R314" i="18"/>
  <c r="U314" i="18"/>
  <c r="R234" i="18"/>
  <c r="O234" i="18"/>
  <c r="W234" i="18"/>
  <c r="U234" i="18"/>
  <c r="W336" i="18"/>
  <c r="R336" i="18"/>
  <c r="O336" i="18"/>
  <c r="U336" i="18"/>
  <c r="O322" i="18"/>
  <c r="R322" i="18"/>
  <c r="U322" i="18"/>
  <c r="W322" i="18"/>
  <c r="R320" i="18"/>
  <c r="O320" i="18"/>
  <c r="W320" i="18"/>
  <c r="U320" i="18"/>
  <c r="R172" i="18"/>
  <c r="O172" i="18"/>
  <c r="U172" i="18"/>
  <c r="W172" i="18"/>
  <c r="R351" i="18"/>
  <c r="O351" i="18"/>
  <c r="W351" i="18"/>
  <c r="U351" i="18"/>
  <c r="O358" i="18"/>
  <c r="R358" i="18"/>
  <c r="U358" i="18"/>
  <c r="W358" i="18"/>
  <c r="O185" i="18"/>
  <c r="R185" i="18"/>
  <c r="W185" i="18"/>
  <c r="U185" i="18"/>
  <c r="R140" i="18"/>
  <c r="O140" i="18"/>
  <c r="U140" i="18"/>
  <c r="W140" i="18"/>
  <c r="R147" i="18"/>
  <c r="O147" i="18"/>
  <c r="U147" i="18"/>
  <c r="W147" i="18"/>
  <c r="O181" i="18"/>
  <c r="R181" i="18"/>
  <c r="U181" i="18"/>
  <c r="W181" i="18"/>
  <c r="R210" i="18"/>
  <c r="O210" i="18"/>
  <c r="U210" i="18"/>
  <c r="W210" i="18"/>
  <c r="R284" i="18"/>
  <c r="O284" i="18"/>
  <c r="U284" i="18"/>
  <c r="W284" i="18"/>
  <c r="O207" i="18"/>
  <c r="R207" i="18"/>
  <c r="W207" i="18"/>
  <c r="U207" i="18"/>
  <c r="U45" i="19"/>
  <c r="X45" i="19" s="1"/>
  <c r="Z48" i="19"/>
  <c r="O356" i="18"/>
  <c r="R356" i="18"/>
  <c r="U356" i="18"/>
  <c r="W356" i="18"/>
  <c r="R344" i="18"/>
  <c r="O344" i="18"/>
  <c r="U344" i="18"/>
  <c r="W344" i="18"/>
  <c r="R246" i="18"/>
  <c r="O246" i="18"/>
  <c r="W246" i="18"/>
  <c r="U246" i="18"/>
  <c r="O141" i="18"/>
  <c r="R141" i="18"/>
  <c r="W141" i="18"/>
  <c r="U141" i="18"/>
  <c r="R312" i="18"/>
  <c r="O312" i="18"/>
  <c r="W312" i="18"/>
  <c r="U312" i="18"/>
  <c r="O214" i="18"/>
  <c r="R214" i="18"/>
  <c r="W214" i="18"/>
  <c r="U214" i="18"/>
  <c r="O263" i="18"/>
  <c r="R263" i="18"/>
  <c r="W263" i="18"/>
  <c r="U263" i="18"/>
  <c r="O165" i="18"/>
  <c r="R165" i="18"/>
  <c r="W165" i="18"/>
  <c r="U165" i="18"/>
  <c r="R195" i="18"/>
  <c r="U195" i="18"/>
  <c r="O195" i="18"/>
  <c r="W195" i="18"/>
  <c r="R208" i="18"/>
  <c r="O208" i="18"/>
  <c r="W208" i="18"/>
  <c r="U208" i="18"/>
  <c r="O151" i="18"/>
  <c r="R151" i="18"/>
  <c r="W151" i="18"/>
  <c r="U151" i="18"/>
  <c r="R171" i="18"/>
  <c r="O171" i="18"/>
  <c r="U171" i="18"/>
  <c r="W171" i="18"/>
  <c r="R295" i="18"/>
  <c r="O295" i="18"/>
  <c r="W295" i="18"/>
  <c r="U295" i="18"/>
  <c r="O287" i="18"/>
  <c r="R287" i="18"/>
  <c r="W287" i="18"/>
  <c r="U287" i="18"/>
  <c r="R148" i="18"/>
  <c r="O148" i="18"/>
  <c r="U148" i="18"/>
  <c r="W148" i="18"/>
  <c r="R268" i="18"/>
  <c r="O268" i="18"/>
  <c r="U268" i="18"/>
  <c r="W268" i="18"/>
  <c r="R256" i="18"/>
  <c r="O256" i="18"/>
  <c r="W256" i="18"/>
  <c r="U256" i="18"/>
  <c r="R186" i="18"/>
  <c r="O186" i="18"/>
  <c r="W186" i="18"/>
  <c r="U186" i="18"/>
  <c r="R281" i="18"/>
  <c r="O281" i="18"/>
  <c r="U281" i="18"/>
  <c r="W281" i="18"/>
  <c r="O174" i="18"/>
  <c r="R174" i="18"/>
  <c r="W174" i="18"/>
  <c r="U174" i="18"/>
  <c r="R153" i="18"/>
  <c r="O153" i="18"/>
  <c r="W153" i="18"/>
  <c r="U153" i="18"/>
  <c r="R332" i="18"/>
  <c r="O332" i="18"/>
  <c r="W332" i="18"/>
  <c r="U332" i="18"/>
  <c r="R237" i="18"/>
  <c r="O237" i="18"/>
  <c r="U237" i="18"/>
  <c r="W237" i="18"/>
  <c r="O313" i="18"/>
  <c r="R313" i="18"/>
  <c r="U313" i="18"/>
  <c r="W313" i="18"/>
  <c r="R340" i="18"/>
  <c r="O340" i="18"/>
  <c r="W340" i="18"/>
  <c r="U340" i="18"/>
  <c r="W316" i="18"/>
  <c r="R316" i="18"/>
  <c r="O316" i="18"/>
  <c r="U316" i="18"/>
  <c r="O211" i="18"/>
  <c r="R211" i="18"/>
  <c r="U211" i="18"/>
  <c r="W211" i="18"/>
  <c r="O279" i="18"/>
  <c r="R279" i="18"/>
  <c r="U279" i="18"/>
  <c r="W279" i="18"/>
  <c r="R327" i="18"/>
  <c r="O327" i="18"/>
  <c r="W327" i="18"/>
  <c r="U327" i="18"/>
  <c r="R365" i="18"/>
  <c r="O365" i="18"/>
  <c r="W365" i="18"/>
  <c r="U365" i="18"/>
  <c r="W202" i="18"/>
  <c r="R202" i="18"/>
  <c r="O202" i="18"/>
  <c r="U202" i="18"/>
  <c r="O350" i="18"/>
  <c r="R350" i="18"/>
  <c r="U350" i="18"/>
  <c r="W350" i="18"/>
  <c r="AD1732" i="4"/>
  <c r="AI1732" i="4" s="1"/>
  <c r="AB1732" i="4"/>
  <c r="AC1732" i="4"/>
  <c r="AC1730" i="4"/>
  <c r="AD1730" i="4"/>
  <c r="AI1730" i="4" s="1"/>
  <c r="AB1730" i="4"/>
  <c r="AA1748" i="4"/>
  <c r="AD1727" i="4"/>
  <c r="AI1727" i="4" s="1"/>
  <c r="AC1727" i="4"/>
  <c r="AB1727" i="4"/>
  <c r="AA1726" i="4"/>
  <c r="K1738" i="4"/>
  <c r="K50" i="22"/>
  <c r="R355" i="18"/>
  <c r="O355" i="18"/>
  <c r="U355" i="18"/>
  <c r="W355" i="18"/>
  <c r="O331" i="18"/>
  <c r="R331" i="18"/>
  <c r="U331" i="18"/>
  <c r="W331" i="18"/>
  <c r="O239" i="18"/>
  <c r="R239" i="18"/>
  <c r="W239" i="18"/>
  <c r="U239" i="18"/>
  <c r="O175" i="18"/>
  <c r="R175" i="18"/>
  <c r="U175" i="18"/>
  <c r="W175" i="18"/>
  <c r="O267" i="18"/>
  <c r="R267" i="18"/>
  <c r="U267" i="18"/>
  <c r="W267" i="18"/>
  <c r="R275" i="18"/>
  <c r="O275" i="18"/>
  <c r="W275" i="18"/>
  <c r="U275" i="18"/>
  <c r="O236" i="18"/>
  <c r="R236" i="18"/>
  <c r="W236" i="18"/>
  <c r="U236" i="18"/>
  <c r="R301" i="18"/>
  <c r="O301" i="18"/>
  <c r="W301" i="18"/>
  <c r="U301" i="18"/>
  <c r="R209" i="18"/>
  <c r="O209" i="18"/>
  <c r="U209" i="18"/>
  <c r="W209" i="18"/>
  <c r="O198" i="18"/>
  <c r="R198" i="18"/>
  <c r="W198" i="18"/>
  <c r="U198" i="18"/>
  <c r="R134" i="18"/>
  <c r="O134" i="18"/>
  <c r="W134" i="18"/>
  <c r="U134" i="18"/>
  <c r="Q43" i="19"/>
  <c r="O149" i="18"/>
  <c r="R149" i="18"/>
  <c r="U149" i="18"/>
  <c r="W149" i="18"/>
  <c r="R219" i="18"/>
  <c r="O219" i="18"/>
  <c r="U219" i="18"/>
  <c r="W219" i="18"/>
  <c r="F17" i="12"/>
  <c r="O265" i="18"/>
  <c r="R265" i="18"/>
  <c r="W265" i="18"/>
  <c r="U265" i="18"/>
  <c r="Z45" i="19"/>
  <c r="R302" i="18"/>
  <c r="O302" i="18"/>
  <c r="W302" i="18"/>
  <c r="U302" i="18"/>
  <c r="R221" i="18"/>
  <c r="O221" i="18"/>
  <c r="U221" i="18"/>
  <c r="W221" i="18"/>
  <c r="R369" i="18"/>
  <c r="O369" i="18"/>
  <c r="U369" i="18"/>
  <c r="W369" i="18"/>
  <c r="R359" i="18"/>
  <c r="O359" i="18"/>
  <c r="U359" i="18"/>
  <c r="W359" i="18"/>
  <c r="O247" i="18"/>
  <c r="R247" i="18"/>
  <c r="W247" i="18"/>
  <c r="U247" i="18"/>
  <c r="Z46" i="19"/>
  <c r="Z43" i="19"/>
  <c r="G6" i="20"/>
  <c r="R156" i="18"/>
  <c r="O156" i="18"/>
  <c r="W156" i="18"/>
  <c r="U156" i="18"/>
  <c r="R145" i="18"/>
  <c r="O145" i="18"/>
  <c r="W145" i="18"/>
  <c r="U145" i="18"/>
  <c r="R347" i="18"/>
  <c r="O347" i="18"/>
  <c r="W347" i="18"/>
  <c r="U347" i="18"/>
  <c r="O229" i="18"/>
  <c r="R229" i="18"/>
  <c r="W229" i="18"/>
  <c r="U229" i="18"/>
  <c r="U337" i="18"/>
  <c r="R337" i="18"/>
  <c r="O337" i="18"/>
  <c r="W337" i="18"/>
  <c r="R323" i="18"/>
  <c r="O323" i="18"/>
  <c r="U323" i="18"/>
  <c r="W323" i="18"/>
  <c r="R164" i="18"/>
  <c r="O164" i="18"/>
  <c r="W164" i="18"/>
  <c r="U164" i="18"/>
  <c r="W196" i="18"/>
  <c r="R196" i="18"/>
  <c r="O196" i="18"/>
  <c r="U196" i="18"/>
  <c r="R201" i="18"/>
  <c r="O201" i="18"/>
  <c r="W201" i="18"/>
  <c r="U201" i="18"/>
  <c r="R366" i="18"/>
  <c r="O366" i="18"/>
  <c r="W366" i="18"/>
  <c r="U366" i="18"/>
  <c r="R178" i="18"/>
  <c r="O178" i="18"/>
  <c r="W178" i="18"/>
  <c r="U178" i="18"/>
  <c r="R168" i="18"/>
  <c r="O168" i="18"/>
  <c r="W168" i="18"/>
  <c r="U168" i="18"/>
  <c r="R261" i="18"/>
  <c r="O261" i="18"/>
  <c r="U261" i="18"/>
  <c r="W261" i="18"/>
  <c r="O223" i="18"/>
  <c r="R223" i="18"/>
  <c r="U223" i="18"/>
  <c r="W223" i="18"/>
  <c r="R240" i="18"/>
  <c r="O240" i="18"/>
  <c r="W240" i="18"/>
  <c r="U240" i="18"/>
  <c r="R179" i="18"/>
  <c r="O179" i="18"/>
  <c r="W179" i="18"/>
  <c r="U179" i="18"/>
  <c r="R226" i="18"/>
  <c r="O226" i="18"/>
  <c r="W226" i="18"/>
  <c r="U226" i="18"/>
  <c r="W353" i="18"/>
  <c r="R353" i="18"/>
  <c r="O353" i="18"/>
  <c r="U353" i="18"/>
  <c r="O146" i="18"/>
  <c r="R146" i="18"/>
  <c r="U146" i="18"/>
  <c r="W146" i="18"/>
  <c r="R169" i="18"/>
  <c r="O169" i="18"/>
  <c r="U169" i="18"/>
  <c r="W169" i="18"/>
  <c r="R137" i="18"/>
  <c r="O137" i="18"/>
  <c r="U137" i="18"/>
  <c r="W137" i="18"/>
  <c r="R319" i="18"/>
  <c r="O319" i="18"/>
  <c r="W319" i="18"/>
  <c r="U319" i="18"/>
  <c r="R291" i="18"/>
  <c r="W291" i="18"/>
  <c r="O291" i="18"/>
  <c r="U291" i="18"/>
  <c r="W328" i="18"/>
  <c r="R328" i="18"/>
  <c r="O328" i="18"/>
  <c r="U328" i="18"/>
  <c r="R130" i="18"/>
  <c r="O130" i="18"/>
  <c r="U130" i="18"/>
  <c r="W130" i="18"/>
  <c r="O266" i="18"/>
  <c r="R266" i="18"/>
  <c r="W266" i="18"/>
  <c r="U266" i="18"/>
  <c r="O363" i="18"/>
  <c r="R363" i="18"/>
  <c r="U363" i="18"/>
  <c r="W363" i="18"/>
  <c r="O216" i="18"/>
  <c r="R216" i="18"/>
  <c r="W216" i="18"/>
  <c r="U216" i="18"/>
  <c r="R341" i="18"/>
  <c r="O341" i="18"/>
  <c r="U341" i="18"/>
  <c r="W341" i="18"/>
  <c r="K1734" i="4"/>
  <c r="K1721" i="4"/>
  <c r="AB1735" i="4"/>
  <c r="AD1735" i="4"/>
  <c r="AI1735" i="4" s="1"/>
  <c r="AC1735" i="4"/>
  <c r="K1740" i="4"/>
  <c r="AD1745" i="4"/>
  <c r="AI1745" i="4" s="1"/>
  <c r="AC1745" i="4"/>
  <c r="AB1745" i="4"/>
  <c r="E24" i="13"/>
  <c r="E22" i="17"/>
  <c r="F22" i="17" s="1"/>
  <c r="G22" i="17" s="1"/>
  <c r="P12" i="12"/>
  <c r="X40" i="19"/>
  <c r="V41" i="19"/>
  <c r="V40" i="19"/>
  <c r="S40" i="19"/>
  <c r="S41" i="19"/>
  <c r="C13" i="12" s="1"/>
  <c r="A42" i="6"/>
  <c r="H43" i="6"/>
  <c r="C42" i="6"/>
  <c r="B42" i="6"/>
  <c r="N11" i="10" l="1"/>
  <c r="D21" i="13"/>
  <c r="N4" i="12"/>
  <c r="D23" i="13" s="1"/>
  <c r="E23" i="13" s="1"/>
  <c r="R49" i="19"/>
  <c r="U49" i="19"/>
  <c r="X49" i="19" s="1"/>
  <c r="H19" i="12"/>
  <c r="J19" i="12"/>
  <c r="L15" i="12"/>
  <c r="R46" i="19"/>
  <c r="U46" i="19"/>
  <c r="X46" i="19" s="1"/>
  <c r="AA42" i="19"/>
  <c r="AA49" i="19"/>
  <c r="AA44" i="19"/>
  <c r="AA45" i="19"/>
  <c r="AA48" i="19"/>
  <c r="AA46" i="19"/>
  <c r="AA43" i="19"/>
  <c r="AA47" i="19"/>
  <c r="N4" i="10"/>
  <c r="D22" i="13" s="1"/>
  <c r="E22" i="13" s="1"/>
  <c r="N14" i="12"/>
  <c r="N20" i="12"/>
  <c r="H20" i="12"/>
  <c r="J20" i="12"/>
  <c r="N17" i="12"/>
  <c r="T127" i="18"/>
  <c r="L17" i="12"/>
  <c r="L4" i="10"/>
  <c r="D25" i="13" s="1"/>
  <c r="E25" i="13" s="1"/>
  <c r="L14" i="12"/>
  <c r="L20" i="12"/>
  <c r="H4" i="10"/>
  <c r="D16" i="13" s="1"/>
  <c r="E16" i="13" s="1"/>
  <c r="D10" i="13"/>
  <c r="J4" i="10"/>
  <c r="D13" i="13" s="1"/>
  <c r="T128" i="18"/>
  <c r="D27" i="13" s="1"/>
  <c r="E27" i="13" s="1"/>
  <c r="R47" i="19"/>
  <c r="U47" i="19"/>
  <c r="X47" i="19" s="1"/>
  <c r="J18" i="12"/>
  <c r="H18" i="12"/>
  <c r="R48" i="19"/>
  <c r="U48" i="19"/>
  <c r="X48" i="19" s="1"/>
  <c r="N21" i="12"/>
  <c r="L19" i="12"/>
  <c r="J16" i="12"/>
  <c r="H16" i="12"/>
  <c r="H17" i="12"/>
  <c r="J17" i="12"/>
  <c r="L21" i="12"/>
  <c r="N19" i="12"/>
  <c r="N16" i="12"/>
  <c r="N18" i="12"/>
  <c r="R43" i="19"/>
  <c r="U43" i="19"/>
  <c r="X43" i="19" s="1"/>
  <c r="J14" i="12"/>
  <c r="H14" i="12"/>
  <c r="J21" i="12"/>
  <c r="H21" i="12"/>
  <c r="L16" i="12"/>
  <c r="L18" i="12"/>
  <c r="J15" i="12"/>
  <c r="H15" i="12"/>
  <c r="U44" i="19"/>
  <c r="X44" i="19" s="1"/>
  <c r="R44" i="19"/>
  <c r="T126" i="18"/>
  <c r="N15" i="12"/>
  <c r="R42" i="19"/>
  <c r="U42" i="19"/>
  <c r="C12" i="12"/>
  <c r="Y41" i="19"/>
  <c r="E13" i="12"/>
  <c r="E12" i="12"/>
  <c r="Y40" i="19"/>
  <c r="A43" i="6"/>
  <c r="H44" i="6"/>
  <c r="C43" i="6"/>
  <c r="B43" i="6"/>
  <c r="E21" i="17" l="1"/>
  <c r="F21" i="17" s="1"/>
  <c r="G21" i="17" s="1"/>
  <c r="E21" i="13"/>
  <c r="E23" i="17"/>
  <c r="F23" i="17" s="1"/>
  <c r="G23" i="17" s="1"/>
  <c r="E29" i="17" s="1"/>
  <c r="F29" i="17" s="1"/>
  <c r="P14" i="12"/>
  <c r="P4" i="10"/>
  <c r="D28" i="13" s="1"/>
  <c r="E28" i="13" s="1"/>
  <c r="P13" i="12"/>
  <c r="P4" i="12"/>
  <c r="D29" i="13" s="1"/>
  <c r="E29" i="13" s="1"/>
  <c r="P11" i="10"/>
  <c r="X42" i="19"/>
  <c r="V42" i="19"/>
  <c r="V44" i="19"/>
  <c r="V48" i="19"/>
  <c r="V47" i="19"/>
  <c r="V49" i="19"/>
  <c r="C10" i="13"/>
  <c r="E10" i="13" s="1"/>
  <c r="V45" i="19"/>
  <c r="V46" i="19"/>
  <c r="V43" i="19"/>
  <c r="E4" i="10"/>
  <c r="S48" i="19"/>
  <c r="C20" i="12" s="1"/>
  <c r="S47" i="19"/>
  <c r="C19" i="12" s="1"/>
  <c r="S44" i="19"/>
  <c r="C16" i="12" s="1"/>
  <c r="S49" i="19"/>
  <c r="C21" i="12" s="1"/>
  <c r="C19" i="13"/>
  <c r="E19" i="13" s="1"/>
  <c r="S45" i="19"/>
  <c r="C17" i="12" s="1"/>
  <c r="S46" i="19"/>
  <c r="C18" i="12" s="1"/>
  <c r="S42" i="19"/>
  <c r="S43" i="19"/>
  <c r="C15" i="12" s="1"/>
  <c r="C4" i="10"/>
  <c r="I12" i="12"/>
  <c r="G12" i="12"/>
  <c r="I13" i="12"/>
  <c r="G13" i="12"/>
  <c r="A44" i="6"/>
  <c r="H45" i="6"/>
  <c r="C44" i="6"/>
  <c r="B44" i="6"/>
  <c r="E15" i="12" l="1"/>
  <c r="Y43" i="19"/>
  <c r="Y42" i="19"/>
  <c r="C11" i="13"/>
  <c r="E11" i="13" s="1"/>
  <c r="E14" i="12"/>
  <c r="E4" i="12"/>
  <c r="E18" i="12"/>
  <c r="Y46" i="19"/>
  <c r="E21" i="12"/>
  <c r="Y49" i="19"/>
  <c r="E17" i="12"/>
  <c r="Y45" i="19"/>
  <c r="Y47" i="19"/>
  <c r="E19" i="12"/>
  <c r="Y48" i="19"/>
  <c r="E20" i="12"/>
  <c r="C14" i="12"/>
  <c r="C20" i="13"/>
  <c r="E20" i="13" s="1"/>
  <c r="C4" i="12"/>
  <c r="I4" i="10"/>
  <c r="C13" i="13" s="1"/>
  <c r="E13" i="13" s="1"/>
  <c r="G4" i="10"/>
  <c r="Y44" i="19"/>
  <c r="E16" i="12"/>
  <c r="A45" i="6"/>
  <c r="H46" i="6"/>
  <c r="C45" i="6"/>
  <c r="B45" i="6"/>
  <c r="I20" i="12" l="1"/>
  <c r="G20" i="12"/>
  <c r="G18" i="12"/>
  <c r="I18" i="12"/>
  <c r="I19" i="12"/>
  <c r="G19" i="12"/>
  <c r="G4" i="12"/>
  <c r="I4" i="12"/>
  <c r="C14" i="13" s="1"/>
  <c r="E14" i="13" s="1"/>
  <c r="G14" i="12"/>
  <c r="I14" i="12"/>
  <c r="I17" i="12"/>
  <c r="G17" i="12"/>
  <c r="I16" i="12"/>
  <c r="G16" i="12"/>
  <c r="I21" i="12"/>
  <c r="G21" i="12"/>
  <c r="I15" i="12"/>
  <c r="G15" i="12"/>
  <c r="A46" i="6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<sst xmlns="http://schemas.openxmlformats.org/spreadsheetml/2006/main" count="22713" uniqueCount="544">
  <si>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</si>
  <si>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</si>
  <si>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</si>
  <si>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</si>
  <si>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</si>
  <si>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</si>
  <si>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</si>
  <si>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</si>
  <si>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</si>
  <si>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</si>
  <si>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</si>
  <si>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</si>
  <si>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</si>
  <si>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</si>
  <si>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</si>
  <si>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</si>
  <si>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</si>
  <si>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</si>
  <si>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</si>
  <si>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</si>
  <si>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</si>
  <si>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</si>
  <si>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</si>
  <si>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</si>
  <si>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</si>
  <si>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</si>
  <si>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</si>
  <si>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</si>
  <si>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</si>
  <si>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</si>
  <si>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</si>
  <si>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</si>
  <si>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</si>
  <si>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</si>
  <si>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</si>
  <si>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</si>
  <si>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</si>
  <si>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</si>
  <si>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</si>
  <si>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</si>
  <si>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</si>
  <si>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</si>
  <si>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</si>
  <si>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</si>
  <si>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</si>
  <si>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</si>
  <si>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</si>
  <si>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</si>
  <si>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</si>
  <si>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</si>
  <si>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</si>
  <si>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</si>
  <si>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</si>
  <si>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</si>
  <si>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</si>
  <si>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</si>
  <si>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</si>
  <si>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</si>
  <si>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</si>
  <si>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</si>
  <si>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</si>
  <si>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</si>
  <si>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</si>
  <si>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</si>
  <si>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</si>
  <si>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</si>
  <si>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</si>
  <si>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</si>
  <si>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</si>
  <si>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</si>
  <si>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</si>
  <si>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</si>
  <si>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</si>
  <si>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</si>
  <si>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</si>
  <si>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</si>
  <si>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</si>
  <si>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</si>
  <si>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</si>
  <si>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</si>
  <si>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</si>
  <si>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</si>
  <si>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</si>
  <si>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</si>
  <si>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</si>
  <si>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</si>
  <si>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</si>
  <si>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</si>
  <si>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</si>
  <si>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</si>
  <si>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</si>
  <si>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</si>
  <si>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</si>
  <si>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</si>
  <si>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</si>
  <si>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</si>
  <si>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</si>
  <si>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</si>
  <si>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</si>
  <si>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</si>
  <si>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</si>
  <si>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</si>
  <si>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</si>
  <si>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</si>
  <si>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</si>
  <si>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</si>
  <si>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</si>
  <si>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</si>
  <si>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</si>
  <si>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</si>
  <si>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</si>
  <si>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</si>
  <si>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</si>
  <si>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</si>
  <si>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</si>
  <si>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</si>
  <si>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</si>
  <si>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</si>
  <si>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</si>
  <si>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</si>
  <si>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</si>
  <si>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</si>
  <si>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</si>
  <si>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</si>
  <si>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</si>
  <si>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</si>
  <si>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</si>
  <si>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</si>
  <si>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</si>
  <si>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</si>
  <si>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</si>
  <si>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</si>
  <si>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</si>
  <si>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</si>
  <si>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</si>
  <si>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</si>
  <si>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</si>
  <si>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</si>
  <si>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</si>
  <si>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</si>
  <si>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</si>
  <si>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</si>
  <si>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</si>
  <si>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</si>
  <si>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</si>
  <si>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</si>
  <si>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</si>
  <si>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</si>
  <si>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</si>
  <si>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</si>
  <si>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</si>
  <si>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</si>
  <si>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</si>
  <si>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</si>
  <si>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</si>
  <si>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</si>
  <si>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</si>
  <si>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</si>
  <si>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</si>
  <si>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</si>
  <si>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</si>
  <si>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</si>
  <si>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</si>
  <si>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</si>
  <si>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</si>
  <si>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</si>
  <si>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</si>
  <si>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</si>
  <si>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</si>
  <si>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</si>
  <si>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</si>
  <si>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</si>
  <si>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</si>
  <si>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</si>
  <si>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</si>
  <si>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</si>
  <si>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</si>
  <si>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</si>
  <si>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</si>
  <si>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</si>
  <si>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</si>
  <si>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</si>
  <si>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</si>
  <si>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</si>
  <si>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</si>
  <si>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</si>
  <si>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</si>
  <si>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</si>
  <si>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</si>
  <si>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</si>
  <si>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</si>
  <si>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</si>
  <si>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</si>
  <si>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</si>
  <si>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</si>
  <si>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</si>
  <si>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</si>
  <si>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</si>
  <si>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</si>
  <si>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</si>
  <si>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</si>
  <si>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</si>
  <si>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</si>
  <si>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</si>
  <si>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</si>
  <si>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</si>
  <si>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</si>
  <si>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</si>
  <si>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</si>
  <si>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</si>
  <si>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</si>
  <si>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</si>
  <si>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</si>
  <si>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</si>
  <si>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</si>
  <si>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</si>
  <si>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</si>
  <si>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</si>
  <si>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</si>
  <si>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</si>
  <si>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</si>
  <si>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</si>
  <si>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</si>
  <si>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</si>
  <si>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</si>
  <si>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</si>
  <si>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Plant Equivalent Weightage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</si>
  <si>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</si>
  <si>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</si>
  <si>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</si>
  <si>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</si>
  <si>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</si>
  <si>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</si>
  <si>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</si>
  <si>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</si>
  <si>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Status</t>
  </si>
  <si>
    <t>Plant Equivalent breakdown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</si>
  <si>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</si>
  <si>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</si>
  <si>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</si>
  <si>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</si>
  <si>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</si>
  <si>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</si>
  <si>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</si>
  <si>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</si>
  <si>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</si>
  <si>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</si>
  <si>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</si>
  <si>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</si>
  <si>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</si>
  <si>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</si>
  <si>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</si>
  <si>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</si>
  <si>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</si>
  <si>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</si>
  <si>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</si>
  <si>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</si>
  <si>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</si>
  <si>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</si>
  <si>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</si>
  <si>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</si>
  <si>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</si>
  <si>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</si>
  <si>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</si>
  <si>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</si>
  <si>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</si>
  <si>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</si>
  <si>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</si>
  <si>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</si>
  <si>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</si>
  <si>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</si>
  <si>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</si>
  <si>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</si>
  <si>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</si>
  <si>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</si>
  <si>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</si>
  <si>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</si>
  <si>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</si>
  <si>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</si>
  <si>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</si>
  <si>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</si>
  <si>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</si>
  <si>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</si>
  <si>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</si>
  <si>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</si>
  <si>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</si>
  <si>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</si>
  <si>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</si>
  <si>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</si>
  <si>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</si>
  <si>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</si>
  <si>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</si>
  <si>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</si>
  <si>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</si>
  <si>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</si>
  <si>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</si>
  <si>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</si>
  <si>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</si>
  <si>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</si>
  <si>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</si>
  <si>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</si>
  <si>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</si>
  <si>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</si>
  <si>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</si>
  <si>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</si>
  <si>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</si>
  <si>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</si>
  <si>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</si>
  <si>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</si>
  <si>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</si>
  <si>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</si>
  <si>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</si>
  <si>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</si>
  <si>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</si>
  <si>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</si>
  <si>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</si>
  <si>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</si>
  <si>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</si>
  <si>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</si>
  <si>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</si>
  <si>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</si>
  <si>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</si>
  <si>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</si>
  <si>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</si>
  <si>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</si>
  <si>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</si>
  <si>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</si>
  <si>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</si>
  <si>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</si>
  <si>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</si>
  <si>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</si>
  <si>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</si>
  <si>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</si>
  <si>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</si>
  <si>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</si>
  <si>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</si>
  <si>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</si>
  <si>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</si>
  <si>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</si>
  <si>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</si>
  <si>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</si>
  <si>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</si>
  <si>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</si>
  <si>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</si>
  <si>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</si>
  <si>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</si>
  <si>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</si>
  <si>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</si>
  <si>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</si>
  <si>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</si>
  <si>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</si>
  <si>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</si>
  <si>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</si>
  <si>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</si>
  <si>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</si>
  <si>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</si>
  <si>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</si>
  <si>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</si>
  <si>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</si>
  <si>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</si>
  <si>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</si>
  <si>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</si>
  <si>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</si>
  <si>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</si>
  <si>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</si>
  <si>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</si>
  <si>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</si>
  <si>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</si>
  <si>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</si>
  <si>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</si>
  <si>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</si>
  <si>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</si>
  <si>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</si>
  <si>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</si>
  <si>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</si>
  <si>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</si>
  <si>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</si>
  <si>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</si>
  <si>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</si>
  <si>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</si>
  <si>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</si>
  <si>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</si>
  <si>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</si>
  <si>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</si>
  <si>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</si>
  <si>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</si>
  <si>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</si>
  <si>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</si>
  <si>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</si>
  <si>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</si>
  <si>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</si>
  <si>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</si>
  <si>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</si>
  <si>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</si>
  <si>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</si>
  <si>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</si>
  <si>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</si>
  <si>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</si>
  <si>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</si>
  <si>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</si>
  <si>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</si>
  <si>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</si>
  <si>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</si>
  <si>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</si>
  <si>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</si>
  <si>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</si>
  <si>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</si>
  <si>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</si>
  <si>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</si>
  <si>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</si>
  <si>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</si>
  <si>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</si>
  <si>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</si>
  <si>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</si>
  <si>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</si>
  <si>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</si>
  <si>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</si>
  <si>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</si>
  <si>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</si>
  <si>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</si>
  <si>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</si>
  <si>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</si>
  <si>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</si>
  <si>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</si>
  <si>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</si>
  <si>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</si>
  <si>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</si>
  <si>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</si>
  <si>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</si>
  <si>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</si>
  <si>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</si>
  <si>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</si>
  <si>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</si>
  <si>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</si>
  <si>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</si>
  <si>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</si>
  <si>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</si>
  <si>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</si>
  <si>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</si>
  <si>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</si>
  <si>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</si>
  <si>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</si>
  <si>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</si>
  <si>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</si>
  <si>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</si>
  <si>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</si>
  <si>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</si>
  <si>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</si>
  <si>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</si>
  <si>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</si>
  <si>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</si>
  <si>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</si>
  <si>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</si>
  <si>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</si>
  <si>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</si>
  <si>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</si>
  <si>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</si>
  <si>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</si>
  <si>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</si>
  <si>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</si>
  <si>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</si>
  <si>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</si>
  <si>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</si>
  <si>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</si>
  <si>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</si>
  <si>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</si>
  <si>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</si>
  <si>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</si>
  <si>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</si>
  <si>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</si>
  <si>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</si>
  <si>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</si>
  <si>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</si>
  <si>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</si>
  <si>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</si>
  <si>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</si>
  <si>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</si>
  <si>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</si>
  <si>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</si>
  <si>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</si>
  <si>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</si>
  <si>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</si>
  <si>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</si>
  <si>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</si>
  <si>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</si>
  <si>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</si>
  <si>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</si>
  <si>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</si>
  <si>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</si>
  <si>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</si>
  <si>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</si>
  <si>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</si>
  <si>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</si>
  <si>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</si>
  <si>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</si>
  <si>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</si>
  <si>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</si>
  <si>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</si>
  <si>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</si>
  <si>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</si>
  <si>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</si>
  <si>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</si>
  <si>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</si>
  <si>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</si>
  <si>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</si>
  <si>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</si>
  <si>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</si>
  <si>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</si>
  <si>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</si>
  <si>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</si>
  <si>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</si>
  <si>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</si>
  <si>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</si>
  <si>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</si>
  <si>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</si>
  <si>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</si>
  <si>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</si>
  <si>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</si>
  <si>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</si>
  <si>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</si>
  <si>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</si>
  <si>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</si>
  <si>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</si>
  <si>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</si>
  <si>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</si>
  <si>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</si>
  <si>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</si>
  <si>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</si>
  <si>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</si>
  <si>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</si>
  <si>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</si>
  <si>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</si>
  <si>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</si>
  <si>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</si>
  <si>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</si>
  <si>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DC Capacity Affected (kW)</t>
  </si>
  <si>
    <t>Affected Equipment Location</t>
  </si>
  <si>
    <t xml:space="preserve">Acknowledgement Time </t>
  </si>
  <si>
    <t>Lost PoA(kWh/m2)</t>
  </si>
  <si>
    <t>Approximate Energy Loss (KWh)</t>
  </si>
  <si>
    <t>Scope</t>
  </si>
  <si>
    <t xml:space="preserve">Affected Equipment </t>
  </si>
  <si>
    <t>LC taken for Jump work  at 33kv manhalli</t>
  </si>
  <si>
    <t>Month :-Aug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</si>
</sst>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4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  <font>
      <sz val="10"/>
      <name val="Calibri"/>
    </font>
    <font>
      <sz val="11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2CB"/>
        <bgColor rgb="FFFEF2CB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43">
    <xf numFmtId="0" fontId="0" fillId="0" borderId="0"/>
    <xf numFmtId="9" fontId="32" fillId="0" borderId="0" applyFont="0" applyFill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5" borderId="0" applyNumberFormat="0" applyBorder="0" applyAlignment="0" applyProtection="0"/>
    <xf numFmtId="0" fontId="8" fillId="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8" borderId="0" applyNumberFormat="0" applyBorder="0" applyAlignment="0" applyProtection="0"/>
    <xf numFmtId="0" fontId="8" fillId="30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4" borderId="0" applyNumberFormat="0" applyBorder="0" applyAlignment="0" applyProtection="0"/>
    <xf numFmtId="0" fontId="17" fillId="31" borderId="0" applyNumberFormat="0" applyBorder="0" applyAlignment="0" applyProtection="0"/>
    <xf numFmtId="0" fontId="18" fillId="32" borderId="29" applyNumberFormat="0" applyAlignment="0" applyProtection="0"/>
    <xf numFmtId="0" fontId="7" fillId="33" borderId="31" applyNumberFormat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19" fillId="0" borderId="0"/>
    <xf numFmtId="0" fontId="19" fillId="0" borderId="0"/>
    <xf numFmtId="0" fontId="20" fillId="0" borderId="0" applyNumberFormat="0" applyFill="0" applyBorder="0" applyAlignment="0" applyProtection="0"/>
    <xf numFmtId="0" fontId="21" fillId="34" borderId="0" applyNumberFormat="0" applyBorder="0" applyAlignment="0" applyProtection="0"/>
    <xf numFmtId="0" fontId="14" fillId="0" borderId="34" applyNumberFormat="0" applyFill="0" applyAlignment="0" applyProtection="0"/>
    <xf numFmtId="0" fontId="15" fillId="0" borderId="35" applyNumberFormat="0" applyFill="0" applyAlignment="0" applyProtection="0"/>
    <xf numFmtId="0" fontId="16" fillId="0" borderId="36" applyNumberFormat="0" applyFill="0" applyAlignment="0" applyProtection="0"/>
    <xf numFmtId="0" fontId="16" fillId="0" borderId="0" applyNumberFormat="0" applyFill="0" applyBorder="0" applyAlignment="0" applyProtection="0"/>
    <xf numFmtId="0" fontId="22" fillId="35" borderId="29" applyNumberFormat="0" applyAlignment="0" applyProtection="0"/>
    <xf numFmtId="0" fontId="23" fillId="0" borderId="32" applyNumberFormat="0" applyFill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9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6" fillId="0" borderId="0"/>
    <xf numFmtId="0" fontId="32" fillId="0" borderId="0"/>
    <xf numFmtId="164" fontId="32" fillId="0" borderId="0"/>
    <xf numFmtId="0" fontId="26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28" fillId="32" borderId="30" applyNumberFormat="0" applyAlignment="0" applyProtection="0"/>
    <xf numFmtId="9" fontId="2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9" fillId="38" borderId="0"/>
    <xf numFmtId="0" fontId="30" fillId="0" borderId="33" applyNumberFormat="0" applyFill="0" applyAlignment="0" applyProtection="0"/>
    <xf numFmtId="0" fontId="31" fillId="0" borderId="0" applyNumberFormat="0" applyFill="0" applyBorder="0" applyAlignment="0" applyProtection="0"/>
    <xf numFmtId="0" fontId="2" fillId="0" borderId="0"/>
    <xf numFmtId="0" fontId="34" fillId="0" borderId="0"/>
    <xf numFmtId="43" fontId="2" fillId="0" borderId="0" applyFont="0" applyFill="0" applyBorder="0" applyAlignment="0" applyProtection="0"/>
    <xf numFmtId="0" fontId="1" fillId="0" borderId="0"/>
  </cellStyleXfs>
  <cellXfs count="27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6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4" borderId="1" xfId="24889" applyFont="1" applyFill="1" applyBorder="1" applyAlignment="1">
      <alignment horizontal="center" vertical="center" wrapText="1"/>
    </xf>
    <xf numFmtId="168" fontId="3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3" fillId="4" borderId="6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3" fillId="4" borderId="7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4" borderId="9" xfId="24889" applyFont="1" applyFill="1" applyBorder="1" applyAlignment="1">
      <alignment horizontal="center" vertical="center" wrapText="1"/>
    </xf>
    <xf numFmtId="168" fontId="4" fillId="4" borderId="6" xfId="24889" applyNumberFormat="1" applyFont="1" applyFill="1" applyBorder="1" applyAlignment="1">
      <alignment horizontal="center" vertical="center" wrapText="1"/>
    </xf>
    <xf numFmtId="0" fontId="4" fillId="4" borderId="6" xfId="24889" applyFont="1" applyFill="1" applyBorder="1" applyAlignment="1">
      <alignment horizontal="center" vertical="center" wrapText="1"/>
    </xf>
    <xf numFmtId="0" fontId="4" fillId="4" borderId="10" xfId="24889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/>
    </xf>
    <xf numFmtId="15" fontId="5" fillId="3" borderId="3" xfId="0" applyNumberFormat="1" applyFont="1" applyFill="1" applyBorder="1"/>
    <xf numFmtId="166" fontId="5" fillId="3" borderId="3" xfId="0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5" fontId="5" fillId="3" borderId="4" xfId="0" applyNumberFormat="1" applyFont="1" applyFill="1" applyBorder="1"/>
    <xf numFmtId="166" fontId="5" fillId="3" borderId="4" xfId="0" applyNumberFormat="1" applyFont="1" applyFill="1" applyBorder="1" applyAlignment="1">
      <alignment horizontal="center"/>
    </xf>
    <xf numFmtId="17" fontId="5" fillId="3" borderId="3" xfId="0" applyNumberFormat="1" applyFont="1" applyFill="1" applyBorder="1" applyAlignment="1">
      <alignment horizontal="center"/>
    </xf>
    <xf numFmtId="0" fontId="3" fillId="4" borderId="11" xfId="24889" applyFont="1" applyFill="1" applyBorder="1" applyAlignment="1">
      <alignment horizontal="center" vertical="center" wrapText="1"/>
    </xf>
    <xf numFmtId="168" fontId="3" fillId="4" borderId="6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7" fillId="9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center" vertical="center" wrapText="1"/>
    </xf>
    <xf numFmtId="17" fontId="8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7" fillId="9" borderId="1" xfId="0" applyFont="1" applyFill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2" fillId="0" borderId="0" xfId="24890"/>
    <xf numFmtId="0" fontId="32" fillId="0" borderId="1" xfId="24890" applyBorder="1"/>
    <xf numFmtId="14" fontId="32" fillId="0" borderId="1" xfId="24890" applyNumberFormat="1" applyBorder="1"/>
    <xf numFmtId="1" fontId="32" fillId="0" borderId="1" xfId="24890" applyNumberFormat="1" applyBorder="1"/>
    <xf numFmtId="43" fontId="0" fillId="0" borderId="0" xfId="24604" applyFont="1"/>
    <xf numFmtId="3" fontId="32" fillId="0" borderId="1" xfId="24890" applyNumberFormat="1" applyBorder="1"/>
    <xf numFmtId="2" fontId="32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10" fillId="13" borderId="15" xfId="0" applyFont="1" applyFill="1" applyBorder="1"/>
    <xf numFmtId="0" fontId="10" fillId="13" borderId="18" xfId="0" applyFont="1" applyFill="1" applyBorder="1"/>
    <xf numFmtId="0" fontId="12" fillId="12" borderId="21" xfId="0" applyFont="1" applyFill="1" applyBorder="1"/>
    <xf numFmtId="168" fontId="13" fillId="12" borderId="21" xfId="24873" applyNumberFormat="1" applyFont="1" applyFill="1" applyBorder="1" applyAlignment="1">
      <alignment horizontal="left" vertical="center"/>
    </xf>
    <xf numFmtId="10" fontId="13" fillId="12" borderId="21" xfId="24873" applyNumberFormat="1" applyFont="1" applyFill="1" applyBorder="1" applyAlignment="1">
      <alignment horizontal="left" vertical="center"/>
    </xf>
    <xf numFmtId="0" fontId="10" fillId="13" borderId="12" xfId="0" applyFont="1" applyFill="1" applyBorder="1" applyAlignment="1">
      <alignment horizontal="center" vertical="center" wrapText="1"/>
    </xf>
    <xf numFmtId="0" fontId="10" fillId="13" borderId="13" xfId="0" applyFont="1" applyFill="1" applyBorder="1" applyAlignment="1">
      <alignment horizontal="center" vertical="center" wrapText="1"/>
    </xf>
    <xf numFmtId="10" fontId="10" fillId="13" borderId="13" xfId="0" applyNumberFormat="1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2" fillId="12" borderId="23" xfId="0" applyFont="1" applyFill="1" applyBorder="1"/>
    <xf numFmtId="1" fontId="11" fillId="12" borderId="23" xfId="24873" applyNumberFormat="1" applyFont="1" applyFill="1" applyBorder="1" applyAlignment="1">
      <alignment horizontal="center" vertical="center"/>
    </xf>
    <xf numFmtId="1" fontId="12" fillId="12" borderId="23" xfId="0" applyNumberFormat="1" applyFont="1" applyFill="1" applyBorder="1" applyAlignment="1">
      <alignment horizontal="center"/>
    </xf>
    <xf numFmtId="10" fontId="12" fillId="12" borderId="23" xfId="34035" applyNumberFormat="1" applyFont="1" applyFill="1" applyBorder="1" applyAlignment="1">
      <alignment horizontal="center"/>
    </xf>
    <xf numFmtId="0" fontId="12" fillId="12" borderId="16" xfId="0" applyFont="1" applyFill="1" applyBorder="1"/>
    <xf numFmtId="1" fontId="11" fillId="12" borderId="16" xfId="24873" applyNumberFormat="1" applyFont="1" applyFill="1" applyBorder="1" applyAlignment="1">
      <alignment horizontal="center" vertical="center"/>
    </xf>
    <xf numFmtId="1" fontId="12" fillId="12" borderId="16" xfId="0" applyNumberFormat="1" applyFont="1" applyFill="1" applyBorder="1" applyAlignment="1">
      <alignment horizontal="center"/>
    </xf>
    <xf numFmtId="10" fontId="12" fillId="12" borderId="16" xfId="34035" applyNumberFormat="1" applyFont="1" applyFill="1" applyBorder="1" applyAlignment="1">
      <alignment horizontal="center"/>
    </xf>
    <xf numFmtId="0" fontId="12" fillId="12" borderId="19" xfId="0" applyFont="1" applyFill="1" applyBorder="1"/>
    <xf numFmtId="1" fontId="12" fillId="12" borderId="19" xfId="0" applyNumberFormat="1" applyFont="1" applyFill="1" applyBorder="1" applyAlignment="1">
      <alignment horizontal="center"/>
    </xf>
    <xf numFmtId="10" fontId="12" fillId="12" borderId="19" xfId="34035" applyNumberFormat="1" applyFont="1" applyFill="1" applyBorder="1" applyAlignment="1">
      <alignment horizontal="center"/>
    </xf>
    <xf numFmtId="165" fontId="11" fillId="12" borderId="23" xfId="1" applyNumberFormat="1" applyFont="1" applyFill="1" applyBorder="1" applyAlignment="1">
      <alignment horizontal="center" vertical="center"/>
    </xf>
    <xf numFmtId="10" fontId="12" fillId="12" borderId="23" xfId="1" applyNumberFormat="1" applyFont="1" applyFill="1" applyBorder="1" applyAlignment="1">
      <alignment horizontal="center"/>
    </xf>
    <xf numFmtId="165" fontId="11" fillId="12" borderId="16" xfId="1" applyNumberFormat="1" applyFont="1" applyFill="1" applyBorder="1" applyAlignment="1">
      <alignment horizontal="center" vertical="center"/>
    </xf>
    <xf numFmtId="10" fontId="12" fillId="12" borderId="16" xfId="1" applyNumberFormat="1" applyFont="1" applyFill="1" applyBorder="1" applyAlignment="1">
      <alignment horizontal="center"/>
    </xf>
    <xf numFmtId="165" fontId="11" fillId="12" borderId="19" xfId="1" applyNumberFormat="1" applyFont="1" applyFill="1" applyBorder="1" applyAlignment="1">
      <alignment horizontal="center" vertical="center"/>
    </xf>
    <xf numFmtId="10" fontId="12" fillId="12" borderId="19" xfId="1" applyNumberFormat="1" applyFont="1" applyFill="1" applyBorder="1" applyAlignment="1">
      <alignment horizontal="center"/>
    </xf>
    <xf numFmtId="2" fontId="12" fillId="12" borderId="23" xfId="0" applyNumberFormat="1" applyFont="1" applyFill="1" applyBorder="1" applyAlignment="1">
      <alignment horizontal="center"/>
    </xf>
    <xf numFmtId="165" fontId="11" fillId="12" borderId="23" xfId="34035" applyNumberFormat="1" applyFont="1" applyFill="1" applyBorder="1" applyAlignment="1">
      <alignment horizontal="center" vertical="center"/>
    </xf>
    <xf numFmtId="165" fontId="11" fillId="12" borderId="16" xfId="34035" applyNumberFormat="1" applyFont="1" applyFill="1" applyBorder="1" applyAlignment="1">
      <alignment horizontal="center" vertical="center"/>
    </xf>
    <xf numFmtId="165" fontId="11" fillId="12" borderId="19" xfId="34035" applyNumberFormat="1" applyFont="1" applyFill="1" applyBorder="1" applyAlignment="1">
      <alignment horizontal="center" vertical="center"/>
    </xf>
    <xf numFmtId="0" fontId="12" fillId="12" borderId="26" xfId="0" applyFont="1" applyFill="1" applyBorder="1"/>
    <xf numFmtId="10" fontId="12" fillId="12" borderId="26" xfId="1" applyNumberFormat="1" applyFont="1" applyFill="1" applyBorder="1" applyAlignment="1">
      <alignment horizontal="center"/>
    </xf>
    <xf numFmtId="10" fontId="12" fillId="12" borderId="26" xfId="34035" applyNumberFormat="1" applyFont="1" applyFill="1" applyBorder="1" applyAlignment="1">
      <alignment horizontal="center"/>
    </xf>
    <xf numFmtId="168" fontId="11" fillId="12" borderId="19" xfId="24873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168" fontId="11" fillId="12" borderId="16" xfId="24873" applyNumberFormat="1" applyFont="1" applyFill="1" applyBorder="1" applyAlignment="1">
      <alignment horizontal="left" vertical="center"/>
    </xf>
    <xf numFmtId="0" fontId="34" fillId="0" borderId="0" xfId="34040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Border="1" applyAlignment="1">
      <alignment horizontal="center" vertical="center"/>
    </xf>
    <xf numFmtId="0" fontId="7" fillId="0" borderId="38" xfId="34040" applyFont="1" applyBorder="1" applyAlignment="1">
      <alignment horizontal="center" vertical="center" wrapText="1"/>
    </xf>
    <xf numFmtId="2" fontId="34" fillId="0" borderId="0" xfId="34040" applyNumberFormat="1" applyAlignment="1">
      <alignment horizontal="center" vertical="center"/>
    </xf>
    <xf numFmtId="1" fontId="0" fillId="0" borderId="39" xfId="34041" applyNumberFormat="1" applyFont="1" applyFill="1" applyBorder="1" applyAlignment="1">
      <alignment horizontal="center" vertical="center"/>
    </xf>
    <xf numFmtId="1" fontId="0" fillId="0" borderId="40" xfId="34041" applyNumberFormat="1" applyFont="1" applyFill="1" applyBorder="1" applyAlignment="1">
      <alignment horizontal="center" vertical="center"/>
    </xf>
    <xf numFmtId="17" fontId="0" fillId="0" borderId="39" xfId="34041" applyNumberFormat="1" applyFont="1" applyFill="1" applyBorder="1" applyAlignment="1">
      <alignment horizontal="center" vertical="center"/>
    </xf>
    <xf numFmtId="0" fontId="0" fillId="0" borderId="39" xfId="34041" applyNumberFormat="1" applyFont="1" applyFill="1" applyBorder="1" applyAlignment="1">
      <alignment horizontal="center" vertical="center"/>
    </xf>
    <xf numFmtId="0" fontId="34" fillId="0" borderId="39" xfId="34040" applyBorder="1" applyAlignment="1">
      <alignment horizontal="center" vertical="center"/>
    </xf>
    <xf numFmtId="2" fontId="34" fillId="0" borderId="40" xfId="34040" applyNumberFormat="1" applyBorder="1" applyAlignment="1">
      <alignment horizontal="center" vertical="center"/>
    </xf>
    <xf numFmtId="166" fontId="34" fillId="0" borderId="39" xfId="34040" applyNumberFormat="1" applyBorder="1" applyAlignment="1">
      <alignment horizontal="center" vertical="center"/>
    </xf>
    <xf numFmtId="1" fontId="34" fillId="0" borderId="39" xfId="34040" applyNumberFormat="1" applyBorder="1" applyAlignment="1">
      <alignment horizontal="center" vertical="center"/>
    </xf>
    <xf numFmtId="10" fontId="0" fillId="0" borderId="39" xfId="1" applyNumberFormat="1" applyFont="1" applyFill="1" applyBorder="1" applyAlignment="1">
      <alignment horizontal="center" vertical="center"/>
    </xf>
    <xf numFmtId="2" fontId="34" fillId="0" borderId="39" xfId="34040" applyNumberFormat="1" applyBorder="1" applyAlignment="1">
      <alignment horizontal="center" vertical="center"/>
    </xf>
    <xf numFmtId="0" fontId="0" fillId="0" borderId="40" xfId="34041" applyNumberFormat="1" applyFont="1" applyFill="1" applyBorder="1" applyAlignment="1">
      <alignment horizontal="center" vertical="center"/>
    </xf>
    <xf numFmtId="0" fontId="34" fillId="0" borderId="40" xfId="34040" applyBorder="1" applyAlignment="1">
      <alignment horizontal="center" vertical="center"/>
    </xf>
    <xf numFmtId="166" fontId="34" fillId="0" borderId="40" xfId="34040" applyNumberFormat="1" applyBorder="1" applyAlignment="1">
      <alignment horizontal="center" vertical="center"/>
    </xf>
    <xf numFmtId="1" fontId="34" fillId="0" borderId="40" xfId="34040" applyNumberFormat="1" applyBorder="1" applyAlignment="1">
      <alignment horizontal="center" vertical="center"/>
    </xf>
    <xf numFmtId="10" fontId="0" fillId="0" borderId="40" xfId="1" applyNumberFormat="1" applyFont="1" applyFill="1" applyBorder="1" applyAlignment="1">
      <alignment horizontal="center" vertical="center"/>
    </xf>
    <xf numFmtId="1" fontId="0" fillId="0" borderId="39" xfId="34040" applyNumberFormat="1" applyFont="1" applyBorder="1" applyAlignment="1">
      <alignment horizontal="center" vertical="center"/>
    </xf>
    <xf numFmtId="166" fontId="0" fillId="0" borderId="39" xfId="34040" applyNumberFormat="1" applyFont="1" applyBorder="1" applyAlignment="1">
      <alignment horizontal="center" vertical="center"/>
    </xf>
    <xf numFmtId="168" fontId="4" fillId="0" borderId="37" xfId="34039" applyNumberFormat="1" applyFont="1" applyBorder="1" applyAlignment="1">
      <alignment horizontal="center" vertical="center" wrapText="1"/>
    </xf>
    <xf numFmtId="0" fontId="4" fillId="0" borderId="37" xfId="34039" applyFont="1" applyBorder="1" applyAlignment="1">
      <alignment horizontal="center" vertical="center" wrapText="1"/>
    </xf>
    <xf numFmtId="0" fontId="7" fillId="0" borderId="37" xfId="34040" applyFont="1" applyBorder="1" applyAlignment="1">
      <alignment horizontal="center" vertical="center" wrapText="1"/>
    </xf>
    <xf numFmtId="9" fontId="7" fillId="0" borderId="37" xfId="1" applyFont="1" applyFill="1" applyBorder="1" applyAlignment="1">
      <alignment horizontal="center" vertical="center" wrapText="1"/>
    </xf>
    <xf numFmtId="15" fontId="34" fillId="0" borderId="0" xfId="34040" applyNumberFormat="1" applyAlignment="1">
      <alignment horizontal="center" vertical="center"/>
    </xf>
    <xf numFmtId="1" fontId="34" fillId="0" borderId="0" xfId="34040" applyNumberFormat="1" applyAlignment="1">
      <alignment horizontal="center" vertical="center"/>
    </xf>
    <xf numFmtId="17" fontId="34" fillId="0" borderId="0" xfId="34040" applyNumberForma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5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66" fontId="34" fillId="0" borderId="0" xfId="34040" applyNumberFormat="1" applyAlignment="1">
      <alignment horizontal="center" vertical="center"/>
    </xf>
    <xf numFmtId="168" fontId="11" fillId="12" borderId="16" xfId="24873" applyNumberFormat="1" applyFont="1" applyFill="1" applyBorder="1" applyAlignment="1">
      <alignment vertical="center"/>
    </xf>
    <xf numFmtId="168" fontId="11" fillId="12" borderId="17" xfId="24873" applyNumberFormat="1" applyFont="1" applyFill="1" applyBorder="1" applyAlignment="1">
      <alignment vertical="center"/>
    </xf>
    <xf numFmtId="167" fontId="11" fillId="12" borderId="42" xfId="24873" applyNumberFormat="1" applyFont="1" applyFill="1" applyBorder="1" applyAlignment="1">
      <alignment vertical="center"/>
    </xf>
    <xf numFmtId="167" fontId="11" fillId="12" borderId="43" xfId="24873" applyNumberFormat="1" applyFont="1" applyFill="1" applyBorder="1" applyAlignment="1">
      <alignment vertical="center"/>
    </xf>
    <xf numFmtId="168" fontId="11" fillId="12" borderId="42" xfId="24873" applyNumberFormat="1" applyFont="1" applyFill="1" applyBorder="1" applyAlignment="1">
      <alignment vertical="center"/>
    </xf>
    <xf numFmtId="168" fontId="11" fillId="12" borderId="43" xfId="24873" applyNumberFormat="1" applyFont="1" applyFill="1" applyBorder="1" applyAlignment="1">
      <alignment vertical="center"/>
    </xf>
    <xf numFmtId="1" fontId="12" fillId="12" borderId="16" xfId="0" applyNumberFormat="1" applyFont="1" applyFill="1" applyBorder="1"/>
    <xf numFmtId="1" fontId="12" fillId="12" borderId="17" xfId="0" applyNumberFormat="1" applyFont="1" applyFill="1" applyBorder="1"/>
    <xf numFmtId="1" fontId="12" fillId="12" borderId="16" xfId="0" applyNumberFormat="1" applyFont="1" applyFill="1" applyBorder="1" applyAlignment="1">
      <alignment horizontal="left" vertical="center"/>
    </xf>
    <xf numFmtId="168" fontId="11" fillId="12" borderId="19" xfId="24873" applyNumberFormat="1" applyFont="1" applyFill="1" applyBorder="1" applyAlignment="1">
      <alignment vertical="center"/>
    </xf>
    <xf numFmtId="168" fontId="11" fillId="12" borderId="20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1" fillId="12" borderId="23" xfId="1" applyNumberFormat="1" applyFont="1" applyFill="1" applyBorder="1" applyAlignment="1">
      <alignment horizontal="center" vertical="center"/>
    </xf>
    <xf numFmtId="2" fontId="11" fillId="12" borderId="16" xfId="1" applyNumberFormat="1" applyFont="1" applyFill="1" applyBorder="1" applyAlignment="1">
      <alignment horizontal="center" vertical="center"/>
    </xf>
    <xf numFmtId="2" fontId="12" fillId="12" borderId="16" xfId="0" applyNumberFormat="1" applyFont="1" applyFill="1" applyBorder="1" applyAlignment="1">
      <alignment horizontal="center"/>
    </xf>
    <xf numFmtId="2" fontId="11" fillId="12" borderId="19" xfId="1" applyNumberFormat="1" applyFont="1" applyFill="1" applyBorder="1" applyAlignment="1">
      <alignment horizontal="center" vertical="center"/>
    </xf>
    <xf numFmtId="2" fontId="12" fillId="12" borderId="19" xfId="0" applyNumberFormat="1" applyFont="1" applyFill="1" applyBorder="1" applyAlignment="1">
      <alignment horizontal="center"/>
    </xf>
    <xf numFmtId="10" fontId="7" fillId="0" borderId="40" xfId="1" applyNumberFormat="1" applyFont="1" applyFill="1" applyBorder="1" applyAlignment="1">
      <alignment horizontal="center" vertical="center"/>
    </xf>
    <xf numFmtId="10" fontId="7" fillId="0" borderId="38" xfId="1" applyNumberFormat="1" applyFont="1" applyFill="1" applyBorder="1" applyAlignment="1">
      <alignment horizontal="center" vertical="center"/>
    </xf>
    <xf numFmtId="10" fontId="7" fillId="0" borderId="39" xfId="1" applyNumberFormat="1" applyFont="1" applyFill="1" applyBorder="1" applyAlignment="1">
      <alignment horizontal="center" vertical="center"/>
    </xf>
    <xf numFmtId="167" fontId="11" fillId="12" borderId="41" xfId="24873" applyNumberFormat="1" applyFont="1" applyFill="1" applyBorder="1" applyAlignment="1" applyProtection="1">
      <alignment horizontal="left" vertical="center"/>
      <protection locked="0"/>
    </xf>
    <xf numFmtId="168" fontId="11" fillId="12" borderId="41" xfId="24873" applyNumberFormat="1" applyFont="1" applyFill="1" applyBorder="1" applyAlignment="1" applyProtection="1">
      <alignment horizontal="left" vertical="center"/>
      <protection locked="0"/>
    </xf>
    <xf numFmtId="0" fontId="12" fillId="12" borderId="24" xfId="0" applyFont="1" applyFill="1" applyBorder="1" applyProtection="1">
      <protection locked="0"/>
    </xf>
    <xf numFmtId="0" fontId="12" fillId="12" borderId="17" xfId="0" applyFont="1" applyFill="1" applyBorder="1" applyProtection="1">
      <protection locked="0"/>
    </xf>
    <xf numFmtId="0" fontId="12" fillId="12" borderId="20" xfId="0" applyFont="1" applyFill="1" applyBorder="1" applyProtection="1">
      <protection locked="0"/>
    </xf>
    <xf numFmtId="1" fontId="12" fillId="12" borderId="24" xfId="0" applyNumberFormat="1" applyFont="1" applyFill="1" applyBorder="1" applyProtection="1">
      <protection locked="0"/>
    </xf>
    <xf numFmtId="0" fontId="12" fillId="12" borderId="17" xfId="0" applyFont="1" applyFill="1" applyBorder="1" applyAlignment="1" applyProtection="1">
      <alignment wrapText="1"/>
      <protection locked="0"/>
    </xf>
    <xf numFmtId="0" fontId="12" fillId="12" borderId="20" xfId="0" applyFont="1" applyFill="1" applyBorder="1" applyAlignment="1" applyProtection="1">
      <alignment wrapText="1"/>
      <protection locked="0"/>
    </xf>
    <xf numFmtId="0" fontId="12" fillId="12" borderId="24" xfId="0" applyFont="1" applyFill="1" applyBorder="1" applyAlignment="1" applyProtection="1">
      <alignment wrapText="1"/>
      <protection locked="0"/>
    </xf>
    <xf numFmtId="0" fontId="0" fillId="12" borderId="27" xfId="0" applyFill="1" applyBorder="1" applyProtection="1">
      <protection locked="0"/>
    </xf>
    <xf numFmtId="9" fontId="0" fillId="0" borderId="0" xfId="1" applyFont="1" applyAlignment="1">
      <alignment horizontal="center" vertical="center"/>
    </xf>
    <xf numFmtId="0" fontId="36" fillId="3" borderId="3" xfId="0" applyFont="1" applyFill="1" applyBorder="1" applyAlignment="1">
      <alignment horizontal="center"/>
    </xf>
    <xf numFmtId="17" fontId="36" fillId="3" borderId="3" xfId="0" applyNumberFormat="1" applyFont="1" applyFill="1" applyBorder="1" applyAlignment="1">
      <alignment horizontal="center"/>
    </xf>
    <xf numFmtId="15" fontId="36" fillId="3" borderId="3" xfId="0" applyNumberFormat="1" applyFont="1" applyFill="1" applyBorder="1"/>
    <xf numFmtId="166" fontId="36" fillId="3" borderId="3" xfId="0" applyNumberFormat="1" applyFont="1" applyFill="1" applyBorder="1" applyAlignment="1">
      <alignment horizontal="center"/>
    </xf>
    <xf numFmtId="0" fontId="4" fillId="0" borderId="9" xfId="24889" applyFont="1" applyBorder="1" applyAlignment="1">
      <alignment horizontal="center" vertical="center" wrapText="1"/>
    </xf>
    <xf numFmtId="0" fontId="4" fillId="0" borderId="7" xfId="24889" applyFont="1" applyBorder="1" applyAlignment="1">
      <alignment horizontal="center" vertical="center" wrapText="1"/>
    </xf>
    <xf numFmtId="168" fontId="4" fillId="0" borderId="7" xfId="24889" applyNumberFormat="1" applyFont="1" applyBorder="1" applyAlignment="1">
      <alignment horizontal="center" vertical="center" wrapText="1"/>
    </xf>
    <xf numFmtId="0" fontId="4" fillId="0" borderId="8" xfId="24889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7" fontId="5" fillId="0" borderId="1" xfId="0" applyNumberFormat="1" applyFont="1" applyBorder="1"/>
    <xf numFmtId="15" fontId="5" fillId="0" borderId="1" xfId="0" applyNumberFormat="1" applyFont="1" applyBorder="1"/>
    <xf numFmtId="165" fontId="5" fillId="0" borderId="1" xfId="1" applyNumberFormat="1" applyFont="1" applyFill="1" applyBorder="1" applyAlignment="1">
      <alignment horizontal="center"/>
    </xf>
    <xf numFmtId="165" fontId="5" fillId="0" borderId="5" xfId="1" applyNumberFormat="1" applyFont="1" applyFill="1" applyBorder="1" applyAlignment="1">
      <alignment horizontal="center"/>
    </xf>
    <xf numFmtId="0" fontId="36" fillId="0" borderId="1" xfId="0" applyFont="1" applyBorder="1" applyAlignment="1">
      <alignment horizontal="center"/>
    </xf>
    <xf numFmtId="17" fontId="36" fillId="0" borderId="1" xfId="0" applyNumberFormat="1" applyFont="1" applyBorder="1"/>
    <xf numFmtId="15" fontId="36" fillId="0" borderId="1" xfId="0" applyNumberFormat="1" applyFont="1" applyBorder="1"/>
    <xf numFmtId="165" fontId="36" fillId="0" borderId="1" xfId="1" applyNumberFormat="1" applyFont="1" applyFill="1" applyBorder="1" applyAlignment="1">
      <alignment horizontal="center"/>
    </xf>
    <xf numFmtId="165" fontId="36" fillId="0" borderId="5" xfId="1" applyNumberFormat="1" applyFont="1" applyFill="1" applyBorder="1" applyAlignment="1">
      <alignment horizontal="center"/>
    </xf>
    <xf numFmtId="1" fontId="36" fillId="3" borderId="3" xfId="34040" applyNumberFormat="1" applyFont="1" applyFill="1" applyBorder="1" applyAlignment="1">
      <alignment horizontal="center" vertical="center"/>
    </xf>
    <xf numFmtId="0" fontId="36" fillId="3" borderId="3" xfId="34040" applyFont="1" applyFill="1" applyBorder="1" applyAlignment="1">
      <alignment horizontal="center" vertical="center"/>
    </xf>
    <xf numFmtId="1" fontId="36" fillId="0" borderId="1" xfId="34040" applyNumberFormat="1" applyFont="1" applyBorder="1" applyAlignment="1">
      <alignment horizontal="center" vertical="center"/>
    </xf>
    <xf numFmtId="0" fontId="36" fillId="0" borderId="1" xfId="34040" applyFont="1" applyBorder="1" applyAlignment="1">
      <alignment horizontal="center" vertical="center"/>
    </xf>
    <xf numFmtId="171" fontId="0" fillId="0" borderId="0" xfId="0" applyNumberFormat="1"/>
    <xf numFmtId="20" fontId="33" fillId="0" borderId="0" xfId="0" applyNumberFormat="1" applyFont="1"/>
    <xf numFmtId="1" fontId="5" fillId="3" borderId="3" xfId="34040" applyNumberFormat="1" applyFont="1" applyFill="1" applyBorder="1" applyAlignment="1">
      <alignment horizontal="center" vertical="center"/>
    </xf>
    <xf numFmtId="0" fontId="5" fillId="3" borderId="3" xfId="34040" applyFont="1" applyFill="1" applyBorder="1" applyAlignment="1">
      <alignment horizontal="center" vertical="center"/>
    </xf>
    <xf numFmtId="1" fontId="5" fillId="0" borderId="1" xfId="34040" applyNumberFormat="1" applyFont="1" applyBorder="1" applyAlignment="1">
      <alignment horizontal="center" vertical="center"/>
    </xf>
    <xf numFmtId="0" fontId="5" fillId="0" borderId="1" xfId="34040" applyFont="1" applyBorder="1" applyAlignment="1">
      <alignment horizontal="center" vertical="center"/>
    </xf>
    <xf numFmtId="0" fontId="33" fillId="0" borderId="0" xfId="0" applyFont="1"/>
    <xf numFmtId="0" fontId="4" fillId="0" borderId="48" xfId="34042" applyFont="1" applyBorder="1" applyAlignment="1">
      <alignment horizontal="center" vertical="center" wrapText="1"/>
    </xf>
    <xf numFmtId="0" fontId="4" fillId="0" borderId="37" xfId="34042" applyFont="1" applyBorder="1" applyAlignment="1">
      <alignment horizontal="center" vertical="center" wrapText="1"/>
    </xf>
    <xf numFmtId="0" fontId="1" fillId="0" borderId="0" xfId="34042" applyAlignment="1">
      <alignment horizontal="center" vertical="center"/>
    </xf>
    <xf numFmtId="17" fontId="1" fillId="0" borderId="44" xfId="34042" applyNumberFormat="1" applyBorder="1" applyAlignment="1">
      <alignment horizontal="center" vertical="center"/>
    </xf>
    <xf numFmtId="0" fontId="1" fillId="0" borderId="3" xfId="34042" applyBorder="1" applyAlignment="1">
      <alignment horizontal="center" vertical="center"/>
    </xf>
    <xf numFmtId="1" fontId="1" fillId="0" borderId="3" xfId="34042" applyNumberFormat="1" applyBorder="1" applyAlignment="1">
      <alignment horizontal="center" vertical="center"/>
    </xf>
    <xf numFmtId="10" fontId="0" fillId="0" borderId="46" xfId="1" applyNumberFormat="1" applyFont="1" applyBorder="1" applyAlignment="1">
      <alignment horizontal="center" vertical="center"/>
    </xf>
    <xf numFmtId="17" fontId="1" fillId="0" borderId="45" xfId="34042" applyNumberFormat="1" applyBorder="1" applyAlignment="1">
      <alignment horizontal="center" vertical="center"/>
    </xf>
    <xf numFmtId="0" fontId="1" fillId="0" borderId="4" xfId="34042" applyBorder="1" applyAlignment="1">
      <alignment horizontal="center" vertical="center"/>
    </xf>
    <xf numFmtId="1" fontId="1" fillId="0" borderId="4" xfId="34042" applyNumberFormat="1" applyBorder="1" applyAlignment="1">
      <alignment horizontal="center" vertical="center"/>
    </xf>
    <xf numFmtId="10" fontId="0" fillId="0" borderId="47" xfId="1" applyNumberFormat="1" applyFont="1" applyBorder="1" applyAlignment="1">
      <alignment horizontal="center" vertical="center"/>
    </xf>
    <xf numFmtId="1" fontId="1" fillId="0" borderId="0" xfId="34042" applyNumberFormat="1" applyAlignment="1">
      <alignment horizontal="center" vertical="center"/>
    </xf>
    <xf numFmtId="10" fontId="1" fillId="0" borderId="0" xfId="34042" applyNumberFormat="1" applyAlignment="1">
      <alignment horizontal="center" vertical="center"/>
    </xf>
    <xf numFmtId="0" fontId="3" fillId="4" borderId="49" xfId="34042" applyFont="1" applyFill="1" applyBorder="1" applyAlignment="1">
      <alignment horizontal="center" vertical="center" wrapText="1"/>
    </xf>
    <xf numFmtId="0" fontId="3" fillId="4" borderId="7" xfId="34042" applyFont="1" applyFill="1" applyBorder="1" applyAlignment="1">
      <alignment horizontal="center" vertical="center" wrapText="1"/>
    </xf>
    <xf numFmtId="0" fontId="3" fillId="4" borderId="8" xfId="34042" applyFont="1" applyFill="1" applyBorder="1" applyAlignment="1">
      <alignment horizontal="center" vertical="center" wrapText="1"/>
    </xf>
    <xf numFmtId="0" fontId="1" fillId="0" borderId="0" xfId="34042"/>
    <xf numFmtId="0" fontId="1" fillId="39" borderId="50" xfId="34042" applyFill="1" applyBorder="1" applyAlignment="1">
      <alignment horizontal="center"/>
    </xf>
    <xf numFmtId="168" fontId="38" fillId="40" borderId="1" xfId="34042" applyNumberFormat="1" applyFont="1" applyFill="1" applyBorder="1" applyAlignment="1">
      <alignment vertical="center"/>
    </xf>
    <xf numFmtId="1" fontId="1" fillId="39" borderId="1" xfId="34042" applyNumberFormat="1" applyFill="1" applyBorder="1" applyAlignment="1">
      <alignment horizontal="center" vertical="center"/>
    </xf>
    <xf numFmtId="0" fontId="1" fillId="39" borderId="1" xfId="34042" applyFill="1" applyBorder="1" applyAlignment="1">
      <alignment horizontal="center" vertical="center"/>
    </xf>
    <xf numFmtId="17" fontId="1" fillId="0" borderId="1" xfId="34042" applyNumberFormat="1" applyBorder="1" applyAlignment="1">
      <alignment horizontal="center"/>
    </xf>
    <xf numFmtId="0" fontId="1" fillId="0" borderId="1" xfId="34042" applyBorder="1"/>
    <xf numFmtId="169" fontId="1" fillId="0" borderId="1" xfId="34042" applyNumberFormat="1" applyBorder="1" applyAlignment="1">
      <alignment vertical="center"/>
    </xf>
    <xf numFmtId="166" fontId="1" fillId="0" borderId="1" xfId="34042" applyNumberFormat="1" applyBorder="1" applyAlignment="1">
      <alignment horizontal="center" vertical="center"/>
    </xf>
    <xf numFmtId="166" fontId="1" fillId="0" borderId="1" xfId="34042" applyNumberFormat="1" applyBorder="1" applyAlignment="1">
      <alignment horizontal="left"/>
    </xf>
    <xf numFmtId="1" fontId="1" fillId="0" borderId="1" xfId="34042" applyNumberFormat="1" applyBorder="1" applyAlignment="1">
      <alignment horizontal="center"/>
    </xf>
    <xf numFmtId="0" fontId="39" fillId="40" borderId="1" xfId="34042" applyFont="1" applyFill="1" applyBorder="1" applyAlignment="1">
      <alignment horizontal="center"/>
    </xf>
    <xf numFmtId="0" fontId="39" fillId="40" borderId="1" xfId="34042" applyFont="1" applyFill="1" applyBorder="1" applyAlignment="1">
      <alignment horizontal="left"/>
    </xf>
    <xf numFmtId="0" fontId="39" fillId="40" borderId="1" xfId="34042" applyFont="1" applyFill="1" applyBorder="1" applyAlignment="1">
      <alignment horizontal="left" vertical="center"/>
    </xf>
    <xf numFmtId="20" fontId="39" fillId="40" borderId="1" xfId="34042" applyNumberFormat="1" applyFont="1" applyFill="1" applyBorder="1" applyAlignment="1">
      <alignment horizontal="center"/>
    </xf>
    <xf numFmtId="2" fontId="1" fillId="0" borderId="1" xfId="34042" applyNumberFormat="1" applyBorder="1" applyAlignment="1">
      <alignment horizontal="center" vertical="center"/>
    </xf>
    <xf numFmtId="2" fontId="1" fillId="0" borderId="1" xfId="34042" applyNumberFormat="1" applyBorder="1" applyAlignment="1">
      <alignment horizontal="center"/>
    </xf>
    <xf numFmtId="0" fontId="1" fillId="0" borderId="1" xfId="34042" applyBorder="1" applyAlignment="1">
      <alignment horizontal="left" vertical="center"/>
    </xf>
    <xf numFmtId="0" fontId="1" fillId="0" borderId="1" xfId="34042" applyBorder="1" applyAlignment="1">
      <alignment horizontal="center"/>
    </xf>
    <xf numFmtId="170" fontId="1" fillId="0" borderId="1" xfId="34042" applyNumberFormat="1" applyBorder="1" applyAlignment="1">
      <alignment horizontal="center"/>
    </xf>
    <xf numFmtId="0" fontId="1" fillId="0" borderId="5" xfId="34042" applyBorder="1" applyAlignment="1">
      <alignment horizontal="center"/>
    </xf>
    <xf numFmtId="10" fontId="1" fillId="0" borderId="1" xfId="34042" applyNumberFormat="1" applyBorder="1" applyAlignment="1">
      <alignment horizontal="center" vertical="center"/>
    </xf>
    <xf numFmtId="0" fontId="1" fillId="0" borderId="0" xfId="34042" applyAlignment="1">
      <alignment horizontal="center"/>
    </xf>
    <xf numFmtId="0" fontId="1" fillId="0" borderId="0" xfId="34042" applyAlignment="1">
      <alignment horizontal="center" vertical="center" wrapText="1"/>
    </xf>
    <xf numFmtId="14" fontId="1" fillId="0" borderId="0" xfId="34042" applyNumberFormat="1" applyAlignment="1">
      <alignment horizontal="center" vertical="center"/>
    </xf>
    <xf numFmtId="0" fontId="1" fillId="0" borderId="6" xfId="34042" applyBorder="1" applyAlignment="1">
      <alignment horizontal="center"/>
    </xf>
    <xf numFmtId="17" fontId="1" fillId="0" borderId="6" xfId="34042" applyNumberFormat="1" applyBorder="1" applyAlignment="1">
      <alignment horizontal="center"/>
    </xf>
    <xf numFmtId="0" fontId="1" fillId="0" borderId="6" xfId="34042" applyBorder="1" applyAlignment="1">
      <alignment horizontal="center" vertical="center"/>
    </xf>
    <xf numFmtId="20" fontId="1" fillId="0" borderId="0" xfId="34042" applyNumberFormat="1" applyAlignment="1">
      <alignment horizontal="center" vertical="center"/>
    </xf>
    <xf numFmtId="2" fontId="1" fillId="0" borderId="0" xfId="34042" applyNumberFormat="1" applyAlignment="1">
      <alignment horizontal="center" vertical="center"/>
    </xf>
    <xf numFmtId="166" fontId="1" fillId="0" borderId="0" xfId="34042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1" fillId="0" borderId="0" xfId="34042" applyAlignment="1">
      <alignment horizontal="left" vertical="center"/>
    </xf>
    <xf numFmtId="9" fontId="0" fillId="0" borderId="0" xfId="0" applyNumberFormat="1" applyAlignment="1">
      <alignment horizontal="center" vertical="center"/>
    </xf>
    <xf numFmtId="0" fontId="1" fillId="0" borderId="51" xfId="34042" applyBorder="1" applyAlignment="1">
      <alignment horizontal="center" vertical="center"/>
    </xf>
    <xf numFmtId="0" fontId="1" fillId="0" borderId="52" xfId="34042" applyBorder="1" applyAlignment="1">
      <alignment horizontal="center" vertical="center"/>
    </xf>
    <xf numFmtId="169" fontId="1" fillId="0" borderId="0" xfId="34042" applyNumberFormat="1" applyAlignment="1">
      <alignment horizontal="center" vertical="center"/>
    </xf>
    <xf numFmtId="165" fontId="1" fillId="0" borderId="0" xfId="1" applyNumberFormat="1" applyFont="1" applyAlignment="1">
      <alignment horizontal="center" vertical="center"/>
    </xf>
    <xf numFmtId="17" fontId="1" fillId="0" borderId="6" xfId="34042" applyNumberFormat="1" applyBorder="1" applyAlignment="1">
      <alignment horizontal="center" vertical="center"/>
    </xf>
    <xf numFmtId="10" fontId="1" fillId="0" borderId="0" xfId="1" applyNumberFormat="1" applyFont="1" applyAlignment="1">
      <alignment horizontal="center" vertical="center"/>
    </xf>
    <xf numFmtId="17" fontId="1" fillId="0" borderId="52" xfId="34042" applyNumberFormat="1" applyBorder="1" applyAlignment="1">
      <alignment horizontal="center" vertical="center"/>
    </xf>
    <xf numFmtId="0" fontId="9" fillId="13" borderId="12" xfId="0" applyFont="1" applyFill="1" applyBorder="1" applyAlignment="1">
      <alignment horizontal="center"/>
    </xf>
    <xf numFmtId="0" fontId="9" fillId="13" borderId="13" xfId="0" applyFont="1" applyFill="1" applyBorder="1" applyAlignment="1">
      <alignment horizontal="center"/>
    </xf>
    <xf numFmtId="0" fontId="9" fillId="13" borderId="14" xfId="0" applyFont="1" applyFill="1" applyBorder="1" applyAlignment="1">
      <alignment horizontal="center"/>
    </xf>
    <xf numFmtId="0" fontId="12" fillId="12" borderId="22" xfId="0" applyFont="1" applyFill="1" applyBorder="1" applyAlignment="1">
      <alignment horizontal="center" vertical="center"/>
    </xf>
    <xf numFmtId="0" fontId="12" fillId="12" borderId="15" xfId="0" applyFont="1" applyFill="1" applyBorder="1" applyAlignment="1">
      <alignment horizontal="center" vertical="center"/>
    </xf>
    <xf numFmtId="0" fontId="12" fillId="12" borderId="18" xfId="0" applyFont="1" applyFill="1" applyBorder="1" applyAlignment="1">
      <alignment horizontal="center" vertical="center"/>
    </xf>
    <xf numFmtId="0" fontId="12" fillId="12" borderId="25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</cellXfs>
  <cellStyles count="34043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1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28" xfId="34042" xr:uid="{F4301E39-89BC-47E6-ADEC-E46E312D4BCA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4" xfId="34035" xr:uid="{00000000-0005-0000-0000-000022850000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3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V369" totalsRowShown="0" headerRowDxfId="365" dataDxfId="363" totalsRowDxfId="361" headerRowBorderDxfId="364" tableBorderDxfId="362" totalsRowBorderDxfId="360">
  <autoFilter ref="A1:AV369" xr:uid="{3B203726-2095-49D8-A694-A659B4A14C0A}"/>
  <tableColumns count="48">
    <tableColumn id="1" xr3:uid="{26AB39A9-6FA0-4E46-A270-B694E74A19FF}" name="Date" dataDxfId="359" totalsRowDxfId="358" dataCellStyle="Normal 53"/>
    <tableColumn id="2" xr3:uid="{D4C8FF07-BAF0-40AC-A89E-4479DD0FC0C2}" name="Financial Year" dataDxfId="357" totalsRowDxfId="356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355" totalsRowDxfId="354" dataCellStyle="Normal 53">
      <calculatedColumnFormula>YEAR(Table13[[#This Row],[Date]])</calculatedColumnFormula>
    </tableColumn>
    <tableColumn id="4" xr3:uid="{F54D7BBD-9C3A-45E2-9E4F-0E1B3AC44E72}" name="Month Year" dataDxfId="353" totalsRowDxfId="352" dataCellStyle="Normal 53">
      <calculatedColumnFormula>Table13[[#This Row],[Date]]-DAY(Table13[[#This Row],[Date]])+1</calculatedColumnFormula>
    </tableColumn>
    <tableColumn id="5" xr3:uid="{E768E1B6-625C-4FCE-BE1F-9F11A269CD1F}" name="Days" dataDxfId="351" totalsRowDxfId="350" dataCellStyle="Normal 53">
      <calculatedColumnFormula>DAY(EOMONTH(A2,0))</calculatedColumnFormula>
    </tableColumn>
    <tableColumn id="6" xr3:uid="{E8C019BF-2124-4555-B52A-159D00D3006E}" name="Operating Hours" dataDxfId="349">
      <calculatedColumnFormula>IFERROR(_xlfn.XLOOKUP($A2,'Raw Data'!$G:$G,'Raw Data'!$AH:$AH),"")</calculatedColumnFormula>
    </tableColumn>
    <tableColumn id="7" xr3:uid="{EFB17AD2-E398-4886-AD6E-AC7C7F215F81}" name="GHI-UP (KWh/m2)" dataDxfId="348" totalsRowDxfId="347">
      <calculatedColumnFormula>IFERROR(_xlfn.XLOOKUP($A2,'Raw Data'!$G:$G,'Raw Data'!$S:$S)/1000,"")</calculatedColumnFormula>
    </tableColumn>
    <tableColumn id="8" xr3:uid="{EFBBD902-3DED-43FB-A688-BBA9B31CFB74}" name="GHI-Down(KWh/m2)" dataDxfId="346" totalsRowDxfId="345"/>
    <tableColumn id="9" xr3:uid="{0F147AA7-0C22-47D3-B05D-69A5DB019AA9}" name="POA-UP(KWh/m2)" dataDxfId="344" totalsRowDxfId="343">
      <calculatedColumnFormula>IFERROR(_xlfn.XLOOKUP($A2,'Raw Data'!$G:$G,'Raw Data'!$AF:$AF)/1000,"")</calculatedColumnFormula>
    </tableColumn>
    <tableColumn id="10" xr3:uid="{42A93A4A-5C10-4459-96D7-8FEB78EF3454}" name="POA-Down(KWh/m2)" dataDxfId="342"/>
    <tableColumn id="11" xr3:uid="{5062848D-6543-4592-8BB2-B598DFE0D32F}" name="Amb_Temp(°C)" dataDxfId="341" totalsRowDxfId="340">
      <calculatedColumnFormula>IFERROR(_xlfn.XLOOKUP($A2,'Raw Data'!$G:$G,'Raw Data'!W:W),"")</calculatedColumnFormula>
    </tableColumn>
    <tableColumn id="12" xr3:uid="{8104E562-8280-4234-9BC4-5A586B447FA2}" name="Mod_Temp(°C)" dataDxfId="339" totalsRowDxfId="338">
      <calculatedColumnFormula>IFERROR(_xlfn.XLOOKUP($A2,'Raw Data'!$G:$G,'Raw Data'!X:X),"")</calculatedColumnFormula>
    </tableColumn>
    <tableColumn id="13" xr3:uid="{8AA08D02-1895-4CAB-8268-A0B63D3DD5E6}" name="WS_Avg(m/s)" dataDxfId="337" totalsRowDxfId="336">
      <calculatedColumnFormula>IFERROR(_xlfn.XLOOKUP($A2,'Raw Data'!$G:$G,'Raw Data'!Y:Y),"")</calculatedColumnFormula>
    </tableColumn>
    <tableColumn id="14" xr3:uid="{7B908E74-855C-402B-B951-BA4A15E2DF48}" name="WS_Max(m/s)" dataDxfId="335" totalsRowDxfId="334">
      <calculatedColumnFormula>IFERROR(_xlfn.XLOOKUP($A2,'Raw Data'!$G:$G,'Raw Data'!Z:Z),"")</calculatedColumnFormula>
    </tableColumn>
    <tableColumn id="15" xr3:uid="{0672DDEF-F90F-414D-9460-DE55C9B5B2F7}" name="PA(%)" dataDxfId="333" totalsRowDxfId="332">
      <calculatedColumnFormula>IFERROR(1-SUMIF('Plant BD'!$B:$B,$A2,'Plant BD'!$AM:$AM)/($AA2+SUMIF('Plant BD'!$B:$B,$A2,'Plant BD'!$AM:$AM)),"")</calculatedColumnFormula>
    </tableColumn>
    <tableColumn id="16" xr3:uid="{377C02C5-B0A8-4596-B174-C8683B0B9BD8}" name="MA (%)" dataDxfId="331" totalsRowDxfId="330"/>
    <tableColumn id="17" xr3:uid="{4752AC44-E165-49D1-AEBB-D2022F9FBA2A}" name="IGA (%)" dataDxfId="329" totalsRowDxfId="328"/>
    <tableColumn id="18" xr3:uid="{99FD3D0E-43C2-4F62-ADCF-B17666388609}" name="EGA(%)" dataDxfId="327" totalsRowDxfId="326">
      <calculatedColumnFormula>IFERROR(1-SUMIF('Grid BD'!$B:$B,$A2,'Grid BD'!$AE:$AE)/($AA2+SUMIF('Grid BD'!$B:$B,$A2,'Grid BD'!$AE:$AE)),"")</calculatedColumnFormula>
    </tableColumn>
    <tableColumn id="19" xr3:uid="{B2F00E34-EF39-490C-893A-2FEFDDD14A85}" name="EMA (%)" dataDxfId="325" totalsRowDxfId="324" dataCellStyle="Normal 53"/>
    <tableColumn id="20" xr3:uid="{F4003E12-1300-4DAE-8220-DE8125ED1184}" name="TA (%)" dataDxfId="323" totalsRowDxfId="322">
      <calculatedColumnFormula>IFERROR(1-SUMIF(Tracker_BD!$H:$H,$A2,Tracker_BD!AI:AI)/$F2,"")</calculatedColumnFormula>
    </tableColumn>
    <tableColumn id="21" xr3:uid="{27F8D4FB-019A-4BCB-9F97-9513AF3CA89A}" name="PR(%)" dataDxfId="321" totalsRowDxfId="320">
      <calculatedColumnFormula>IFERROR(AA2/I2/AB2/1000,"")</calculatedColumnFormula>
    </tableColumn>
    <tableColumn id="22" xr3:uid="{4F977F56-EEF6-40DE-A51D-375AE3DD01CE}" name="WPR(%)" dataDxfId="319" totalsRowDxfId="318"/>
    <tableColumn id="23" xr3:uid="{DA4E0EEE-59FD-4F29-8522-9C9012398923}" name="CUF(%)" dataDxfId="317" totalsRowDxfId="316">
      <calculatedColumnFormula>IFERROR(AA2/(24*AR2*1000),"")</calculatedColumnFormula>
    </tableColumn>
    <tableColumn id="24" xr3:uid="{F97F754C-76B7-4458-9F60-678E3156682E}" name="Gen_Exp (kWh)" dataDxfId="315" totalsRowDxfId="314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313" totalsRowDxfId="312" dataCellStyle="Normal 53">
      <calculatedColumnFormula>IFERROR(_xlfn.XLOOKUP($A2,'Raw Data'!$G:$G,'Raw Data'!AC:AC),"")</calculatedColumnFormula>
    </tableColumn>
    <tableColumn id="26" xr3:uid="{85366E50-6499-423E-B16A-F37C85FDE207}" name="Mtr_Import (kWh)" dataDxfId="311" totalsRowDxfId="310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309" dataCellStyle="Normal 53">
      <calculatedColumnFormula>IFERROR(_xlfn.XLOOKUP($A2,'Raw Data'!$G:$G,'Raw Data'!AE:AE)*(1+(_xlfn.XLOOKUP(Table13[[#This Row],[Month Year]],JMR!$A:$A,JMR!$J:$J))),"")</calculatedColumnFormula>
    </tableColumn>
    <tableColumn id="28" xr3:uid="{835AD72B-2D42-43B1-A3DC-DAF3AE90CFB6}" name="Operational Capacity (MW)" dataDxfId="308" totalsRowDxfId="307" dataCellStyle="Normal 53">
      <calculatedColumnFormula>IFERROR(_xlfn.XLOOKUP($A2,'Raw Data'!$G:$G,'Raw Data'!$H:$H),"")</calculatedColumnFormula>
    </tableColumn>
    <tableColumn id="29" xr3:uid="{184E5155-F071-449B-9CA5-DA46CDF28C8D}" name="Bugt_Resource" dataDxfId="306" totalsRowDxfId="305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304" totalsRowDxfId="303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302">
      <calculatedColumnFormula>IFERROR(_xlfn.XLOOKUP($D2,'Modelling New'!$D:$D,'Modelling New'!$O:$O),"")</calculatedColumnFormula>
    </tableColumn>
    <tableColumn id="42" xr3:uid="{8EDA8DF3-4754-4E0C-8804-377D4DF13CC3}" name="Bugt CUF" dataDxfId="301" totalsRowDxfId="300">
      <calculatedColumnFormula>IFERROR(_xlfn.XLOOKUP($D2,'Modelling New'!$D:$D,'Modelling New'!$W:$W),"")</calculatedColumnFormula>
    </tableColumn>
    <tableColumn id="31" xr3:uid="{64DC189C-EF9E-4360-8AD1-B331109650EC}" name="Bugt_PA" dataDxfId="299" totalsRowDxfId="298">
      <calculatedColumnFormula>IFERROR(_xlfn.XLOOKUP($D2,'Modelling New'!$D:$D,'Modelling New'!AE:AE),"")</calculatedColumnFormula>
    </tableColumn>
    <tableColumn id="32" xr3:uid="{46BF3F0F-C3EA-420A-95AC-B17C687A1393}" name="Bugt_EGA" dataDxfId="297" totalsRowDxfId="296">
      <calculatedColumnFormula>IFERROR(_xlfn.XLOOKUP($D2,'Modelling New'!$D:$D,'Modelling New'!AF:AF),"")</calculatedColumnFormula>
    </tableColumn>
    <tableColumn id="33" xr3:uid="{7B1606F3-1015-4C7C-AC68-508C45BB45E6}" name="Expected Energy" dataDxfId="295" totalsRowDxfId="294" dataCellStyle="Normal 53"/>
    <tableColumn id="34" xr3:uid="{8E44A1DC-1D01-4848-A5D3-9157F0296D40}" name="Actual Energy WPR" dataDxfId="293" totalsRowDxfId="292" dataCellStyle="Normal 53"/>
    <tableColumn id="35" xr3:uid="{481CA67A-F6DC-4400-87D8-01154C638CA9}" name="RA (%)" dataDxfId="291" totalsRowDxfId="290" dataCellStyle="Normal 53"/>
    <tableColumn id="36" xr3:uid="{C7D9D539-0A75-452B-AE81-A8182C9B11E8}" name="Mod Clean Dry (Num)" dataDxfId="289" totalsRowDxfId="288" dataCellStyle="Normal 53"/>
    <tableColumn id="37" xr3:uid="{B330ED2F-6115-4470-A3BF-7667BD9ECEAC}" name="Mod Clean Wet (Num)" dataDxfId="287" totalsRowDxfId="286" dataCellStyle="Normal 53"/>
    <tableColumn id="38" xr3:uid="{1E45EED0-F12A-470C-B308-E65E6E330ED3}" name="Line Loss(%)" dataDxfId="285" totalsRowDxfId="284"/>
    <tableColumn id="39" xr3:uid="{E12A9DF4-9360-4398-AFED-C2953C9C0498}" name="Reactive Power (%)" dataDxfId="283"/>
    <tableColumn id="40" xr3:uid="{818B66EE-5DD8-43E1-9FA0-84F95CCCCD8F}" name="Bugt Line loss (%) (Wind)" dataDxfId="282" totalsRowDxfId="281"/>
    <tableColumn id="41" xr3:uid="{597D893D-4CF4-431E-A230-8DD580D96151}" name="Bugt Reactive Power (%) (Wind)" dataDxfId="280" totalsRowDxfId="279"/>
    <tableColumn id="44" xr3:uid="{5756F7CA-5059-48DF-A212-A1B921D586FA}" name="Bugt Capacity" dataDxfId="278" totalsRowDxfId="277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76" totalsRowDxfId="275" dataCellStyle="Normal 53"/>
    <tableColumn id="46" xr3:uid="{5DA08CB9-3704-4FA4-B922-01CD88EC5DE7}" name="Operational AC Capacity (MW)" dataDxfId="274" totalsRowDxfId="273" dataCellStyle="Normal 53">
      <calculatedColumnFormula>IFERROR(_xlfn.XLOOKUP(Table13[[#This Row],[Date]],'Raw Data'!$G:$G,'Raw Data'!$AJ:$AJ),"")</calculatedColumnFormula>
    </tableColumn>
    <tableColumn id="47" xr3:uid="{0F5EC461-AB2A-4BDC-B251-C7088AFAF8EA}" name="Bugt AC Capacity (MW)" dataDxfId="272" totalsRowDxfId="271" dataCellStyle="Normal 53">
      <calculatedColumnFormula>IFERROR(_xlfn.XLOOKUP(Table13[[#This Row],[Month Year]],'Modelling New'!$D:$D,'Modelling New'!$AO:$AO),"")</calculatedColumnFormula>
    </tableColumn>
    <tableColumn id="48" xr3:uid="{E0D5750E-D40C-47AB-8EE3-B944E0208690}" name="Curtailment Gen Loss (MWh)" dataDxfId="270" totalsRowDxfId="269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J131" totalsRowShown="0">
  <tableColumns count="36">
    <tableColumn id="1" xr3:uid="{00000000-0010-0000-0100-000001000000}" name="Finacial Year" dataDxfId="268">
      <calculatedColumnFormula>YEAR(Raw_Data[[#This Row],[Date]])+IF(MONTH(Raw_Data[[#This Row],[Date]])&gt;=4,1,0)</calculatedColumnFormula>
    </tableColumn>
    <tableColumn id="2" xr3:uid="{00000000-0010-0000-0100-000002000000}" name="Calendor Year" dataDxfId="267">
      <calculatedColumnFormula>YEAR(Raw_Data[[#This Row],[Date]])</calculatedColumnFormula>
    </tableColumn>
    <tableColumn id="3" xr3:uid="{00000000-0010-0000-0100-000003000000}" name="Contrcatual Year" dataDxfId="266"/>
    <tableColumn id="4" xr3:uid="{00000000-0010-0000-0100-000004000000}" name="Operating Year" dataDxfId="265"/>
    <tableColumn id="5" xr3:uid="{00000000-0010-0000-0100-000005000000}" name="Month Year" dataDxfId="264"/>
    <tableColumn id="6" xr3:uid="{00000000-0010-0000-0100-000006000000}" name="Days" dataDxfId="263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62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61"/>
    <tableColumn id="12" xr3:uid="{00000000-0010-0000-0100-00000C000000}" name="IC1_Inv2" dataDxfId="260"/>
    <tableColumn id="13" xr3:uid="{00000000-0010-0000-0100-00000D000000}" name="IC1_Inv3" dataDxfId="259"/>
    <tableColumn id="14" xr3:uid="{00000000-0010-0000-0100-00000E000000}" name="IC1_Inv4" dataDxfId="258"/>
    <tableColumn id="15" xr3:uid="{00000000-0010-0000-0100-00000F000000}" name="IC2_Inv1" dataDxfId="257"/>
    <tableColumn id="16" xr3:uid="{00000000-0010-0000-0100-000010000000}" name="IC2_Inv2" dataDxfId="256"/>
    <tableColumn id="17" xr3:uid="{00000000-0010-0000-0100-000011000000}" name="33 kV Outgoinng Export Reading" dataDxfId="255"/>
    <tableColumn id="18" xr3:uid="{00000000-0010-0000-0100-000012000000}" name="33 kV Outgoinng Import Reading" dataDxfId="254"/>
    <tableColumn id="19" xr3:uid="{00000000-0010-0000-0100-000013000000}" name="GHI(Wh/m2)" dataDxfId="253"/>
    <tableColumn id="20" xr3:uid="{00000000-0010-0000-0100-000014000000}" name="POA1(Wh/m2)" dataDxfId="252"/>
    <tableColumn id="21" xr3:uid="{00000000-0010-0000-0100-000015000000}" name="POA2(Wh/m2)" dataDxfId="251"/>
    <tableColumn id="34" xr3:uid="{00000000-0010-0000-0100-000022000000}" name="Avg. POA Lost (W/m2)" dataDxfId="250"/>
    <tableColumn id="25" xr3:uid="{00000000-0010-0000-0100-000019000000}" name="Avg. Ambient Temp (POA&gt;20W/m2)" dataDxfId="249"/>
    <tableColumn id="26" xr3:uid="{00000000-0010-0000-0100-00001A000000}" name="Avg. Module Temp (POA&gt;20W/m2)" dataDxfId="248"/>
    <tableColumn id="27" xr3:uid="{00000000-0010-0000-0100-00001B000000}" name="Avg. Wind Speed (m/s)" dataDxfId="247"/>
    <tableColumn id="28" xr3:uid="{00000000-0010-0000-0100-00001C000000}" name="Max. Wind Speed (m/s)" dataDxfId="246"/>
    <tableColumn id="29" xr3:uid="{00000000-0010-0000-0100-00001D000000}" name="Rain Fall (mm)" dataDxfId="245"/>
    <tableColumn id="37" xr3:uid="{00000000-0010-0000-0100-000025000000}" name="Inverters Generation ( kWh)" dataDxfId="244">
      <calculatedColumnFormula>SUM(Raw_Data[[#This Row],[IC1_Inv1]:[IC2_Inv2]])</calculatedColumnFormula>
    </tableColumn>
    <tableColumn id="30" xr3:uid="{00000000-0010-0000-0100-00001E000000}" name="Export  (kWh)" dataDxfId="243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242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241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240">
      <calculatedColumnFormula>IFERROR(AVERAGE(Raw_Data[[#This Row],[POA1(Wh/m2)]:[POA2(Wh/m2)]]),"")</calculatedColumnFormula>
    </tableColumn>
    <tableColumn id="32" xr3:uid="{00000000-0010-0000-0100-000020000000}" name="Net Avg. POA with Exclusion (W/m2)" dataDxfId="239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238">
      <calculatedColumnFormula>IFERROR((J4-I4)*24,"")</calculatedColumnFormula>
    </tableColumn>
    <tableColumn id="22" xr3:uid="{00000000-0010-0000-0100-000016000000}" name="Remarks" dataDxfId="237"/>
    <tableColumn id="24" xr3:uid="{15950DB4-260A-431A-A1D2-B5E0B4F22BCC}" name="Operational AC Capacity (MW)" dataDxfId="23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1F0D62-F407-443E-AB21-438539E7FE72}" name="JMR" displayName="JMR" ref="A1:J6" totalsRowShown="0" headerRowDxfId="235" dataDxfId="233" headerRowBorderDxfId="234" tableBorderDxfId="232" totalsRowBorderDxfId="231">
  <autoFilter ref="A1:J6" xr:uid="{8745D0B3-BF9B-404E-8C2D-369EEC93627D}"/>
  <tableColumns count="10">
    <tableColumn id="1" xr3:uid="{2DDFF91B-6E14-43E6-A2A3-3645B3D3923D}" name="Month Year" dataDxfId="230"/>
    <tableColumn id="2" xr3:uid="{40ABAE58-863B-418A-8F54-9B84C61FA5BA}" name="Plant Name" dataDxfId="229"/>
    <tableColumn id="3" xr3:uid="{4C0ED1D3-531A-47B2-ABC0-5327FFB570A7}" name="Export (kWh)" dataDxfId="228"/>
    <tableColumn id="4" xr3:uid="{601BB172-FCFE-487D-A5B2-E489DE98B0C4}" name="Import (kWh)" dataDxfId="227"/>
    <tableColumn id="5" xr3:uid="{CE9BC8C3-5193-4315-8ACA-6E4EAE1A1255}" name="Net Export (JMR) (kWh)" dataDxfId="226">
      <calculatedColumnFormula>JMR[[#This Row],[Export (kWh)]]-(115%*JMR[[#This Row],[Import (kWh)]])</calculatedColumnFormula>
    </tableColumn>
    <tableColumn id="6" xr3:uid="{F6724A00-2410-4AD5-BDEB-C3777434D33F}" name="Billed (kWh)" dataDxfId="225"/>
    <tableColumn id="7" xr3:uid="{124D5747-7A19-4336-B9F0-B94AE92F4B2D}" name="Net Export (Manual) (kWh)" dataDxfId="224">
      <calculatedColumnFormula>SUMIF('Daily KPI'!$D:$D,$A2,'Daily KPI'!$Y:$Y)-SUMIF('Daily KPI'!$D:$D,$A2,'Daily KPI'!$Z:$Z)</calculatedColumnFormula>
    </tableColumn>
    <tableColumn id="8" xr3:uid="{0843AA6A-99DE-4BB6-B3C6-AD7FD8D597EE}" name="Difference" dataDxfId="223">
      <calculatedColumnFormula>IF(C2="",0,JMR[[#This Row],[Net Export (JMR) (kWh)]]-JMR[[#This Row],[Net Export (Manual) (kWh)]])</calculatedColumnFormula>
    </tableColumn>
    <tableColumn id="9" xr3:uid="{315B7A87-1D54-4E17-AEF2-2BE976124F75}" name="Revised Net Export (Manual) (kWh)" dataDxfId="222">
      <calculatedColumnFormula>SUMIF('Daily KPI'!$D:$D,$A2,'Daily KPI'!$AA:$AA)</calculatedColumnFormula>
    </tableColumn>
    <tableColumn id="10" xr3:uid="{8FA36885-FE8F-4ADA-8B2E-03E65C0ED911}" name="%Delta" dataDxfId="221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30" totalsRowShown="0">
  <autoFilter ref="A2:Q130" xr:uid="{00000000-0009-0000-0100-00000C000000}"/>
  <tableColumns count="17">
    <tableColumn id="1" xr3:uid="{00000000-0010-0000-0200-000001000000}" name="Finacial Year" dataDxfId="220">
      <calculatedColumnFormula>YEAR(H3)+IF(MONTH(H3)&gt;=4,1,0)</calculatedColumnFormula>
    </tableColumn>
    <tableColumn id="2" xr3:uid="{00000000-0010-0000-0200-000002000000}" name="Start Month" dataDxfId="219">
      <calculatedColumnFormula>YEAR(H3)</calculatedColumnFormula>
    </tableColumn>
    <tableColumn id="3" xr3:uid="{00000000-0010-0000-0200-000003000000}" name="Calendor Year" dataDxfId="218">
      <calculatedColumnFormula>YEAR(Table12[[#This Row],[Date]])</calculatedColumnFormula>
    </tableColumn>
    <tableColumn id="4" xr3:uid="{00000000-0010-0000-0200-000004000000}" name="Contrcatual Year" dataDxfId="217"/>
    <tableColumn id="5" xr3:uid="{00000000-0010-0000-0200-000005000000}" name="Operating Year" dataDxfId="216"/>
    <tableColumn id="6" xr3:uid="{00000000-0010-0000-0200-000006000000}" name="Month Year" dataDxfId="215"/>
    <tableColumn id="7" xr3:uid="{00000000-0010-0000-0200-000007000000}" name="Days" dataDxfId="214">
      <calculatedColumnFormula>DAY(EOMONTH(F3,0))</calculatedColumnFormula>
    </tableColumn>
    <tableColumn id="8" xr3:uid="{00000000-0010-0000-0200-000008000000}" name="Date" dataDxfId="213">
      <calculatedColumnFormula>H2+1</calculatedColumnFormula>
    </tableColumn>
    <tableColumn id="9" xr3:uid="{00000000-0010-0000-0200-000009000000}" name="Plant DC Capcity (MW)" dataDxfId="212">
      <calculatedColumnFormula>'Modelling New'!$AQ$1</calculatedColumnFormula>
    </tableColumn>
    <tableColumn id="10" xr3:uid="{00000000-0010-0000-0200-00000A000000}" name="IC1_Inv1" dataDxfId="211">
      <calculatedColumnFormula>'Raw Data'!#REF!/J$1</calculatedColumnFormula>
    </tableColumn>
    <tableColumn id="11" xr3:uid="{00000000-0010-0000-0200-00000B000000}" name="IC1_Inv2" dataDxfId="210">
      <calculatedColumnFormula>'Raw Data'!#REF!/K$1</calculatedColumnFormula>
    </tableColumn>
    <tableColumn id="12" xr3:uid="{00000000-0010-0000-0200-00000C000000}" name="IC1_Inv3" dataDxfId="209">
      <calculatedColumnFormula>'Raw Data'!#REF!/L$1</calculatedColumnFormula>
    </tableColumn>
    <tableColumn id="13" xr3:uid="{00000000-0010-0000-0200-00000D000000}" name="IC1_Inv4" dataDxfId="208">
      <calculatedColumnFormula>'Raw Data'!#REF!/M$1</calculatedColumnFormula>
    </tableColumn>
    <tableColumn id="14" xr3:uid="{00000000-0010-0000-0200-00000E000000}" name="IC2_Inv1" dataDxfId="207">
      <calculatedColumnFormula>'Raw Data'!#REF!/N$1</calculatedColumnFormula>
    </tableColumn>
    <tableColumn id="15" xr3:uid="{00000000-0010-0000-0200-00000F000000}" name="IC2_Inv2" dataDxfId="206">
      <calculatedColumnFormula>'Raw Data'!#REF!/O$1</calculatedColumnFormula>
    </tableColumn>
    <tableColumn id="16" xr3:uid="{00000000-0010-0000-0200-000010000000}" name="Avg. SY" dataDxfId="205">
      <calculatedColumnFormula>IFERROR(AVERAGEIF(J3:O3,"&gt;"&amp;0,J3:O3),"")</calculatedColumnFormula>
    </tableColumn>
    <tableColumn id="17" xr3:uid="{00000000-0010-0000-0200-000011000000}" name="Max. SY" dataDxfId="20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9" totalsRowShown="0" headerRowDxfId="203" dataDxfId="202">
  <tableColumns count="21">
    <tableColumn id="1" xr3:uid="{00000000-0010-0000-0500-000001000000}" name="Finacial Year" dataDxfId="201"/>
    <tableColumn id="2" xr3:uid="{00000000-0010-0000-0500-000002000000}" name="Start Month" dataDxfId="200"/>
    <tableColumn id="3" xr3:uid="{00000000-0010-0000-0500-000003000000}" name="Calendor Year" dataDxfId="199">
      <calculatedColumnFormula>TEXT(Table5[[#This Row],[Date]],"yyyy")</calculatedColumnFormula>
    </tableColumn>
    <tableColumn id="4" xr3:uid="{00000000-0010-0000-0500-000004000000}" name="Contrcatual Year" dataDxfId="198"/>
    <tableColumn id="5" xr3:uid="{00000000-0010-0000-0500-000005000000}" name="Operating Year" dataDxfId="197"/>
    <tableColumn id="6" xr3:uid="{00000000-0010-0000-0500-000006000000}" name="Month Year" dataDxfId="196">
      <calculatedColumnFormula>TEXT(Table5[[#This Row],[Date]],"mmm-yy")</calculatedColumnFormula>
    </tableColumn>
    <tableColumn id="7" xr3:uid="{00000000-0010-0000-0500-000007000000}" name="Days" dataDxfId="195">
      <calculatedColumnFormula>DAY(EOMONTH(F2,0))</calculatedColumnFormula>
    </tableColumn>
    <tableColumn id="8" xr3:uid="{00000000-0010-0000-0500-000008000000}" name="Date" dataDxfId="194">
      <calculatedColumnFormula>H1+1</calculatedColumnFormula>
    </tableColumn>
    <tableColumn id="9" xr3:uid="{00000000-0010-0000-0500-000009000000}" name="Plant DC Capcity (MW)" dataDxfId="193"/>
    <tableColumn id="10" xr3:uid="{00000000-0010-0000-0500-00000A000000}" name="IC1_Inv1 WRT Avg." dataDxfId="192">
      <calculatedColumnFormula>IFERROR(Inv_SY!#REF!/Inv_SY!#REF!-1,"")</calculatedColumnFormula>
    </tableColumn>
    <tableColumn id="11" xr3:uid="{00000000-0010-0000-0500-00000B000000}" name="IC1_Inv2 wrt Avg." dataDxfId="191">
      <calculatedColumnFormula>IFERROR(Inv_SY!#REF!/Inv_SY!#REF!-1,"")</calculatedColumnFormula>
    </tableColumn>
    <tableColumn id="12" xr3:uid="{00000000-0010-0000-0500-00000C000000}" name="IC1_Inv3 wrt Avg." dataDxfId="190">
      <calculatedColumnFormula>IFERROR(Inv_SY!#REF!/Inv_SY!#REF!-1,"")</calculatedColumnFormula>
    </tableColumn>
    <tableColumn id="13" xr3:uid="{00000000-0010-0000-0500-00000D000000}" name="IC1_Inv4 wrt Avg." dataDxfId="189">
      <calculatedColumnFormula>IFERROR(Inv_SY!#REF!/Inv_SY!#REF!-1,"")</calculatedColumnFormula>
    </tableColumn>
    <tableColumn id="14" xr3:uid="{00000000-0010-0000-0500-00000E000000}" name="IC2_Inv1 wrt Avg." dataDxfId="188">
      <calculatedColumnFormula>IFERROR(Inv_SY!#REF!/Inv_SY!#REF!-1,"")</calculatedColumnFormula>
    </tableColumn>
    <tableColumn id="15" xr3:uid="{00000000-0010-0000-0500-00000F000000}" name="IC2_Inv2 wrt Avg." dataDxfId="187">
      <calculatedColumnFormula>IFERROR(Inv_SY!#REF!/Inv_SY!#REF!-1,"")</calculatedColumnFormula>
    </tableColumn>
    <tableColumn id="16" xr3:uid="{00000000-0010-0000-0500-000010000000}" name="IC1_Inv1 wrt Max." dataDxfId="186">
      <calculatedColumnFormula>IFERROR(Inv_SY!#REF!/Inv_SY!#REF!-1,"")</calculatedColumnFormula>
    </tableColumn>
    <tableColumn id="17" xr3:uid="{00000000-0010-0000-0500-000011000000}" name="IC1_Inv2 wrt Max." dataDxfId="185">
      <calculatedColumnFormula>IFERROR(Inv_SY!#REF!/Inv_SY!#REF!-1,"")</calculatedColumnFormula>
    </tableColumn>
    <tableColumn id="18" xr3:uid="{00000000-0010-0000-0500-000012000000}" name="IC1_Inv3 wrt Max." dataDxfId="184">
      <calculatedColumnFormula>IFERROR(Inv_SY!#REF!/Inv_SY!#REF!-1,"")</calculatedColumnFormula>
    </tableColumn>
    <tableColumn id="19" xr3:uid="{00000000-0010-0000-0500-000013000000}" name="IC1_Inv4 wrt Max." dataDxfId="183">
      <calculatedColumnFormula>IFERROR(Inv_SY!#REF!/Inv_SY!#REF!-1,"")</calculatedColumnFormula>
    </tableColumn>
    <tableColumn id="20" xr3:uid="{00000000-0010-0000-0500-000014000000}" name="IC2_Inv1 wrt Max." dataDxfId="182">
      <calculatedColumnFormula>IFERROR(Inv_SY!#REF!/Inv_SY!#REF!-1,"")</calculatedColumnFormula>
    </tableColumn>
    <tableColumn id="21" xr3:uid="{00000000-0010-0000-0500-000015000000}" name="IC2_Inv2 wrt Max." dataDxfId="18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B5EEED-2014-4AAE-906A-D80499A00A3A}" name="Plant_BD" displayName="Plant_BD" ref="A1:AP28" totalsRowShown="0" headerRowDxfId="180" dataDxfId="178" headerRowBorderDxfId="179" tableBorderDxfId="177" totalsRowBorderDxfId="176">
  <autoFilter ref="A1:AP28" xr:uid="{D5B5EEED-2014-4AAE-906A-D80499A00A3A}">
    <filterColumn colId="1">
      <filters>
        <dateGroupItem year="2025" month="7" dateTimeGrouping="month"/>
      </filters>
    </filterColumn>
  </autoFilter>
  <tableColumns count="42">
    <tableColumn id="1" xr3:uid="{969E5BD2-D3FB-49D5-B634-3BCAC6F2742D}" name="Sr. No." dataDxfId="175"/>
    <tableColumn id="34" xr3:uid="{9D85DBDC-A51A-46CB-9A21-20C9D35BBEA2}" name="Date" dataDxfId="174"/>
    <tableColumn id="2" xr3:uid="{312D3AD2-D659-4A5B-9DED-F652C7288464}" name="Financial Year" dataDxfId="173">
      <calculatedColumnFormula>YEAR(Plant_BD[[#This Row],[Date]])+IF(MONTH(Plant_BD[[#This Row],[Date]])&gt;=4,1,0)</calculatedColumnFormula>
    </tableColumn>
    <tableColumn id="3" xr3:uid="{738CA44D-3F67-4FA2-B9FD-C959ECD81872}" name="Calendar Year" dataDxfId="172">
      <calculatedColumnFormula>YEAR(Plant_BD[[#This Row],[Date]])</calculatedColumnFormula>
    </tableColumn>
    <tableColumn id="4" xr3:uid="{D88BEE87-6D78-462A-9FB3-C7B597D13F71}" name="Contractual Year" dataDxfId="171"/>
    <tableColumn id="5" xr3:uid="{DEF43436-75AD-4E79-8F6C-628721D8999B}" name="Operating Year" dataDxfId="170"/>
    <tableColumn id="6" xr3:uid="{E565B463-361C-4023-9437-D1FC86198D50}" name="Month Year" dataDxfId="169">
      <calculatedColumnFormula>Plant_BD[[#This Row],[Date]]-DAY(Plant_BD[[#This Row],[Date]])+1</calculatedColumnFormula>
    </tableColumn>
    <tableColumn id="7" xr3:uid="{16EA1006-6C70-43C4-A7CB-AE7AA6E30E77}" name="Days" dataDxfId="168">
      <calculatedColumnFormula>DAY(EOMONTH(Plant_BD[[#This Row],[Month Year]],0))</calculatedColumnFormula>
    </tableColumn>
    <tableColumn id="26" xr3:uid="{6A369078-56E9-4156-B6B8-05415938440C}" name="Sunrise Time (POA&gt;20 W/m2)" dataDxfId="167">
      <calculatedColumnFormula>_xlfn.XLOOKUP(Plant_BD[[#This Row],[Date]],'Raw Data'!$G:$G,'Raw Data'!$I:$I)</calculatedColumnFormula>
    </tableColumn>
    <tableColumn id="27" xr3:uid="{0B9B7B25-A77C-4528-9AE3-FC82392FF756}" name="Sunset Time (POA&lt;20 W/m2)" dataDxfId="166">
      <calculatedColumnFormula>_xlfn.XLOOKUP(Plant_BD[[#This Row],[Date]],'Raw Data'!$G:$G,'Raw Data'!$J:$J)</calculatedColumnFormula>
    </tableColumn>
    <tableColumn id="28" xr3:uid="{8D3536A5-5A57-46B1-BF35-95025ECA56D8}" name="Total Generation Time" dataDxfId="165">
      <calculatedColumnFormula>IFERROR((Plant_BD[[#This Row],[Sunset Time (POA&lt;20 W/m2)]]-Plant_BD[[#This Row],[Sunrise Time (POA&gt;20 W/m2)]])*24,"")</calculatedColumnFormula>
    </tableColumn>
    <tableColumn id="42" xr3:uid="{B7D5C40B-4C06-40E8-9076-31BFD011DFF4}" name="Inverter  Station Number (if Bd in filed)" dataDxfId="164"/>
    <tableColumn id="41" xr3:uid="{49354E7A-DD0C-49A8-9FCF-0DB207BBF79C}" name="Inverter number (If Inv, SCb or Str BD)" dataDxfId="163"/>
    <tableColumn id="40" xr3:uid="{1E1A0486-5806-4904-9254-DCD343D946E0}" name="Inverter Module Number" dataDxfId="162"/>
    <tableColumn id="39" xr3:uid="{FAB4A5C3-67C3-4E0C-BE50-56DD0721DEA1}" name="SCB Number (If SCB or Str BD)" dataDxfId="161"/>
    <tableColumn id="38" xr3:uid="{4A6CC224-9522-4BAD-B7F2-9DD8115D827D}" name="String Type(If String BD)" dataDxfId="160"/>
    <tableColumn id="37" xr3:uid="{07A9742E-9F97-4AE4-8BDC-0D79D63119E7}" name="Equipment (If any BD other than PV  array and inv)" dataDxfId="159"/>
    <tableColumn id="36" xr3:uid="{C93FACE8-79E1-4ECF-A01B-CFE5BC8978E1}" name="C1" dataDxfId="158"/>
    <tableColumn id="35" xr3:uid="{18DC4612-C1CF-4235-882B-6CD6B530D902}" name="C2" dataDxfId="157"/>
    <tableColumn id="9" xr3:uid="{4FF46A0B-E90D-49E4-BCDA-FF281D168A51}" name="Affected Equipment" dataDxfId="156"/>
    <tableColumn id="10" xr3:uid="{C19370B4-7F2E-4F35-AF1B-E71F53BA17DB}" name="DC Capacity Affected (kW)" dataDxfId="155">
      <calculatedColumnFormula>IFERROR(_xlfn.XLOOKUP(Plant_BD[[#This Row],[Affected Equipment]],'Basic Data'!$A:$A,'Basic Data'!$B:$B),"")</calculatedColumnFormula>
    </tableColumn>
    <tableColumn id="29" xr3:uid="{4DD8D4B9-0E6E-47B9-A65A-9F33B4387392}" name="Plant Equivalent Weightage" dataDxfId="154">
      <calculatedColumnFormula>IFERROR(_xlfn.XLOOKUP(Plant_BD[[#This Row],[Affected Equipment]],'Basic Data'!$A:$A,'Basic Data'!$C:$C),"")</calculatedColumnFormula>
    </tableColumn>
    <tableColumn id="11" xr3:uid="{F691FEF4-0A3B-4827-95F7-CA873B806E4F}" name="Affected Equipment Location" dataDxfId="153"/>
    <tableColumn id="12" xr3:uid="{9C259ECC-D16E-48ED-90E3-6619A2F56C87}" name="Fault Category" dataDxfId="152"/>
    <tableColumn id="13" xr3:uid="{0192B862-ECC8-4ADE-9610-962E85BEDF97}" name="Fault Code (As per HMI)" dataDxfId="151"/>
    <tableColumn id="14" xr3:uid="{102959A5-3C55-4422-A9D5-7D40BE2E1202}" name="Breakdown Description" dataDxfId="150"/>
    <tableColumn id="15" xr3:uid="{6A76D70C-1087-4E6B-976B-74AC8C015E15}" name="Fault Time" dataDxfId="149"/>
    <tableColumn id="16" xr3:uid="{F231FDF1-4EF7-4641-99EE-9BA485208EB1}" name="Acknowledgement Time " dataDxfId="148"/>
    <tableColumn id="17" xr3:uid="{FC0FE527-C912-4521-88D3-01AC696A78FF}" name="Work Start time on Fault" dataDxfId="147"/>
    <tableColumn id="18" xr3:uid="{B2D0E158-A289-46B1-A659-6CA754A54ADF}" name="Work Completion time on fault" dataDxfId="146"/>
    <tableColumn id="19" xr3:uid="{CC5F1224-2C15-4357-BDE2-08017777D988}" name="Acknowledgement time" dataDxfId="145">
      <calculatedColumnFormula>IF(Plant_BD[[#This Row],[Acknowledgement Time ]]="NA","",(Plant_BD[[#This Row],[Acknowledgement Time ]]-Plant_BD[[#This Row],[Fault Time]])*24)</calculatedColumnFormula>
    </tableColumn>
    <tableColumn id="20" xr3:uid="{FAE54C47-C006-4AAD-AFC8-C8CA09AAB59E}" name="Response Time" dataDxfId="144">
      <calculatedColumnFormula>IF(Plant_BD[[#This Row],[Work Start time on Fault]]="NA","",(Plant_BD[[#This Row],[Work Start time on Fault]]-Plant_BD[[#This Row],[Fault Time]])*24)</calculatedColumnFormula>
    </tableColumn>
    <tableColumn id="21" xr3:uid="{D3C0EC66-7C86-467E-A3E7-091DCF2964BF}" name="Resolution Time" dataDxfId="143">
      <calculatedColumnFormula>(Plant_BD[[#This Row],[Work Completion time on fault]]-Plant_BD[[#This Row],[Fault Time]])*24</calculatedColumnFormula>
    </tableColumn>
    <tableColumn id="30" xr3:uid="{8D9C7803-288D-4B6F-A38E-16E04986537B}" name="Breakdown Time" dataDxfId="142">
      <calculatedColumnFormula>IFERROR((Plant_BD[[#This Row],[Work Completion time on fault]]-Plant_BD[[#This Row],[Fault Time]])*24,"")</calculatedColumnFormula>
    </tableColumn>
    <tableColumn id="22" xr3:uid="{E6F6B93B-F4AE-4034-BFE4-6057183A177F}" name="Action taken" dataDxfId="141"/>
    <tableColumn id="23" xr3:uid="{C90FA6EB-DB24-487B-832D-3EB5A7B9E55B}" name="Status" dataDxfId="140"/>
    <tableColumn id="31" xr3:uid="{3F12CC44-7344-4BC7-A4E5-7E316A0379CE}" name="Plant Equivalent breakdown" dataDxfId="139">
      <calculatedColumnFormula>IFERROR(Plant_BD[[#This Row],[Breakdown Time]]*Plant_BD[[#This Row],[Plant Equivalent Weightage]],"")</calculatedColumnFormula>
    </tableColumn>
    <tableColumn id="25" xr3:uid="{33DA1B1A-8B53-4B2E-A300-A175ACDA7C80}" name="Lost PoA(kWh/m2)" dataDxfId="138"/>
    <tableColumn id="24" xr3:uid="{2E11E417-34A0-49EF-B2DF-7E20569BCCCC}" name="Approximate Energy Loss (KWh)" dataDxfId="137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3F040CCC-3BFF-475A-9533-1FBB8CAAD3D8}" name="Job Card No." dataDxfId="136"/>
    <tableColumn id="33" xr3:uid="{872FE311-DEB7-4F94-A3F9-1FD0D06877C4}" name="PTW No." dataDxfId="135"/>
    <tableColumn id="43" xr3:uid="{1133A591-163D-4495-89CB-79AB5510BC4D}" name="Scope" dataDxfId="134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A86FBC-459F-4D0C-91FC-707869A7B940}" name="Grid_BD" displayName="Grid_BD" ref="A1:AE50" totalsRowShown="0" headerRowDxfId="133" dataDxfId="132">
  <autoFilter ref="A1:AE50" xr:uid="{2338FC6F-6E6F-4DF9-89B3-6B5E6C20CC58}"/>
  <tableColumns count="31">
    <tableColumn id="1" xr3:uid="{DCC3785E-7669-456F-A7C2-EE3B370625F1}" name="Sr. No." dataDxfId="131"/>
    <tableColumn id="2" xr3:uid="{45F2D557-BAC1-46C0-BD7A-5CD5C85B1976}" name="Date" dataDxfId="130"/>
    <tableColumn id="3" xr3:uid="{20C5508B-9AA3-4A96-B960-B59F5787EE45}" name="Financial Year" dataDxfId="129">
      <calculatedColumnFormula>YEAR(Grid_BD[[#This Row],[Date]])+IF(MONTH(Grid_BD[[#This Row],[Date]])&gt;=4,1,0)</calculatedColumnFormula>
    </tableColumn>
    <tableColumn id="4" xr3:uid="{A2778C4F-046C-4AEE-8EF5-12D3326A375B}" name="Calendar Year" dataDxfId="128">
      <calculatedColumnFormula>YEAR(Grid_BD[[#This Row],[Date]])</calculatedColumnFormula>
    </tableColumn>
    <tableColumn id="5" xr3:uid="{A7E3B3B9-39AB-4F22-B8CC-00E9B0510772}" name="Contractual Year" dataDxfId="127"/>
    <tableColumn id="6" xr3:uid="{00461A7C-6106-4BD5-9246-A0C81760BE38}" name="Operating Year" dataDxfId="126"/>
    <tableColumn id="7" xr3:uid="{0E01D5B7-2DAA-4378-BD40-891BD1F9F8D3}" name="Month Year" dataDxfId="125">
      <calculatedColumnFormula>Grid_BD[[#This Row],[Date]]-DAY(Grid_BD[[#This Row],[Date]])+1</calculatedColumnFormula>
    </tableColumn>
    <tableColumn id="8" xr3:uid="{E678224B-3E54-498E-93BF-861F7CC6C039}" name="Days" dataDxfId="124">
      <calculatedColumnFormula>DAY(EOMONTH(Grid_BD[[#This Row],[Month Year]],0))</calculatedColumnFormula>
    </tableColumn>
    <tableColumn id="9" xr3:uid="{BB27618C-7D57-4CB0-8009-623EC77F54E4}" name="Sunrise Time (POA&gt;20 W/m2)" dataDxfId="123">
      <calculatedColumnFormula>_xlfn.XLOOKUP(Grid_BD[[#This Row],[Date]],'Raw Data'!$G:$G,'Raw Data'!$I:$I)</calculatedColumnFormula>
    </tableColumn>
    <tableColumn id="10" xr3:uid="{274F2EB5-BA8D-4151-B79D-28ED8A3F0FD0}" name="Sunset Time (POA&lt;20 W/m2)" dataDxfId="122">
      <calculatedColumnFormula>_xlfn.XLOOKUP(Grid_BD[[#This Row],[Date]],'Raw Data'!$G:$G,'Raw Data'!$J:$J)</calculatedColumnFormula>
    </tableColumn>
    <tableColumn id="11" xr3:uid="{DE7C4066-18EA-444A-B6DC-93C308466277}" name="Total Generation Time" dataDxfId="121">
      <calculatedColumnFormula>IFERROR((Grid_BD[[#This Row],[Sunset Time (POA&lt;20 W/m2)]]-Grid_BD[[#This Row],[Sunrise Time (POA&gt;20 W/m2)]])*24,"")</calculatedColumnFormula>
    </tableColumn>
    <tableColumn id="20" xr3:uid="{DE78C1F3-0658-4D52-97FA-2AF7BCC6C458}" name="Affected Equipment " dataDxfId="120"/>
    <tableColumn id="21" xr3:uid="{6B350F21-5F6C-4BBA-99E3-EDD4FA7B5662}" name="DC Capacity Affected (kW)" dataDxfId="119"/>
    <tableColumn id="22" xr3:uid="{CD6A1C8E-717A-4A9D-A449-F6D8EEACBFC9}" name="Plant Equivalent Weightage" dataDxfId="118" dataCellStyle="Percent"/>
    <tableColumn id="23" xr3:uid="{B9B12DB3-D698-4F86-A75F-96C1180A41FB}" name="Affected Equipment Location" dataDxfId="117"/>
    <tableColumn id="24" xr3:uid="{4B30328F-6569-4420-9E77-C9252C149FE9}" name="Fault Category" dataDxfId="116"/>
    <tableColumn id="25" xr3:uid="{A29FB2CF-153C-4094-BC38-3542ACE1DB01}" name="Fault Code (As per HMI)" dataDxfId="115"/>
    <tableColumn id="26" xr3:uid="{568FD36D-4494-42AE-8C23-6433B7B25785}" name="Breakdown Description" dataDxfId="114"/>
    <tableColumn id="27" xr3:uid="{5EDE89E4-C822-430E-A911-BEA8FA839C85}" name="Fault Time" dataDxfId="113"/>
    <tableColumn id="28" xr3:uid="{B2550AB3-E83E-4C55-BF3A-D5DCB41F4503}" name="Acknowledgement Time " dataDxfId="112" dataCellStyle="Normal 28"/>
    <tableColumn id="29" xr3:uid="{DD34B3C8-5C4E-4F0F-AC76-F2C784BD5A08}" name="Work Start time on Fault" dataDxfId="111" dataCellStyle="Normal 28"/>
    <tableColumn id="30" xr3:uid="{F80959F2-245E-4E71-A9ED-49F059EBE387}" name="Work Completion time on fault" dataDxfId="110"/>
    <tableColumn id="31" xr3:uid="{52A08D92-88E9-4DDB-AD47-56BE39CFC518}" name="Acknowledgement time" dataDxfId="109" dataCellStyle="Normal 28"/>
    <tableColumn id="32" xr3:uid="{C00E592D-422B-4841-B7CC-F69F1EEE9C4D}" name="Response Time" dataDxfId="108">
      <calculatedColumnFormula>(Grid_BD[[#This Row],[Work Start time on Fault]]-Grid_BD[[#This Row],[Fault Time]])*24</calculatedColumnFormula>
    </tableColumn>
    <tableColumn id="33" xr3:uid="{0584DFC5-1D6D-44AA-8211-13C8EAA86CD1}" name="Resolution Time" dataDxfId="107">
      <calculatedColumnFormula>(Grid_BD[[#This Row],[Work Completion time on fault]]-Grid_BD[[#This Row],[Fault Time]])*24</calculatedColumnFormula>
    </tableColumn>
    <tableColumn id="34" xr3:uid="{2BD0820A-8EAB-4BD7-9795-91FE3BBEF4B5}" name="Breakdown Time" dataDxfId="106">
      <calculatedColumnFormula>(Grid_BD[[#This Row],[Work Completion time on fault]]-Grid_BD[[#This Row],[Fault Time]])*24</calculatedColumnFormula>
    </tableColumn>
    <tableColumn id="35" xr3:uid="{2AC094E7-FEFB-47AD-A827-65C222503F51}" name="Action taken" dataDxfId="105"/>
    <tableColumn id="36" xr3:uid="{A467CCDD-7260-4079-BE0E-56DC1731416D}" name="Status" dataDxfId="104"/>
    <tableColumn id="37" xr3:uid="{9C30C32D-D9BE-49EC-9E36-D9737D91AF68}" name="Plant Equivalent breakdown" dataDxfId="103">
      <calculatedColumnFormula>IFERROR(Grid_BD[[#This Row],[Plant Equivalent Weightage]]*Grid_BD[[#This Row],[Resolution Time]],"")</calculatedColumnFormula>
    </tableColumn>
    <tableColumn id="38" xr3:uid="{69A58493-FC73-4F0E-8585-F251B23F9282}" name="Lost PoA(kWh/m2)" dataDxfId="102"/>
    <tableColumn id="39" xr3:uid="{58611531-5F60-4171-A088-D98CF47F3503}" name="Approximate Energy Loss (KWh)" dataDxfId="101">
      <calculatedColumnFormula>Grid_BD[[#This Row],[Lost PoA(kWh/m2)]]*Grid_BD[[#This Row],[DC Capacity Affected (kW)]]*_xlfn.XLOOKUP(Grid_BD[[#This Row],[Month Year]],'Modelling New'!$D:$D,'Modelling New'!$O:$O)/1000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71" totalsRowShown="0">
  <autoFilter ref="A3:AK1771" xr:uid="{00000000-0009-0000-0100-000002000000}"/>
  <tableColumns count="37">
    <tableColumn id="1" xr3:uid="{00000000-0010-0000-0700-000001000000}" name="Sr. No." dataDxfId="100">
      <calculatedColumnFormula>A3+1</calculatedColumnFormula>
    </tableColumn>
    <tableColumn id="2" xr3:uid="{00000000-0010-0000-0700-000002000000}" name="Financial Year" dataDxfId="99">
      <calculatedColumnFormula>YEAR(H4)+IF(MONTH(H4)&gt;=4,1,0)</calculatedColumnFormula>
    </tableColumn>
    <tableColumn id="3" xr3:uid="{00000000-0010-0000-0700-000003000000}" name="Calendar Year" dataDxfId="98">
      <calculatedColumnFormula>YEAR(H4)</calculatedColumnFormula>
    </tableColumn>
    <tableColumn id="4" xr3:uid="{00000000-0010-0000-0700-000004000000}" name="Contractual Year" dataDxfId="97"/>
    <tableColumn id="5" xr3:uid="{00000000-0010-0000-0700-000005000000}" name="Operating Year" dataDxfId="96"/>
    <tableColumn id="6" xr3:uid="{00000000-0010-0000-0700-000006000000}" name="Month Year" dataDxfId="95"/>
    <tableColumn id="7" xr3:uid="{00000000-0010-0000-0700-000007000000}" name="Days" dataDxfId="94">
      <calculatedColumnFormula>DAY(EOMONTH(TA[[#This Row],[Month Year]],0))</calculatedColumnFormula>
    </tableColumn>
    <tableColumn id="8" xr3:uid="{00000000-0010-0000-0700-000008000000}" name="Date" dataDxfId="93"/>
    <tableColumn id="36" xr3:uid="{00000000-0010-0000-0700-000024000000}" name="Sunrise Time (POA&gt;20 W/m2)" dataDxfId="92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91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90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89"/>
    <tableColumn id="10" xr3:uid="{00000000-0010-0000-0700-00000A000000}" name="Plant Equivalent Weightage" dataDxfId="88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87"/>
    <tableColumn id="26" xr3:uid="{00000000-0010-0000-0700-00001A000000}" name="Grid Number" dataDxfId="86"/>
    <tableColumn id="27" xr3:uid="{00000000-0010-0000-0700-00001B000000}" name="MSAT Number"/>
    <tableColumn id="28" xr3:uid="{00000000-0010-0000-0700-00001C000000}" name="Table Number" dataDxfId="85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84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83"/>
    <tableColumn id="18" xr3:uid="{00000000-0010-0000-0700-000012000000}" name="Work Completion time on fault" dataDxfId="82"/>
    <tableColumn id="19" xr3:uid="{00000000-0010-0000-0700-000013000000}" name="Acknowledgement time" dataDxfId="81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80">
      <calculatedColumnFormula>(TA[[#This Row],[Work Start time on Fault]]-TA[[#This Row],[Fault Time]])*24</calculatedColumnFormula>
    </tableColumn>
    <tableColumn id="21" xr3:uid="{00000000-0010-0000-0700-000015000000}" name="Resolution Time" dataDxfId="79">
      <calculatedColumnFormula>(TA[[#This Row],[Work Completion time on fault]]-TA[[#This Row],[Fault Time]])*24</calculatedColumnFormula>
    </tableColumn>
    <tableColumn id="35" xr3:uid="{00000000-0010-0000-0700-000023000000}" name="Breakdown Time" dataDxfId="78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77"/>
    <tableColumn id="24" xr3:uid="{00000000-0010-0000-0700-000018000000}" name="Approximate Energy Loss Factor (%)" dataDxfId="76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75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74"/>
    <tableColumn id="2" xr3:uid="{00000000-0010-0000-0900-000002000000}" name="Finacial Year" dataDxfId="73">
      <calculatedColumnFormula>YEAR(H3)+IF(MONTH(H3)&gt;=4,1,0)</calculatedColumnFormula>
    </tableColumn>
    <tableColumn id="3" xr3:uid="{00000000-0010-0000-0900-000003000000}" name="Calendor Year" dataDxfId="72">
      <calculatedColumnFormula>YEAR(H3)</calculatedColumnFormula>
    </tableColumn>
    <tableColumn id="4" xr3:uid="{00000000-0010-0000-0900-000004000000}" name="Contrcatual Year" dataDxfId="71"/>
    <tableColumn id="5" xr3:uid="{00000000-0010-0000-0900-000005000000}" name="Operating Year" dataDxfId="70"/>
    <tableColumn id="6" xr3:uid="{00000000-0010-0000-0900-000006000000}" name="Month Year" dataDxfId="69"/>
    <tableColumn id="7" xr3:uid="{00000000-0010-0000-0900-000007000000}" name="Days" dataDxfId="68">
      <calculatedColumnFormula>DAY(EOMONTH(F3,0))</calculatedColumnFormula>
    </tableColumn>
    <tableColumn id="8" xr3:uid="{00000000-0010-0000-0900-000008000000}" name="Date" dataDxfId="67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66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65"/>
    <tableColumn id="2" xr3:uid="{00000000-0010-0000-0A00-000002000000}" name="Finacial Year" dataDxfId="64">
      <calculatedColumnFormula>YEAR(H3)+IF(MONTH(H3)&gt;=4,1,0)</calculatedColumnFormula>
    </tableColumn>
    <tableColumn id="3" xr3:uid="{00000000-0010-0000-0A00-000003000000}" name="Calendor Year" dataDxfId="63">
      <calculatedColumnFormula>YEAR(H3)</calculatedColumnFormula>
    </tableColumn>
    <tableColumn id="4" xr3:uid="{00000000-0010-0000-0A00-000004000000}" name="Contrcatual Year" dataDxfId="62"/>
    <tableColumn id="5" xr3:uid="{00000000-0010-0000-0A00-000005000000}" name="Operating Year" dataDxfId="61"/>
    <tableColumn id="6" xr3:uid="{00000000-0010-0000-0A00-000006000000}" name="Month Year" dataDxfId="60"/>
    <tableColumn id="7" xr3:uid="{00000000-0010-0000-0A00-000007000000}" name="Days" dataDxfId="59"/>
    <tableColumn id="8" xr3:uid="{00000000-0010-0000-0A00-000008000000}" name="Date" dataDxfId="58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57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56"/>
    <tableColumn id="2" xr3:uid="{00000000-0010-0000-0B00-000002000000}" name="Finacial Year" dataDxfId="55">
      <calculatedColumnFormula>YEAR(H2)+IF(MONTH(H2)&gt;=4,1,0)</calculatedColumnFormula>
    </tableColumn>
    <tableColumn id="3" xr3:uid="{00000000-0010-0000-0B00-000003000000}" name="Calendor Year" dataDxfId="54">
      <calculatedColumnFormula>YEAR(H2)</calculatedColumnFormula>
    </tableColumn>
    <tableColumn id="4" xr3:uid="{00000000-0010-0000-0B00-000004000000}" name="Contrcatual Year" dataDxfId="53"/>
    <tableColumn id="5" xr3:uid="{00000000-0010-0000-0B00-000005000000}" name="Operating Year" dataDxfId="52"/>
    <tableColumn id="6" xr3:uid="{00000000-0010-0000-0B00-000006000000}" name="Month Year" dataDxfId="51"/>
    <tableColumn id="7" xr3:uid="{00000000-0010-0000-0B00-000007000000}" name="Days" dataDxfId="50">
      <calculatedColumnFormula>DAY(EOMONTH(F2,0))</calculatedColumnFormula>
    </tableColumn>
    <tableColumn id="8" xr3:uid="{00000000-0010-0000-0B00-000008000000}" name="Date" dataDxfId="49"/>
    <tableColumn id="9" xr3:uid="{00000000-0010-0000-0B00-000009000000}" name="Item Consumed"/>
    <tableColumn id="10" xr3:uid="{00000000-0010-0000-0B00-00000A000000}" name="Qty Consumed" dataDxfId="48"/>
    <tableColumn id="25" xr3:uid="{00000000-0010-0000-0B00-000019000000}" name="Place of Consumption" dataDxfId="47"/>
    <tableColumn id="26" xr3:uid="{00000000-0010-0000-0B00-00001A000000}" name="Ownership of Spare/Consumable" dataDxfId="46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O49" totalsRowShown="0" headerRowDxfId="45" dataDxfId="43" headerRowBorderDxfId="44" tableBorderDxfId="42" totalsRowBorderDxfId="41">
  <tableColumns count="41">
    <tableColumn id="1" xr3:uid="{519601F4-0817-4850-B3DE-427D69D523E2}" name="Sr. No." dataDxfId="40" dataCellStyle="Comma 42"/>
    <tableColumn id="2" xr3:uid="{771B9661-4C9D-40B6-8E06-AD08CD7E759C}" name="Month Name" dataDxfId="39" dataCellStyle="Comma 42"/>
    <tableColumn id="3" xr3:uid="{48D61BD0-C2AB-4AC1-AC25-D30DBB0463F3}" name="Month Number" dataDxfId="38" dataCellStyle="Comma 42"/>
    <tableColumn id="4" xr3:uid="{A9C2BB71-B06D-41B5-8B26-B5E11B812F62}" name="Month" dataDxfId="37" dataCellStyle="Comma 42"/>
    <tableColumn id="5" xr3:uid="{78B77572-99E8-4206-8F9D-7EBDA8CB7B5D}" name="CY" dataDxfId="36">
      <calculatedColumnFormula>YEAR(D2)</calculatedColumnFormula>
    </tableColumn>
    <tableColumn id="6" xr3:uid="{17E8F228-05E1-4902-87E6-C0B979BADC9B}" name="FY" dataDxfId="35"/>
    <tableColumn id="7" xr3:uid="{30D9482F-DBB2-4947-A32A-78CA54775D0E}" name="No. of Days in Month" dataDxfId="34">
      <calculatedColumnFormula>DAY(EOMONTH(D2,0))</calculatedColumnFormula>
    </tableColumn>
    <tableColumn id="8" xr3:uid="{6209AB6C-36D0-4062-A53B-400D21BB5EA4}" name="GHI" dataDxfId="33"/>
    <tableColumn id="9" xr3:uid="{3938B8E6-9EBA-4F38-A34D-E7176413222C}" name="POA" dataDxfId="32"/>
    <tableColumn id="10" xr3:uid="{5A9BD555-1206-4F6E-97A6-C5706067BA4B}" name="WS" dataDxfId="31"/>
    <tableColumn id="11" xr3:uid="{A54B8C24-3E67-4634-9371-B68E0F6A0EB0}" name="Tamb" dataDxfId="30"/>
    <tableColumn id="12" xr3:uid="{B2976571-E887-4BDB-9F07-90ACE78E974D}" name="Tmod" dataDxfId="29"/>
    <tableColumn id="13" xr3:uid="{27F0C410-148B-4480-B5FD-5EC21B38E64B}" name="Egrid (MWh)" dataDxfId="28"/>
    <tableColumn id="14" xr3:uid="{815B0438-D2D0-43F2-93B3-1C2BBD15FE0F}" name="Bugt_Capacity" dataDxfId="27"/>
    <tableColumn id="15" xr3:uid="{507F2B89-3A13-42DE-BCD2-21BA8191EA04}" name="PR" dataDxfId="26">
      <calculatedColumnFormula>IFERROR(M2/I2/N2,"")</calculatedColumnFormula>
    </tableColumn>
    <tableColumn id="16" xr3:uid="{898FD5BD-AE72-47E8-AD95-FD5ADAC128CB}" name="Daily POA" dataDxfId="25">
      <calculatedColumnFormula>IFERROR(I2/G2,"")</calculatedColumnFormula>
    </tableColumn>
    <tableColumn id="17" xr3:uid="{FAACDD32-721B-4DEB-8192-4B81EBDA6155}" name="Days Operated" dataDxfId="24">
      <calculatedColumnFormula>COUNTIFS('Daily KPI'!$D:$D,D2,'Daily KPI'!$K:$K,"&gt;0")</calculatedColumnFormula>
    </tableColumn>
    <tableColumn id="18" xr3:uid="{13523791-F3D6-4F86-9E55-D00E291BB085}" name="MTD POA" dataDxfId="23">
      <calculatedColumnFormula>I2/G2*Q2</calculatedColumnFormula>
    </tableColumn>
    <tableColumn id="27" xr3:uid="{10F8789D-36B2-4223-B24E-3658956B9BC1}" name="YTD POA" dataDxfId="22">
      <calculatedColumnFormula>SUMIF($F$2:F2,F2,$R$2:R2)</calculatedColumnFormula>
    </tableColumn>
    <tableColumn id="19" xr3:uid="{33C5EDA0-C2D6-4748-AD41-3B32A9BDCCBA}" name="Daily Energy (MWh)" dataDxfId="21">
      <calculatedColumnFormula>M2/G2</calculatedColumnFormula>
    </tableColumn>
    <tableColumn id="20" xr3:uid="{504035A8-EFAA-4D15-B267-C372BE532500}" name="MTD Energy (MWh)" dataDxfId="20">
      <calculatedColumnFormula>M2/G2*Q2</calculatedColumnFormula>
    </tableColumn>
    <tableColumn id="28" xr3:uid="{CCBA381E-0515-4C6A-A6BF-A5FA535BB06D}" name="YTD Energy (MWh)" dataDxfId="19">
      <calculatedColumnFormula>SUMIF($F$2:F2,F2,$U$2:U2)</calculatedColumnFormula>
    </tableColumn>
    <tableColumn id="38" xr3:uid="{3E360F66-53FE-4348-9C87-D6EDD604800F}" name="Bugt CUF (%)" dataDxfId="18" dataCellStyle="Percent">
      <calculatedColumnFormula>IFERROR(T2/(24*N2),"")</calculatedColumnFormula>
    </tableColumn>
    <tableColumn id="37" xr3:uid="{C20DC1FC-4587-4483-A6C5-7491CBE3C5DB}" name="Bugt CUF (%) MTD" dataDxfId="17" dataCellStyle="Percent">
      <calculatedColumnFormula>IFERROR(U2/(24*N2*Q2),"")</calculatedColumnFormula>
    </tableColumn>
    <tableColumn id="36" xr3:uid="{BCDCF07C-D284-4F45-8D87-F9AC3E03A6AE}" name="Bugt CUF (%)YTD" dataDxfId="16" dataCellStyle="Percent">
      <calculatedColumnFormula>IFERROR(V2/(24*N2*SUMIFS($Q:$Q,$F:$F,$F2,$D:$D,"&lt;="&amp;D2)),"")</calculatedColumnFormula>
    </tableColumn>
    <tableColumn id="21" xr3:uid="{889338DC-1524-4F19-9E73-FB6AB56BA8CB}" name="Ave. Cap MTD" dataDxfId="15">
      <calculatedColumnFormula>IFERROR(AVERAGEIF('Daily KPI'!D:D,Table14[[#This Row],[Month]],'Daily KPI'!AB:AB),"")</calculatedColumnFormula>
    </tableColumn>
    <tableColumn id="29" xr3:uid="{0FADE8CD-69CA-4980-A78A-E940E80BFABC}" name="Ave. Cap YTD" dataDxfId="14">
      <calculatedColumnFormula>IFERROR(AVERAGEIF($F$2:F2,F2,$Z$2:Z2),"")</calculatedColumnFormula>
    </tableColumn>
    <tableColumn id="22" xr3:uid="{3A3FD197-2840-4152-8E33-24FEAFE3B0E4}" name="CC Energy MTD" dataDxfId="13"/>
    <tableColumn id="31" xr3:uid="{D524AF58-90B3-4838-8578-A7AEF34CFE31}" name="WS MTD" dataDxfId="12"/>
    <tableColumn id="23" xr3:uid="{F3CEE7DA-8F63-40A3-A3E8-A57AEBB3BD8B}" name="WS YTD" dataDxfId="11"/>
    <tableColumn id="24" xr3:uid="{420D2DAB-8BC8-4512-ACD5-31C09F1B34FB}" name="Bugt PA" dataDxfId="10"/>
    <tableColumn id="25" xr3:uid="{AE50C7DF-DF95-4F9D-9FE8-B5F3F4B89EB2}" name="Bugt EGA" dataDxfId="9"/>
    <tableColumn id="35" xr3:uid="{3AF8A556-9EE1-4541-BFF4-A5C27E89C4EB}" name="Bugt TA" dataDxfId="8" dataCellStyle="Percent"/>
    <tableColumn id="26" xr3:uid="{4CEFA49B-5E49-4D31-97FC-FB781C400584}" name="Bugt MA" dataDxfId="7" dataCellStyle="Percent"/>
    <tableColumn id="30" xr3:uid="{F85216B0-9212-40B1-8EAB-E266A112EFD8}" name="Bugt IGA" dataDxfId="6" dataCellStyle="Percent"/>
    <tableColumn id="32" xr3:uid="{F730B51D-175D-4156-B1E7-19A02ED8313E}" name="Corelation" dataDxfId="5" dataCellStyle="Percent"/>
    <tableColumn id="33" xr3:uid="{7168F626-14C3-4E07-B033-D9AF59BCCFF2}" name="Bugt Line loss" dataDxfId="4" dataCellStyle="Percent"/>
    <tableColumn id="34" xr3:uid="{B46C9A7A-60D5-410C-B261-68A3278BBC57}" name="Bugt Reactive Power" dataDxfId="3" dataCellStyle="Percent"/>
    <tableColumn id="39" xr3:uid="{97687879-2D49-4F1D-88CA-3B2A27C33239}" name="Bugt Capacity" dataDxfId="2" dataCellStyle="Percent"/>
    <tableColumn id="40" xr3:uid="{63A7CA10-91F3-4301-8435-66B0545AB84A}" name="CC*Bugt" dataDxfId="1" dataCellStyle="Percent"/>
    <tableColumn id="41" xr3:uid="{FBCFDB55-663A-4173-B88A-DEDB6B8D349A}" name="Bugt AC Capacity (MW)" dataDxfId="0" dataCellStyle="Comma 4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B4" sqref="B4"/>
    </sheetView>
  </sheetViews>
  <sheetFormatPr defaultColWidth="8.7265625" defaultRowHeight="14.5"/>
  <cols>
    <col min="1" max="1" width="14.26953125" style="77" customWidth="1"/>
    <col min="2" max="2" width="17.7265625" style="77" customWidth="1"/>
    <col min="3" max="3" width="13.7265625" style="77" customWidth="1"/>
    <col min="4" max="4" width="13.7265625" style="78" customWidth="1"/>
    <col min="5" max="5" width="13.1796875" style="77" customWidth="1"/>
    <col min="6" max="6" width="46" style="77" customWidth="1"/>
    <col min="7" max="7" width="9.54296875" style="77" bestFit="1" customWidth="1"/>
    <col min="8" max="8" width="5.7265625" style="77" customWidth="1"/>
    <col min="9" max="16384" width="8.7265625" style="77"/>
  </cols>
  <sheetData>
    <row r="1" spans="1:7" ht="15.5">
      <c r="A1" s="267" t="s">
        <v>543</v>
      </c>
      <c r="B1" s="268"/>
      <c r="C1" s="268"/>
      <c r="D1" s="268"/>
      <c r="E1" s="268"/>
      <c r="F1" s="269"/>
    </row>
    <row r="2" spans="1:7">
      <c r="A2" s="79" t="s">
        <v>0</v>
      </c>
      <c r="B2" s="170">
        <v>45839</v>
      </c>
      <c r="C2" s="152"/>
      <c r="D2" s="152"/>
      <c r="E2" s="152"/>
      <c r="F2" s="153"/>
    </row>
    <row r="3" spans="1:7">
      <c r="A3" s="79" t="s">
        <v>1</v>
      </c>
      <c r="B3" s="171">
        <v>45869</v>
      </c>
      <c r="C3" s="154"/>
      <c r="D3" s="154"/>
      <c r="E3" s="154"/>
      <c r="F3" s="155"/>
    </row>
    <row r="4" spans="1:7">
      <c r="A4" s="79" t="s">
        <v>2</v>
      </c>
      <c r="B4" s="158">
        <f>YEAR(B3)+IF(MONTH(B3)&gt;=4,1,0)</f>
        <v>2026</v>
      </c>
      <c r="C4" s="156"/>
      <c r="D4" s="156"/>
      <c r="E4" s="156"/>
      <c r="F4" s="157"/>
      <c r="G4" s="161"/>
    </row>
    <row r="5" spans="1:7">
      <c r="A5" s="79" t="s">
        <v>3</v>
      </c>
      <c r="B5" s="115">
        <v>45748</v>
      </c>
      <c r="C5" s="150"/>
      <c r="D5" s="150"/>
      <c r="E5" s="150"/>
      <c r="F5" s="151"/>
    </row>
    <row r="6" spans="1:7" ht="15" customHeight="1" thickBot="1">
      <c r="A6" s="80" t="s">
        <v>4</v>
      </c>
      <c r="B6" s="115">
        <v>46112</v>
      </c>
      <c r="C6" s="159"/>
      <c r="D6" s="159"/>
      <c r="E6" s="159"/>
      <c r="F6" s="160"/>
    </row>
    <row r="7" spans="1:7" ht="2.25" hidden="1" customHeight="1" thickBot="1">
      <c r="A7" s="81"/>
      <c r="B7" s="82"/>
      <c r="C7" s="82"/>
      <c r="D7" s="83"/>
      <c r="E7" s="82"/>
      <c r="F7" s="112">
        <v>45747</v>
      </c>
    </row>
    <row r="8" spans="1:7" ht="15" thickBot="1">
      <c r="A8" s="84" t="s">
        <v>5</v>
      </c>
      <c r="B8" s="85" t="s">
        <v>6</v>
      </c>
      <c r="C8" s="85" t="s">
        <v>7</v>
      </c>
      <c r="D8" s="86" t="s">
        <v>8</v>
      </c>
      <c r="E8" s="85" t="s">
        <v>9</v>
      </c>
      <c r="F8" s="87" t="s">
        <v>10</v>
      </c>
    </row>
    <row r="9" spans="1:7">
      <c r="A9" s="270">
        <v>1</v>
      </c>
      <c r="B9" s="88" t="s">
        <v>11</v>
      </c>
      <c r="C9" s="89">
        <f>_xlfn.XLOOKUP($B$3,'Daily KPI'!$A:$A,'Daily KPI'!AD:AD)/1000</f>
        <v>40.702654142805535</v>
      </c>
      <c r="D9" s="90">
        <f>_xlfn.XLOOKUP($B$3,'Daily KPI'!$A:$A,'Daily KPI'!AA:AA)/1000</f>
        <v>45.225500000013085</v>
      </c>
      <c r="E9" s="91">
        <f>-(C9-D9)/C9</f>
        <v>0.11111918749423845</v>
      </c>
      <c r="F9" s="172"/>
    </row>
    <row r="10" spans="1:7">
      <c r="A10" s="271"/>
      <c r="B10" s="92" t="s">
        <v>12</v>
      </c>
      <c r="C10" s="93">
        <f>_xlfn.XLOOKUP($B$2,'Modelling New'!$D:$D,'Modelling New'!U:U)</f>
        <v>1261.7822784269715</v>
      </c>
      <c r="D10" s="94">
        <f>'Monthly KPI'!$F$4</f>
        <v>1174.7493000000175</v>
      </c>
      <c r="E10" s="95">
        <f t="shared" ref="E10:E29" si="0">-(C10-D10)/C10</f>
        <v>-6.8976225070664032E-2</v>
      </c>
      <c r="F10" s="173"/>
    </row>
    <row r="11" spans="1:7" ht="15" thickBot="1">
      <c r="A11" s="272"/>
      <c r="B11" s="96" t="s">
        <v>13</v>
      </c>
      <c r="C11" s="93">
        <f>_xlfn.XLOOKUP($B$2,'Modelling New'!$D:$D,'Modelling New'!V:V)</f>
        <v>6619.5431833120601</v>
      </c>
      <c r="D11" s="97">
        <f>'Annual KPI'!$F$4</f>
        <v>5481.1321999999955</v>
      </c>
      <c r="E11" s="98">
        <f t="shared" si="0"/>
        <v>-0.1719772727190618</v>
      </c>
      <c r="F11" s="174"/>
    </row>
    <row r="12" spans="1:7">
      <c r="A12" s="270">
        <v>2</v>
      </c>
      <c r="B12" s="88" t="s">
        <v>14</v>
      </c>
      <c r="C12" s="99">
        <f>_xlfn.XLOOKUP($B$3,'Daily KPI'!$A:$A,'Daily KPI'!AF:AF)</f>
        <v>0.14470511285127108</v>
      </c>
      <c r="D12" s="100">
        <f>_xlfn.XLOOKUP($B$3,'Daily KPI'!$A:$A,'Daily KPI'!$W:$W)</f>
        <v>0.16078462741756638</v>
      </c>
      <c r="E12" s="91">
        <f t="shared" si="0"/>
        <v>0.11111918749423831</v>
      </c>
      <c r="F12" s="175"/>
    </row>
    <row r="13" spans="1:7">
      <c r="A13" s="271"/>
      <c r="B13" s="92" t="s">
        <v>15</v>
      </c>
      <c r="C13" s="101">
        <f>'Monthly KPI'!$I$4</f>
        <v>0.14470511285127108</v>
      </c>
      <c r="D13" s="102">
        <f>'Monthly KPI'!$J$4</f>
        <v>0.13472390041836596</v>
      </c>
      <c r="E13" s="95">
        <f t="shared" si="0"/>
        <v>-6.8976225070664074E-2</v>
      </c>
      <c r="F13" s="173"/>
    </row>
    <row r="14" spans="1:7" ht="15" thickBot="1">
      <c r="A14" s="272"/>
      <c r="B14" s="96" t="s">
        <v>16</v>
      </c>
      <c r="C14" s="101">
        <f>'Annual KPI'!$I$4</f>
        <v>0.1928987154539453</v>
      </c>
      <c r="D14" s="104">
        <f>'Annual KPI'!$J$4</f>
        <v>0.15972452045916544</v>
      </c>
      <c r="E14" s="98">
        <f t="shared" si="0"/>
        <v>-0.17197727271906185</v>
      </c>
      <c r="F14" s="174"/>
    </row>
    <row r="15" spans="1:7">
      <c r="A15" s="270">
        <v>3</v>
      </c>
      <c r="B15" s="88" t="s">
        <v>17</v>
      </c>
      <c r="C15" s="99">
        <f>_xlfn.XLOOKUP($B$3,'Daily KPI'!$A:$A,'Daily KPI'!AE:AE)</f>
        <v>0.75058845994317613</v>
      </c>
      <c r="D15" s="100">
        <f>_xlfn.XLOOKUP($B$3,'Daily KPI'!$A:$A,'Daily KPI'!U:U)</f>
        <v>0.75133003466152526</v>
      </c>
      <c r="E15" s="91">
        <f t="shared" si="0"/>
        <v>9.8799110021657735E-4</v>
      </c>
      <c r="F15" s="172"/>
    </row>
    <row r="16" spans="1:7">
      <c r="A16" s="271"/>
      <c r="B16" s="92" t="s">
        <v>18</v>
      </c>
      <c r="C16" s="101">
        <f>AVERAGEIF('Daily KPI'!$D:$D,$B$2,'Daily KPI'!AE:AE)</f>
        <v>0.75058845994317636</v>
      </c>
      <c r="D16" s="102">
        <f>'Monthly KPI'!$H$4</f>
        <v>0.75485521428205637</v>
      </c>
      <c r="E16" s="95">
        <f t="shared" si="0"/>
        <v>5.6845456153203251E-3</v>
      </c>
      <c r="F16" s="173"/>
    </row>
    <row r="17" spans="1:6">
      <c r="A17" s="272"/>
      <c r="B17" s="96" t="s">
        <v>19</v>
      </c>
      <c r="C17" s="103">
        <f>AVERAGEIFS('Daily KPI'!$AE:$AE,'Daily KPI'!$A:$A,"&gt;="&amp;$B$5,'Daily KPI'!$A:$A,"&lt;="&amp;$B$3)</f>
        <v>0.72846718618151463</v>
      </c>
      <c r="D17" s="104">
        <f>'Annual KPI'!$H$4</f>
        <v>0.69272735014780595</v>
      </c>
      <c r="E17" s="98">
        <f t="shared" si="0"/>
        <v>-4.9061696548131487E-2</v>
      </c>
      <c r="F17" s="174"/>
    </row>
    <row r="18" spans="1:6">
      <c r="A18" s="270">
        <v>4</v>
      </c>
      <c r="B18" s="88" t="s">
        <v>20</v>
      </c>
      <c r="C18" s="162">
        <f>_xlfn.XLOOKUP($B$3,'Daily KPI'!$A:$A,'Daily KPI'!AC:AC)</f>
        <v>4.6269332580645148</v>
      </c>
      <c r="D18" s="105">
        <f>_xlfn.XLOOKUP($B$3,'Daily KPI'!$A:$A,'Daily KPI'!I:I)</f>
        <v>5.1360000000000001</v>
      </c>
      <c r="E18" s="91">
        <f t="shared" si="0"/>
        <v>0.11002249514799187</v>
      </c>
      <c r="F18" s="172"/>
    </row>
    <row r="19" spans="1:6">
      <c r="A19" s="271"/>
      <c r="B19" s="92" t="s">
        <v>21</v>
      </c>
      <c r="C19" s="163">
        <f>_xlfn.XLOOKUP($B$2,'Modelling New'!$D:$D,'Modelling New'!R:R)</f>
        <v>143.43493099999995</v>
      </c>
      <c r="D19" s="164">
        <f>'Monthly KPI'!$D$4</f>
        <v>132.78649999999999</v>
      </c>
      <c r="E19" s="95">
        <f t="shared" si="0"/>
        <v>-7.4238757084910956E-2</v>
      </c>
      <c r="F19" s="176"/>
    </row>
    <row r="20" spans="1:6">
      <c r="A20" s="272"/>
      <c r="B20" s="96" t="s">
        <v>22</v>
      </c>
      <c r="C20" s="165">
        <f>_xlfn.XLOOKUP($B$2,'Modelling New'!$D:$D,'Modelling New'!S:S)</f>
        <v>777.46793699999989</v>
      </c>
      <c r="D20" s="166">
        <f>'Annual KPI'!$D$4</f>
        <v>675.1189999999998</v>
      </c>
      <c r="E20" s="98">
        <f t="shared" si="0"/>
        <v>-0.13164393298961227</v>
      </c>
      <c r="F20" s="177"/>
    </row>
    <row r="21" spans="1:6">
      <c r="A21" s="270">
        <v>5</v>
      </c>
      <c r="B21" s="88" t="s">
        <v>23</v>
      </c>
      <c r="C21" s="106">
        <f>_xlfn.XLOOKUP($B$3,'Daily KPI'!$A:$A,'Daily KPI'!AG:AG)</f>
        <v>0.995</v>
      </c>
      <c r="D21" s="100">
        <f>_xlfn.XLOOKUP($B$3,'Daily KPI'!$A:$A,'Daily KPI'!O:O)</f>
        <v>0.99182010512657448</v>
      </c>
      <c r="E21" s="91">
        <f t="shared" si="0"/>
        <v>-3.1958742446487587E-3</v>
      </c>
      <c r="F21" s="178"/>
    </row>
    <row r="22" spans="1:6">
      <c r="A22" s="271"/>
      <c r="B22" s="92" t="s">
        <v>24</v>
      </c>
      <c r="C22" s="107">
        <f>_xlfn.XLOOKUP($B$2,'Modelling New'!$D:$D,'Modelling New'!AE:AE)</f>
        <v>0.995</v>
      </c>
      <c r="D22" s="102">
        <f>'Monthly KPI'!$N$4</f>
        <v>0.95041947485993727</v>
      </c>
      <c r="E22" s="95">
        <f t="shared" si="0"/>
        <v>-4.4804547879460019E-2</v>
      </c>
      <c r="F22" s="176"/>
    </row>
    <row r="23" spans="1:6" ht="15" thickBot="1">
      <c r="A23" s="272"/>
      <c r="B23" s="96" t="s">
        <v>25</v>
      </c>
      <c r="C23" s="108">
        <f>_xlfn.XLOOKUP($B$2,'Modelling New'!$D:$D,'Modelling New'!AE:AE)</f>
        <v>0.995</v>
      </c>
      <c r="D23" s="104">
        <f>'Annual KPI'!$N$4</f>
        <v>0.91616880104388476</v>
      </c>
      <c r="E23" s="98">
        <f t="shared" si="0"/>
        <v>-7.9227335634286661E-2</v>
      </c>
      <c r="F23" s="174"/>
    </row>
    <row r="24" spans="1:6">
      <c r="A24" s="270">
        <v>6</v>
      </c>
      <c r="B24" s="88" t="s">
        <v>26</v>
      </c>
      <c r="C24" s="100">
        <f>_xlfn.XLOOKUP($B$3,'Daily KPI'!$A:$A,'Daily KPI'!AH:AH)</f>
        <v>0.98550000000000004</v>
      </c>
      <c r="D24" s="100">
        <f>_xlfn.XLOOKUP($B$3,'Daily KPI'!$A:$A,'Daily KPI'!R:R)</f>
        <v>1</v>
      </c>
      <c r="E24" s="91">
        <f t="shared" si="0"/>
        <v>1.4713343480466724E-2</v>
      </c>
      <c r="F24" s="178"/>
    </row>
    <row r="25" spans="1:6">
      <c r="A25" s="271"/>
      <c r="B25" s="92" t="s">
        <v>27</v>
      </c>
      <c r="C25" s="102">
        <f>_xlfn.XLOOKUP($B$2,'Modelling New'!$D:$D,'Modelling New'!AF:AF)</f>
        <v>0.98550000000000004</v>
      </c>
      <c r="D25" s="102">
        <f>'Monthly KPI'!$L$4</f>
        <v>0.98564935200618686</v>
      </c>
      <c r="E25" s="95">
        <f t="shared" si="0"/>
        <v>1.5154947355334379E-4</v>
      </c>
      <c r="F25" s="173"/>
    </row>
    <row r="26" spans="1:6" ht="15" thickBot="1">
      <c r="A26" s="272"/>
      <c r="B26" s="96" t="s">
        <v>28</v>
      </c>
      <c r="C26" s="104">
        <f>_xlfn.XLOOKUP($B$2,'Modelling New'!$D:$D,'Modelling New'!AF:AF)</f>
        <v>0.98550000000000004</v>
      </c>
      <c r="D26" s="104">
        <f>'Annual KPI'!$L$4</f>
        <v>0.96130575380585692</v>
      </c>
      <c r="E26" s="98">
        <f t="shared" si="0"/>
        <v>-2.4550224448648524E-2</v>
      </c>
      <c r="F26" s="174"/>
    </row>
    <row r="27" spans="1:6">
      <c r="A27" s="273">
        <v>7</v>
      </c>
      <c r="B27" s="109" t="s">
        <v>29</v>
      </c>
      <c r="C27" s="110">
        <f>_xlfn.XLOOKUP($B$2,'Modelling New'!$D:$D,'Modelling New'!AG:AG)</f>
        <v>0.995</v>
      </c>
      <c r="D27" s="100">
        <f>_xlfn.XLOOKUP($B$3,'Daily KPI'!$A:$A,'Daily KPI'!T:T)</f>
        <v>1.0118170472404548</v>
      </c>
      <c r="E27" s="111">
        <f t="shared" si="0"/>
        <v>1.6901555015532515E-2</v>
      </c>
      <c r="F27" s="179"/>
    </row>
    <row r="28" spans="1:6">
      <c r="A28" s="271"/>
      <c r="B28" s="92" t="s">
        <v>30</v>
      </c>
      <c r="C28" s="102">
        <f>_xlfn.XLOOKUP($B$2,'Modelling New'!$D:$D,'Modelling New'!AG:AG)</f>
        <v>0.995</v>
      </c>
      <c r="D28" s="102">
        <f>'Monthly KPI'!$P$4</f>
        <v>0.98762454581778047</v>
      </c>
      <c r="E28" s="95">
        <f t="shared" si="0"/>
        <v>-7.4125167660497697E-3</v>
      </c>
      <c r="F28" s="173"/>
    </row>
    <row r="29" spans="1:6" ht="15" thickBot="1">
      <c r="A29" s="272"/>
      <c r="B29" s="96" t="s">
        <v>31</v>
      </c>
      <c r="C29" s="104">
        <f>_xlfn.XLOOKUP($B$2,'Modelling New'!$D:$D,'Modelling New'!AG:AG)</f>
        <v>0.995</v>
      </c>
      <c r="D29" s="104">
        <f>'Annual KPI'!$P$4</f>
        <v>0.98057790665900346</v>
      </c>
      <c r="E29" s="98">
        <f t="shared" si="0"/>
        <v>-1.4494566171855813E-2</v>
      </c>
      <c r="F29" s="174"/>
    </row>
  </sheetData>
  <sheetProtection algorithmName="SHA-512" hashValue="7KuRCIsjCYkgnVoAUGrEvR1AM224ua0LfLqEK5HULqqZQtzIiPGvNd2y+zEwVqMGVpHhIIh5T9RaOvN6BEgdYQ==" saltValue="vL55RJJronzcn5EEe2ViDA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5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796875" defaultRowHeight="14.5"/>
  <cols>
    <col min="1" max="1" width="9.1796875" style="70"/>
    <col min="2" max="2" width="18.81640625" style="70" customWidth="1"/>
    <col min="3" max="3" width="10.26953125" style="70" customWidth="1"/>
    <col min="4" max="5" width="9.1796875" style="70"/>
    <col min="6" max="6" width="12.7265625" style="70" customWidth="1"/>
    <col min="7" max="16384" width="9.1796875" style="70"/>
  </cols>
  <sheetData>
    <row r="4" spans="2:6">
      <c r="B4" s="70" t="s">
        <v>32</v>
      </c>
    </row>
    <row r="6" spans="2:6">
      <c r="B6" s="71" t="s">
        <v>33</v>
      </c>
      <c r="C6" s="71" t="s">
        <v>34</v>
      </c>
      <c r="D6" s="71" t="s">
        <v>7</v>
      </c>
      <c r="E6" s="71" t="s">
        <v>35</v>
      </c>
      <c r="F6" s="71" t="s">
        <v>36</v>
      </c>
    </row>
    <row r="7" spans="2:6">
      <c r="B7" s="71" t="s">
        <v>37</v>
      </c>
      <c r="C7" s="72">
        <f>'Daily Dashboard'!B3</f>
        <v>45869</v>
      </c>
      <c r="D7" s="73">
        <f>'Daily Dashboard'!C9</f>
        <v>40.702654142805535</v>
      </c>
      <c r="E7" s="73">
        <f>'Daily Dashboard'!D9</f>
        <v>45.225500000013085</v>
      </c>
      <c r="F7" s="73">
        <f>D7-E7</f>
        <v>-4.5228458572075496</v>
      </c>
    </row>
    <row r="8" spans="2:6">
      <c r="B8" s="71" t="s">
        <v>38</v>
      </c>
      <c r="C8" s="72">
        <f t="shared" ref="C8:C30" si="0">$C$7</f>
        <v>45869</v>
      </c>
      <c r="D8" s="71">
        <v>0</v>
      </c>
      <c r="E8" s="71">
        <v>0</v>
      </c>
      <c r="F8" s="71">
        <v>0</v>
      </c>
    </row>
    <row r="9" spans="2:6">
      <c r="B9" s="71" t="s">
        <v>39</v>
      </c>
      <c r="C9" s="72">
        <f t="shared" si="0"/>
        <v>45869</v>
      </c>
      <c r="D9" s="71">
        <v>0</v>
      </c>
      <c r="E9" s="71">
        <v>0</v>
      </c>
      <c r="F9" s="71">
        <v>0</v>
      </c>
    </row>
    <row r="10" spans="2:6">
      <c r="B10" s="71" t="s">
        <v>40</v>
      </c>
      <c r="C10" s="72">
        <f t="shared" si="0"/>
        <v>45869</v>
      </c>
      <c r="D10" s="71">
        <v>0</v>
      </c>
      <c r="E10" s="71">
        <v>0</v>
      </c>
      <c r="F10" s="71">
        <v>0</v>
      </c>
    </row>
    <row r="11" spans="2:6">
      <c r="B11" s="71" t="s">
        <v>41</v>
      </c>
      <c r="C11" s="72">
        <f t="shared" si="0"/>
        <v>45869</v>
      </c>
      <c r="D11" s="71">
        <v>0</v>
      </c>
      <c r="E11" s="71">
        <v>0</v>
      </c>
      <c r="F11" s="71">
        <v>0</v>
      </c>
    </row>
    <row r="12" spans="2:6">
      <c r="B12" s="71" t="s">
        <v>42</v>
      </c>
      <c r="C12" s="72">
        <f t="shared" si="0"/>
        <v>45869</v>
      </c>
      <c r="D12" s="71">
        <v>0</v>
      </c>
      <c r="E12" s="71">
        <v>0</v>
      </c>
      <c r="F12" s="71">
        <v>0</v>
      </c>
    </row>
    <row r="13" spans="2:6">
      <c r="B13" s="71" t="s">
        <v>43</v>
      </c>
      <c r="C13" s="72">
        <f t="shared" si="0"/>
        <v>45869</v>
      </c>
      <c r="D13" s="71">
        <v>0</v>
      </c>
      <c r="E13" s="71">
        <v>0</v>
      </c>
      <c r="F13" s="71">
        <v>0</v>
      </c>
    </row>
    <row r="14" spans="2:6">
      <c r="B14" s="71" t="s">
        <v>44</v>
      </c>
      <c r="C14" s="72">
        <f t="shared" si="0"/>
        <v>45869</v>
      </c>
      <c r="D14" s="71">
        <v>0</v>
      </c>
      <c r="E14" s="71">
        <v>0</v>
      </c>
      <c r="F14" s="71">
        <v>0</v>
      </c>
    </row>
    <row r="15" spans="2:6">
      <c r="B15" s="71" t="s">
        <v>45</v>
      </c>
      <c r="C15" s="72">
        <f t="shared" si="0"/>
        <v>45869</v>
      </c>
      <c r="D15" s="71">
        <v>0</v>
      </c>
      <c r="E15" s="71">
        <v>0</v>
      </c>
      <c r="F15" s="71">
        <v>0</v>
      </c>
    </row>
    <row r="16" spans="2:6">
      <c r="B16" s="71" t="s">
        <v>46</v>
      </c>
      <c r="C16" s="72">
        <f t="shared" si="0"/>
        <v>45869</v>
      </c>
      <c r="D16" s="71">
        <v>0</v>
      </c>
      <c r="E16" s="71">
        <v>0</v>
      </c>
      <c r="F16" s="71">
        <v>0</v>
      </c>
    </row>
    <row r="17" spans="2:7">
      <c r="B17" s="71" t="s">
        <v>47</v>
      </c>
      <c r="C17" s="72">
        <f t="shared" si="0"/>
        <v>45869</v>
      </c>
      <c r="D17" s="71">
        <v>0</v>
      </c>
      <c r="E17" s="71">
        <v>0</v>
      </c>
      <c r="F17" s="71">
        <v>0</v>
      </c>
    </row>
    <row r="18" spans="2:7">
      <c r="B18" s="71" t="s">
        <v>48</v>
      </c>
      <c r="C18" s="72">
        <f t="shared" si="0"/>
        <v>45869</v>
      </c>
      <c r="D18" s="71">
        <v>0</v>
      </c>
      <c r="E18" s="71">
        <v>0</v>
      </c>
      <c r="F18" s="71">
        <v>0</v>
      </c>
    </row>
    <row r="19" spans="2:7">
      <c r="B19" s="71" t="s">
        <v>49</v>
      </c>
      <c r="C19" s="72">
        <f t="shared" si="0"/>
        <v>45869</v>
      </c>
      <c r="D19" s="71">
        <v>0</v>
      </c>
      <c r="E19" s="71">
        <v>0</v>
      </c>
      <c r="F19" s="71">
        <v>0</v>
      </c>
    </row>
    <row r="20" spans="2:7">
      <c r="B20" s="71" t="s">
        <v>50</v>
      </c>
      <c r="C20" s="72">
        <f t="shared" si="0"/>
        <v>45869</v>
      </c>
      <c r="D20" s="71">
        <v>0</v>
      </c>
      <c r="E20" s="71">
        <v>0</v>
      </c>
      <c r="F20" s="71">
        <v>0</v>
      </c>
    </row>
    <row r="21" spans="2:7">
      <c r="B21" s="71" t="s">
        <v>51</v>
      </c>
      <c r="C21" s="72">
        <f t="shared" si="0"/>
        <v>45869</v>
      </c>
      <c r="D21" s="71">
        <f>'Daily Dashboard'!C21*100</f>
        <v>99.5</v>
      </c>
      <c r="E21" s="71">
        <f>'Daily Dashboard'!D21*100</f>
        <v>99.182010512657442</v>
      </c>
      <c r="F21" s="71">
        <f>E21-D21</f>
        <v>-0.31798948734255816</v>
      </c>
      <c r="G21" s="74">
        <f>(F21/100)*$D$7</f>
        <v>-0.12943016124352183</v>
      </c>
    </row>
    <row r="22" spans="2:7">
      <c r="B22" s="71" t="s">
        <v>52</v>
      </c>
      <c r="C22" s="72">
        <f t="shared" si="0"/>
        <v>45869</v>
      </c>
      <c r="D22" s="71">
        <f>'Daily Dashboard'!C24*100</f>
        <v>98.550000000000011</v>
      </c>
      <c r="E22" s="71">
        <f>'Daily Dashboard'!D24*100</f>
        <v>100</v>
      </c>
      <c r="F22" s="71">
        <f>E22-D22</f>
        <v>1.4499999999999886</v>
      </c>
      <c r="G22" s="74">
        <f>(F22/100)*$D$7</f>
        <v>0.59018848507067567</v>
      </c>
    </row>
    <row r="23" spans="2:7">
      <c r="B23" s="71" t="s">
        <v>53</v>
      </c>
      <c r="C23" s="72">
        <f t="shared" si="0"/>
        <v>45869</v>
      </c>
      <c r="D23" s="71">
        <f>'Daily Dashboard'!C27*100</f>
        <v>99.5</v>
      </c>
      <c r="E23" s="71">
        <f>'Daily Dashboard'!D27*100</f>
        <v>101.18170472404549</v>
      </c>
      <c r="F23" s="71">
        <f>E23-D23</f>
        <v>1.6817047240454883</v>
      </c>
      <c r="G23" s="74">
        <f>((F23/100)*$D$7)*20%</f>
        <v>0.13689969150629147</v>
      </c>
    </row>
    <row r="24" spans="2:7">
      <c r="B24" s="71" t="s">
        <v>54</v>
      </c>
      <c r="C24" s="72">
        <f t="shared" si="0"/>
        <v>45869</v>
      </c>
      <c r="D24" s="71">
        <v>0</v>
      </c>
      <c r="E24" s="71">
        <v>0</v>
      </c>
      <c r="F24" s="71">
        <v>0</v>
      </c>
    </row>
    <row r="25" spans="2:7">
      <c r="B25" s="71" t="s">
        <v>55</v>
      </c>
      <c r="C25" s="72">
        <f t="shared" si="0"/>
        <v>45869</v>
      </c>
      <c r="D25" s="71">
        <v>0</v>
      </c>
      <c r="E25" s="71">
        <v>0</v>
      </c>
      <c r="F25" s="71">
        <v>0</v>
      </c>
    </row>
    <row r="26" spans="2:7">
      <c r="B26" s="71" t="s">
        <v>8</v>
      </c>
      <c r="C26" s="72">
        <f t="shared" si="0"/>
        <v>45869</v>
      </c>
      <c r="D26" s="75">
        <f>'Daily Dashboard'!$D$9</f>
        <v>45.225500000013085</v>
      </c>
      <c r="E26" s="75">
        <f>'Daily Dashboard'!$D$9</f>
        <v>45.225500000013085</v>
      </c>
      <c r="F26" s="75">
        <f>'Daily Dashboard'!$D$9</f>
        <v>45.225500000013085</v>
      </c>
    </row>
    <row r="27" spans="2:7">
      <c r="B27" s="71" t="s">
        <v>56</v>
      </c>
      <c r="C27" s="72">
        <f t="shared" si="0"/>
        <v>45869</v>
      </c>
      <c r="D27" s="71">
        <v>0</v>
      </c>
      <c r="E27" s="71">
        <v>0</v>
      </c>
      <c r="F27" s="71">
        <v>0</v>
      </c>
    </row>
    <row r="28" spans="2:7">
      <c r="B28" s="71" t="s">
        <v>57</v>
      </c>
      <c r="C28" s="72">
        <f t="shared" si="0"/>
        <v>45869</v>
      </c>
      <c r="D28" s="71">
        <v>0</v>
      </c>
      <c r="E28" s="71">
        <v>0</v>
      </c>
      <c r="F28" s="71">
        <v>0</v>
      </c>
    </row>
    <row r="29" spans="2:7">
      <c r="B29" s="71" t="s">
        <v>58</v>
      </c>
      <c r="C29" s="72">
        <f t="shared" si="0"/>
        <v>45869</v>
      </c>
      <c r="D29" s="71">
        <v>0</v>
      </c>
      <c r="E29" s="73">
        <f>-(F7+G30)+(SUM(G21:G23))</f>
        <v>0.64229630460378184</v>
      </c>
      <c r="F29" s="73">
        <f>E29</f>
        <v>0.64229630460378184</v>
      </c>
    </row>
    <row r="30" spans="2:7">
      <c r="B30" s="71" t="s">
        <v>59</v>
      </c>
      <c r="C30" s="72">
        <f t="shared" si="0"/>
        <v>45869</v>
      </c>
      <c r="D30" s="71">
        <f>'Daily Dashboard'!C18</f>
        <v>4.6269332580645148</v>
      </c>
      <c r="E30" s="76">
        <f>'Daily Dashboard'!D18</f>
        <v>5.1360000000000001</v>
      </c>
      <c r="F30" s="71">
        <f>E30-D30</f>
        <v>0.50906674193548529</v>
      </c>
      <c r="G30" s="70">
        <f>(F30/D30)*D7</f>
        <v>4.4782075679372131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B1" sqref="B1"/>
    </sheetView>
  </sheetViews>
  <sheetFormatPr defaultColWidth="9" defaultRowHeight="14.5"/>
  <cols>
    <col min="1" max="1" width="11" customWidth="1"/>
    <col min="2" max="2" width="13.7265625" customWidth="1"/>
    <col min="3" max="3" width="13.54296875" customWidth="1"/>
    <col min="4" max="4" width="13.453125" customWidth="1"/>
    <col min="5" max="5" width="13.7265625" customWidth="1"/>
    <col min="6" max="6" width="14" customWidth="1"/>
    <col min="8" max="8" width="9.54296875" customWidth="1"/>
    <col min="9" max="9" width="9.7265625" customWidth="1"/>
    <col min="10" max="10" width="10.7265625" customWidth="1"/>
    <col min="12" max="12" width="9.54296875" customWidth="1"/>
    <col min="13" max="13" width="9" customWidth="1"/>
    <col min="14" max="14" width="9.54296875" customWidth="1"/>
    <col min="16" max="16" width="9.54296875" customWidth="1"/>
  </cols>
  <sheetData>
    <row r="1" spans="1:16">
      <c r="A1" s="53" t="s">
        <v>60</v>
      </c>
      <c r="B1" s="54">
        <f>'Daily Dashboard'!$B$3</f>
        <v>45869</v>
      </c>
      <c r="C1" s="57">
        <f>'Daily Dashboard'!$B$2</f>
        <v>45839</v>
      </c>
    </row>
    <row r="2" spans="1:16" ht="21">
      <c r="A2" s="274" t="s">
        <v>61</v>
      </c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</row>
    <row r="3" spans="1:16" ht="29">
      <c r="A3" s="63" t="s">
        <v>62</v>
      </c>
      <c r="B3" s="63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 s="1" customFormat="1" ht="18.649999999999999" customHeight="1">
      <c r="A4" s="64">
        <f>YEAR($B$1)+IF(MONTH($B$1)&gt;=4,1,0)</f>
        <v>2026</v>
      </c>
      <c r="B4" s="65">
        <f>($B$1-'Daily Dashboard'!$B$5)+1</f>
        <v>122</v>
      </c>
      <c r="C4" s="65">
        <f>_xlfn.XLOOKUP($C$1,'Modelling New'!$D:$D,'Modelling New'!S:S)</f>
        <v>777.46793699999989</v>
      </c>
      <c r="D4" s="66">
        <f>IFERROR(SUMIFS('Daily KPI'!$I:$I,'Daily KPI'!$B:$B,$A4,'Daily KPI'!$A:$A,"&lt;="&amp;$B$1),"")</f>
        <v>675.1189999999998</v>
      </c>
      <c r="E4" s="65">
        <f>_xlfn.XLOOKUP($C$1,'Modelling New'!$D:$D,'Modelling New'!V:V)</f>
        <v>6619.5431833120601</v>
      </c>
      <c r="F4" s="66">
        <f>SUMIFS('Daily KPI'!$AA:$AA,'Daily KPI'!$B:$B,'Annual KPI'!A4,'Daily KPI'!$A:$A,"&lt;="&amp;'Annual KPI'!$B$1)/1000</f>
        <v>5481.1321999999955</v>
      </c>
      <c r="G4" s="67">
        <f>IFERROR(E4/C4/'Modelling New'!$AQ$1,"")</f>
        <v>0.72647039443010752</v>
      </c>
      <c r="H4" s="68">
        <f>IFERROR(F4/D4/'Modelling New'!$AQ$1,"")</f>
        <v>0.69272735014780595</v>
      </c>
      <c r="I4" s="67">
        <f>IFERROR(E4/(B4*24*'Modelling New'!$AQ$1),"")</f>
        <v>0.1928987154539453</v>
      </c>
      <c r="J4" s="68">
        <f>IFERROR(F4/(B4*24*'Modelling New'!$AQ$1),"")</f>
        <v>0.15972452045916544</v>
      </c>
      <c r="K4" s="60">
        <f>_xlfn.XLOOKUP($C$1,'Modelling New'!$D:$D,'Modelling New'!AF:AF)</f>
        <v>0.98550000000000004</v>
      </c>
      <c r="L4" s="69">
        <f>IFERROR(AVERAGEIFS('Daily KPI'!$R:$R,'Daily KPI'!$B:$B,A4,'Daily KPI'!$A:$A,"&lt;="&amp;$B$1),"")</f>
        <v>0.96130575380585692</v>
      </c>
      <c r="M4" s="60">
        <f>_xlfn.XLOOKUP($C$1,'Modelling New'!$D:$D,'Modelling New'!AE:AE)</f>
        <v>0.995</v>
      </c>
      <c r="N4" s="69">
        <f>IFERROR(AVERAGEIFS('Daily KPI'!$O:$O,'Daily KPI'!$B:$B,A4,'Daily KPI'!$A:$A,"&lt;="&amp;$B$1),"")</f>
        <v>0.91616880104388476</v>
      </c>
      <c r="O4" s="60">
        <f>_xlfn.XLOOKUP($C$1,'Modelling New'!$D:$D,'Modelling New'!AG:AG)</f>
        <v>0.995</v>
      </c>
      <c r="P4" s="69">
        <f>IFERROR(AVERAGEIFS('Daily KPI'!$T:$T,'Daily KPI'!$B:$B,A4,'Daily KPI'!$A:$A,"&lt;="&amp;$B$1),"")</f>
        <v>0.98057790665900346</v>
      </c>
    </row>
    <row r="8" spans="1:16" ht="21">
      <c r="A8" s="274" t="s">
        <v>78</v>
      </c>
      <c r="B8" s="274"/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/>
      <c r="N8" s="274"/>
      <c r="O8" s="274"/>
      <c r="P8" s="274"/>
    </row>
    <row r="9" spans="1:16" ht="29">
      <c r="A9" s="63" t="s">
        <v>62</v>
      </c>
      <c r="B9" s="55" t="s">
        <v>63</v>
      </c>
      <c r="C9" s="56" t="s">
        <v>64</v>
      </c>
      <c r="D9" s="56" t="s">
        <v>65</v>
      </c>
      <c r="E9" s="56" t="s">
        <v>66</v>
      </c>
      <c r="F9" s="56" t="s">
        <v>67</v>
      </c>
      <c r="G9" s="56" t="s">
        <v>68</v>
      </c>
      <c r="H9" s="56" t="s">
        <v>69</v>
      </c>
      <c r="I9" s="56" t="s">
        <v>70</v>
      </c>
      <c r="J9" s="56" t="s">
        <v>71</v>
      </c>
      <c r="K9" s="56" t="s">
        <v>72</v>
      </c>
      <c r="L9" s="56" t="s">
        <v>73</v>
      </c>
      <c r="M9" s="56" t="s">
        <v>74</v>
      </c>
      <c r="N9" s="56" t="s">
        <v>75</v>
      </c>
      <c r="O9" s="56" t="s">
        <v>76</v>
      </c>
      <c r="P9" s="56" t="s">
        <v>77</v>
      </c>
    </row>
    <row r="10" spans="1:16">
      <c r="A10" s="57">
        <v>45748</v>
      </c>
      <c r="B10" s="58">
        <f t="shared" ref="B10:B21" si="0">DAY(EOMONTH(A10,0))</f>
        <v>30</v>
      </c>
      <c r="C10" s="65">
        <f>_xlfn.XLOOKUP($A10,'Modelling New'!$D:$D,'Modelling New'!S:S)</f>
        <v>228.56010069999994</v>
      </c>
      <c r="D10" s="66">
        <f>SUMIF('Daily KPI'!$D:$D,$A10,'Daily KPI'!I:I)</f>
        <v>203.58849999999998</v>
      </c>
      <c r="E10" s="65">
        <f>_xlfn.XLOOKUP($A10,'Modelling New'!$D:$D,'Modelling New'!V:V)</f>
        <v>1903.6714096083219</v>
      </c>
      <c r="F10" s="66">
        <f>SUMIF('Daily KPI'!$D:$D,$A10,'Daily KPI'!AA:AA)/1000</f>
        <v>1666.8494999999978</v>
      </c>
      <c r="G10" s="60">
        <f>IFERROR(E10/C10/'Modelling New'!$AQ$1,"")</f>
        <v>0.71066341265888178</v>
      </c>
      <c r="H10" s="61">
        <f>IFERROR(F10/D10/'Modelling New'!$AQ$1,"")</f>
        <v>0.69857901396010857</v>
      </c>
      <c r="I10" s="60">
        <f>IFERROR(E10/(B10*24*'Modelling New'!$AQ$1),"")</f>
        <v>0.22559625161266614</v>
      </c>
      <c r="J10" s="61">
        <f>IFERROR(F10/(B10*24*'Modelling New'!$AQ$1),"")</f>
        <v>0.19753146331057994</v>
      </c>
      <c r="K10" s="60">
        <f>_xlfn.XLOOKUP($A10,'Modelling New'!$D:$D,'Modelling New'!AF:AF)</f>
        <v>0.98550000000000004</v>
      </c>
      <c r="L10" s="61">
        <f>IFERROR(AVERAGEIF('Daily KPI'!$D:$D,$A10,'Daily KPI'!R:R),"")</f>
        <v>0.99239079814036235</v>
      </c>
      <c r="M10" s="60">
        <f>_xlfn.XLOOKUP($A10,'Modelling New'!$D:$D,'Modelling New'!AE:AE)</f>
        <v>0.995</v>
      </c>
      <c r="N10" s="61">
        <f>IFERROR(AVERAGEIF('Daily KPI'!$D:$D,$A10,'Daily KPI'!O:O),"")</f>
        <v>1</v>
      </c>
      <c r="O10" s="60">
        <f>_xlfn.XLOOKUP($A10,'Modelling New'!$D:$D,'Modelling New'!AG:AG)</f>
        <v>0.995</v>
      </c>
      <c r="P10" s="61">
        <f>IFERROR(AVERAGEIF('Daily KPI'!$D:$D,$A10,'Daily KPI'!T:T),"")</f>
        <v>0.96398343268188769</v>
      </c>
    </row>
    <row r="11" spans="1:16">
      <c r="A11" s="57">
        <v>45778</v>
      </c>
      <c r="B11" s="58">
        <f t="shared" si="0"/>
        <v>31</v>
      </c>
      <c r="C11" s="65">
        <f>_xlfn.XLOOKUP($A11,'Modelling New'!$D:$D,'Modelling New'!S:S)</f>
        <v>465.51486239999997</v>
      </c>
      <c r="D11" s="66">
        <f>SUMIF('Daily KPI'!$D:$D,$A11,'Daily KPI'!I:I)</f>
        <v>185.28549999999998</v>
      </c>
      <c r="E11" s="65">
        <f>_xlfn.XLOOKUP($A11,'Modelling New'!$D:$D,'Modelling New'!V:V)</f>
        <v>3935.3547392788696</v>
      </c>
      <c r="F11" s="66">
        <f>SUMIF('Daily KPI'!$D:$D,$A11,'Daily KPI'!AA:AA)/1000</f>
        <v>1419.1660000000011</v>
      </c>
      <c r="G11" s="60">
        <f>IFERROR(E11/C11/'Modelling New'!$AQ$1,"")</f>
        <v>0.72131127966083108</v>
      </c>
      <c r="H11" s="61">
        <f>IFERROR(F11/D11/'Modelling New'!$AQ$1,"")</f>
        <v>0.65352792931318304</v>
      </c>
      <c r="I11" s="60">
        <f>IFERROR(E11/(B11*24*'Modelling New'!$AQ$1),"")</f>
        <v>0.45131871115440814</v>
      </c>
      <c r="J11" s="61">
        <f>IFERROR(F11/(B11*24*'Modelling New'!$AQ$1),"")</f>
        <v>0.16275436713273894</v>
      </c>
      <c r="K11" s="60">
        <f>_xlfn.XLOOKUP($A11,'Modelling New'!$D:$D,'Modelling New'!AF:AF)</f>
        <v>0.98550000000000004</v>
      </c>
      <c r="L11" s="61">
        <f>IFERROR(AVERAGEIF('Daily KPI'!$D:$D,$A11,'Daily KPI'!R:R),"")</f>
        <v>0.94623877086572683</v>
      </c>
      <c r="M11" s="60">
        <f>_xlfn.XLOOKUP($A11,'Modelling New'!$D:$D,'Modelling New'!AE:AE)</f>
        <v>0.995</v>
      </c>
      <c r="N11" s="61">
        <f>IFERROR(AVERAGEIF('Daily KPI'!$D:$D,$A11,'Daily KPI'!O:O),"")</f>
        <v>0.82686041636335283</v>
      </c>
      <c r="O11" s="60">
        <f>_xlfn.XLOOKUP($A11,'Modelling New'!$D:$D,'Modelling New'!AG:AG)</f>
        <v>0.995</v>
      </c>
      <c r="P11" s="61">
        <f>IFERROR(AVERAGEIF('Daily KPI'!$D:$D,$A11,'Daily KPI'!T:T),"")</f>
        <v>0.98434883603835166</v>
      </c>
    </row>
    <row r="12" spans="1:16">
      <c r="A12" s="57">
        <v>45809</v>
      </c>
      <c r="B12" s="58">
        <f t="shared" si="0"/>
        <v>30</v>
      </c>
      <c r="C12" s="65">
        <f>_xlfn.XLOOKUP($A12,'Modelling New'!$D:$D,'Modelling New'!S:S)</f>
        <v>634.033006</v>
      </c>
      <c r="D12" s="66">
        <f>SUMIF('Daily KPI'!$D:$D,$A12,'Daily KPI'!I:I)</f>
        <v>153.45850000000004</v>
      </c>
      <c r="E12" s="65">
        <f>_xlfn.XLOOKUP($A12,'Modelling New'!$D:$D,'Modelling New'!V:V)</f>
        <v>5357.7609048850882</v>
      </c>
      <c r="F12" s="66">
        <f>SUMIF('Daily KPI'!$D:$D,$A12,'Daily KPI'!AA:AA)/1000</f>
        <v>1220.3673999999833</v>
      </c>
      <c r="G12" s="60">
        <f>IFERROR(E12/C12/'Modelling New'!$AQ$1,"")</f>
        <v>0.72101425408728037</v>
      </c>
      <c r="H12" s="61">
        <f>IFERROR(F12/D12/'Modelling New'!$AQ$1,"")</f>
        <v>0.67853466092003489</v>
      </c>
      <c r="I12" s="60">
        <f>IFERROR(E12/(B12*24*'Modelling New'!$AQ$1),"")</f>
        <v>0.63492615956639742</v>
      </c>
      <c r="J12" s="61">
        <f>IFERROR(F12/(B12*24*'Modelling New'!$AQ$1),"")</f>
        <v>0.14462071008721836</v>
      </c>
      <c r="K12" s="60">
        <f>_xlfn.XLOOKUP($A12,'Modelling New'!$D:$D,'Modelling New'!AF:AF)</f>
        <v>0.98550000000000004</v>
      </c>
      <c r="L12" s="61">
        <f>IFERROR(AVERAGEIF('Daily KPI'!$D:$D,$A12,'Daily KPI'!R:R),"")</f>
        <v>0.92063487370247721</v>
      </c>
      <c r="M12" s="60">
        <f>_xlfn.XLOOKUP($A12,'Modelling New'!$D:$D,'Modelling New'!AE:AE)</f>
        <v>0.995</v>
      </c>
      <c r="N12" s="61">
        <f>IFERROR(AVERAGEIF('Daily KPI'!$D:$D,$A12,'Daily KPI'!O:O),"")</f>
        <v>0.88923056998106409</v>
      </c>
      <c r="O12" s="60">
        <f>_xlfn.XLOOKUP($A12,'Modelling New'!$D:$D,'Modelling New'!AG:AG)</f>
        <v>0.995</v>
      </c>
      <c r="P12" s="61">
        <f>IFERROR(AVERAGEIF('Daily KPI'!$D:$D,$A12,'Daily KPI'!T:T),"")</f>
        <v>0.98599422648005752</v>
      </c>
    </row>
    <row r="13" spans="1:16">
      <c r="A13" s="57">
        <v>45839</v>
      </c>
      <c r="B13" s="58">
        <f t="shared" si="0"/>
        <v>31</v>
      </c>
      <c r="C13" s="65">
        <f>_xlfn.XLOOKUP($A13,'Modelling New'!$D:$D,'Modelling New'!S:S)</f>
        <v>777.46793699999989</v>
      </c>
      <c r="D13" s="66">
        <f>SUMIF('Daily KPI'!$D:$D,$A13,'Daily KPI'!I:I)</f>
        <v>132.78649999999999</v>
      </c>
      <c r="E13" s="65">
        <f>_xlfn.XLOOKUP($A13,'Modelling New'!$D:$D,'Modelling New'!V:V)</f>
        <v>6619.5431833120601</v>
      </c>
      <c r="F13" s="66">
        <f>SUMIF('Daily KPI'!$D:$D,$A13,'Daily KPI'!AA:AA)/1000</f>
        <v>1174.7493000000175</v>
      </c>
      <c r="G13" s="60">
        <f>IFERROR(E13/C13/'Modelling New'!$AQ$1,"")</f>
        <v>0.72647039443010752</v>
      </c>
      <c r="H13" s="61">
        <f>IFERROR(F13/D13/'Modelling New'!$AQ$1,"")</f>
        <v>0.75485521428205637</v>
      </c>
      <c r="I13" s="60">
        <f>IFERROR(E13/(B13*24*'Modelling New'!$AQ$1),"")</f>
        <v>0.75914978339939765</v>
      </c>
      <c r="J13" s="61">
        <f>IFERROR(F13/(B13*24*'Modelling New'!$AQ$1),"")</f>
        <v>0.13472390041836596</v>
      </c>
      <c r="K13" s="60">
        <f>_xlfn.XLOOKUP($A13,'Modelling New'!$D:$D,'Modelling New'!AF:AF)</f>
        <v>0.98550000000000004</v>
      </c>
      <c r="L13" s="61">
        <f>IFERROR(AVERAGEIF('Daily KPI'!$D:$D,$A13,'Daily KPI'!R:R),"")</f>
        <v>0.98564935200618686</v>
      </c>
      <c r="M13" s="60">
        <f>_xlfn.XLOOKUP($A13,'Modelling New'!$D:$D,'Modelling New'!AE:AE)</f>
        <v>0.995</v>
      </c>
      <c r="N13" s="61">
        <f>IFERROR(AVERAGEIF('Daily KPI'!$D:$D,$A13,'Daily KPI'!O:O),"")</f>
        <v>0.95041947485993727</v>
      </c>
      <c r="O13" s="60">
        <f>_xlfn.XLOOKUP($A13,'Modelling New'!$D:$D,'Modelling New'!AG:AG)</f>
        <v>0.995</v>
      </c>
      <c r="P13" s="61">
        <f>IFERROR(AVERAGEIF('Daily KPI'!$D:$D,$A13,'Daily KPI'!T:T),"")</f>
        <v>0.98762454581778047</v>
      </c>
    </row>
    <row r="14" spans="1:16">
      <c r="A14" s="57">
        <v>45870</v>
      </c>
      <c r="B14" s="58">
        <f t="shared" si="0"/>
        <v>31</v>
      </c>
      <c r="C14" s="65">
        <f>_xlfn.XLOOKUP($A14,'Modelling New'!$D:$D,'Modelling New'!S:S)</f>
        <v>791.78207238387085</v>
      </c>
      <c r="D14" s="66">
        <f>SUMIF('Daily KPI'!$D:$D,$A14,'Daily KPI'!I:I)</f>
        <v>16.882000000000001</v>
      </c>
      <c r="E14" s="65">
        <f>_xlfn.XLOOKUP($A14,'Modelling New'!$D:$D,'Modelling New'!V:V)</f>
        <v>6745.7903987041518</v>
      </c>
      <c r="F14" s="66">
        <f>SUMIF('Daily KPI'!$D:$D,$A14,'Daily KPI'!AA:AA)/1000</f>
        <v>143.99749999998164</v>
      </c>
      <c r="G14" s="60">
        <f>IFERROR(E14/C14/'Modelling New'!$AQ$1,"")</f>
        <v>0.72694167452166047</v>
      </c>
      <c r="H14" s="61">
        <f>IFERROR(F14/D14/'Modelling New'!$AQ$1,"")</f>
        <v>0.72778557689926837</v>
      </c>
      <c r="I14" s="60">
        <f>IFERROR(E14/(B14*24*'Modelling New'!$AQ$1),"")</f>
        <v>0.77362820639107766</v>
      </c>
      <c r="J14" s="61">
        <f>IFERROR(F14/(B14*24*'Modelling New'!$AQ$1),"")</f>
        <v>1.6514080791953562E-2</v>
      </c>
      <c r="K14" s="60">
        <f>_xlfn.XLOOKUP($A14,'Modelling New'!$D:$D,'Modelling New'!AF:AF)</f>
        <v>0.98550000000000004</v>
      </c>
      <c r="L14" s="61">
        <f>IFERROR(AVERAGEIF('Daily KPI'!$D:$D,$A14,'Daily KPI'!R:R),"")</f>
        <v>0.9869266474213706</v>
      </c>
      <c r="M14" s="60">
        <f>_xlfn.XLOOKUP($A14,'Modelling New'!$D:$D,'Modelling New'!AE:AE)</f>
        <v>0.995</v>
      </c>
      <c r="N14" s="61">
        <f>IFERROR(AVERAGEIF('Daily KPI'!$D:$D,$A14,'Daily KPI'!O:O),"")</f>
        <v>1</v>
      </c>
      <c r="O14" s="60">
        <f>_xlfn.XLOOKUP($A14,'Modelling New'!$D:$D,'Modelling New'!AG:AG)</f>
        <v>0.995</v>
      </c>
      <c r="P14" s="61">
        <f>IFERROR(AVERAGEIF('Daily KPI'!$D:$D,$A14,'Daily KPI'!T:T),"")</f>
        <v>0.98616629093837727</v>
      </c>
    </row>
    <row r="15" spans="1:16">
      <c r="A15" s="57">
        <v>45901</v>
      </c>
      <c r="B15" s="58">
        <f t="shared" si="0"/>
        <v>30</v>
      </c>
      <c r="C15" s="65">
        <f>_xlfn.XLOOKUP($A15,'Modelling New'!$D:$D,'Modelling New'!S:S)</f>
        <v>791.78207238387085</v>
      </c>
      <c r="D15" s="66">
        <f>SUMIF('Daily KPI'!$D:$D,$A15,'Daily KPI'!I:I)</f>
        <v>0</v>
      </c>
      <c r="E15" s="65">
        <f>_xlfn.XLOOKUP($A15,'Modelling New'!$D:$D,'Modelling New'!V:V)</f>
        <v>6745.7903987041518</v>
      </c>
      <c r="F15" s="66">
        <f>SUMIF('Daily KPI'!$D:$D,$A15,'Daily KPI'!AA:AA)/1000</f>
        <v>0</v>
      </c>
      <c r="G15" s="60">
        <f>IFERROR(E15/C15/'Modelling New'!$AQ$1,"")</f>
        <v>0.72694167452166047</v>
      </c>
      <c r="H15" s="61" t="str">
        <f>IFERROR(F15/D15/'Modelling New'!$AQ$1,"")</f>
        <v/>
      </c>
      <c r="I15" s="60">
        <f>IFERROR(E15/(B15*24*'Modelling New'!$AQ$1),"")</f>
        <v>0.79941581327078026</v>
      </c>
      <c r="J15" s="61">
        <f>IFERROR(F15/(B15*24*'Modelling New'!$AQ$1),"")</f>
        <v>0</v>
      </c>
      <c r="K15" s="60">
        <f>_xlfn.XLOOKUP($A15,'Modelling New'!$D:$D,'Modelling New'!AF:AF)</f>
        <v>0.98550000000000004</v>
      </c>
      <c r="L15" s="61" t="str">
        <f>IFERROR(AVERAGEIF('Daily KPI'!$D:$D,$A15,'Daily KPI'!R:R),"")</f>
        <v/>
      </c>
      <c r="M15" s="60">
        <f>_xlfn.XLOOKUP($A15,'Modelling New'!$D:$D,'Modelling New'!AE:AE)</f>
        <v>0.995</v>
      </c>
      <c r="N15" s="61" t="str">
        <f>IFERROR(AVERAGEIF('Daily KPI'!$D:$D,$A15,'Daily KPI'!O:O),"")</f>
        <v/>
      </c>
      <c r="O15" s="60">
        <f>_xlfn.XLOOKUP($A15,'Modelling New'!$D:$D,'Modelling New'!AG:AG)</f>
        <v>0.995</v>
      </c>
      <c r="P15" s="61" t="str">
        <f>IFERROR(AVERAGEIF('Daily KPI'!$D:$D,$A15,'Daily KPI'!T:T),"")</f>
        <v/>
      </c>
    </row>
    <row r="16" spans="1:16">
      <c r="A16" s="57">
        <v>45931</v>
      </c>
      <c r="B16" s="58">
        <f t="shared" si="0"/>
        <v>31</v>
      </c>
      <c r="C16" s="65">
        <f>_xlfn.XLOOKUP($A16,'Modelling New'!$D:$D,'Modelling New'!S:S)</f>
        <v>791.78207238387085</v>
      </c>
      <c r="D16" s="66">
        <f>SUMIF('Daily KPI'!$D:$D,$A16,'Daily KPI'!I:I)</f>
        <v>0</v>
      </c>
      <c r="E16" s="65">
        <f>_xlfn.XLOOKUP($A16,'Modelling New'!$D:$D,'Modelling New'!V:V)</f>
        <v>6745.7903987041518</v>
      </c>
      <c r="F16" s="66">
        <f>SUMIF('Daily KPI'!$D:$D,$A16,'Daily KPI'!AA:AA)/1000</f>
        <v>0</v>
      </c>
      <c r="G16" s="60">
        <f>IFERROR(E16/C16/'Modelling New'!$AQ$1,"")</f>
        <v>0.72694167452166047</v>
      </c>
      <c r="H16" s="61" t="str">
        <f>IFERROR(F16/D16/'Modelling New'!$AQ$1,"")</f>
        <v/>
      </c>
      <c r="I16" s="60">
        <f>IFERROR(E16/(B16*24*'Modelling New'!$AQ$1),"")</f>
        <v>0.77362820639107766</v>
      </c>
      <c r="J16" s="61">
        <f>IFERROR(F16/(B16*24*'Modelling New'!$AQ$1),"")</f>
        <v>0</v>
      </c>
      <c r="K16" s="60">
        <f>_xlfn.XLOOKUP($A16,'Modelling New'!$D:$D,'Modelling New'!AF:AF)</f>
        <v>0.98550000000000004</v>
      </c>
      <c r="L16" s="61" t="str">
        <f>IFERROR(AVERAGEIF('Daily KPI'!$D:$D,$A16,'Daily KPI'!R:R),"")</f>
        <v/>
      </c>
      <c r="M16" s="60">
        <f>_xlfn.XLOOKUP($A16,'Modelling New'!$D:$D,'Modelling New'!AE:AE)</f>
        <v>0.995</v>
      </c>
      <c r="N16" s="61" t="str">
        <f>IFERROR(AVERAGEIF('Daily KPI'!$D:$D,$A16,'Daily KPI'!O:O),"")</f>
        <v/>
      </c>
      <c r="O16" s="60">
        <f>_xlfn.XLOOKUP($A16,'Modelling New'!$D:$D,'Modelling New'!AG:AG)</f>
        <v>0.995</v>
      </c>
      <c r="P16" s="61" t="str">
        <f>IFERROR(AVERAGEIF('Daily KPI'!$D:$D,$A16,'Daily KPI'!T:T),"")</f>
        <v/>
      </c>
    </row>
    <row r="17" spans="1:16">
      <c r="A17" s="57">
        <v>45962</v>
      </c>
      <c r="B17" s="58">
        <f t="shared" si="0"/>
        <v>30</v>
      </c>
      <c r="C17" s="65">
        <f>_xlfn.XLOOKUP($A17,'Modelling New'!$D:$D,'Modelling New'!S:S)</f>
        <v>791.78207238387085</v>
      </c>
      <c r="D17" s="66">
        <f>SUMIF('Daily KPI'!$D:$D,$A17,'Daily KPI'!I:I)</f>
        <v>0</v>
      </c>
      <c r="E17" s="65">
        <f>_xlfn.XLOOKUP($A17,'Modelling New'!$D:$D,'Modelling New'!V:V)</f>
        <v>6745.7903987041518</v>
      </c>
      <c r="F17" s="66">
        <f>SUMIF('Daily KPI'!$D:$D,$A17,'Daily KPI'!AA:AA)/1000</f>
        <v>0</v>
      </c>
      <c r="G17" s="60">
        <f>IFERROR(E17/C17/'Modelling New'!$AQ$1,"")</f>
        <v>0.72694167452166047</v>
      </c>
      <c r="H17" s="61" t="str">
        <f>IFERROR(F17/D17/'Modelling New'!$AQ$1,"")</f>
        <v/>
      </c>
      <c r="I17" s="60">
        <f>IFERROR(E17/(B17*24*'Modelling New'!$AQ$1),"")</f>
        <v>0.79941581327078026</v>
      </c>
      <c r="J17" s="61">
        <f>IFERROR(F17/(B17*24*'Modelling New'!$AQ$1),"")</f>
        <v>0</v>
      </c>
      <c r="K17" s="60">
        <f>_xlfn.XLOOKUP($A17,'Modelling New'!$D:$D,'Modelling New'!AF:AF)</f>
        <v>0.98550000000000004</v>
      </c>
      <c r="L17" s="61" t="str">
        <f>IFERROR(AVERAGEIF('Daily KPI'!$D:$D,$A17,'Daily KPI'!R:R),"")</f>
        <v/>
      </c>
      <c r="M17" s="60">
        <f>_xlfn.XLOOKUP($A17,'Modelling New'!$D:$D,'Modelling New'!AE:AE)</f>
        <v>0.995</v>
      </c>
      <c r="N17" s="61" t="str">
        <f>IFERROR(AVERAGEIF('Daily KPI'!$D:$D,$A17,'Daily KPI'!O:O),"")</f>
        <v/>
      </c>
      <c r="O17" s="60">
        <f>_xlfn.XLOOKUP($A17,'Modelling New'!$D:$D,'Modelling New'!AG:AG)</f>
        <v>0.995</v>
      </c>
      <c r="P17" s="61" t="str">
        <f>IFERROR(AVERAGEIF('Daily KPI'!$D:$D,$A17,'Daily KPI'!T:T),"")</f>
        <v/>
      </c>
    </row>
    <row r="18" spans="1:16">
      <c r="A18" s="57">
        <v>45992</v>
      </c>
      <c r="B18" s="58">
        <f t="shared" si="0"/>
        <v>31</v>
      </c>
      <c r="C18" s="65">
        <f>_xlfn.XLOOKUP($A18,'Modelling New'!$D:$D,'Modelling New'!S:S)</f>
        <v>791.78207238387085</v>
      </c>
      <c r="D18" s="66">
        <f>SUMIF('Daily KPI'!$D:$D,$A18,'Daily KPI'!I:I)</f>
        <v>0</v>
      </c>
      <c r="E18" s="65">
        <f>_xlfn.XLOOKUP($A18,'Modelling New'!$D:$D,'Modelling New'!V:V)</f>
        <v>6745.7903987041518</v>
      </c>
      <c r="F18" s="66">
        <f>SUMIF('Daily KPI'!$D:$D,$A18,'Daily KPI'!AA:AA)/1000</f>
        <v>0</v>
      </c>
      <c r="G18" s="60">
        <f>IFERROR(E18/C18/'Modelling New'!$AQ$1,"")</f>
        <v>0.72694167452166047</v>
      </c>
      <c r="H18" s="61" t="str">
        <f>IFERROR(F18/D18/'Modelling New'!$AQ$1,"")</f>
        <v/>
      </c>
      <c r="I18" s="60">
        <f>IFERROR(E18/(B18*24*'Modelling New'!$AQ$1),"")</f>
        <v>0.77362820639107766</v>
      </c>
      <c r="J18" s="61">
        <f>IFERROR(F18/(B18*24*'Modelling New'!$AQ$1),"")</f>
        <v>0</v>
      </c>
      <c r="K18" s="60">
        <f>_xlfn.XLOOKUP($A18,'Modelling New'!$D:$D,'Modelling New'!AF:AF)</f>
        <v>0.98550000000000004</v>
      </c>
      <c r="L18" s="61" t="str">
        <f>IFERROR(AVERAGEIF('Daily KPI'!$D:$D,$A18,'Daily KPI'!R:R),"")</f>
        <v/>
      </c>
      <c r="M18" s="60">
        <f>_xlfn.XLOOKUP($A18,'Modelling New'!$D:$D,'Modelling New'!AE:AE)</f>
        <v>0.995</v>
      </c>
      <c r="N18" s="61" t="str">
        <f>IFERROR(AVERAGEIF('Daily KPI'!$D:$D,$A18,'Daily KPI'!O:O),"")</f>
        <v/>
      </c>
      <c r="O18" s="60">
        <f>_xlfn.XLOOKUP($A18,'Modelling New'!$D:$D,'Modelling New'!AG:AG)</f>
        <v>0.995</v>
      </c>
      <c r="P18" s="61" t="str">
        <f>IFERROR(AVERAGEIF('Daily KPI'!$D:$D,$A18,'Daily KPI'!T:T),"")</f>
        <v/>
      </c>
    </row>
    <row r="19" spans="1:16">
      <c r="A19" s="57">
        <v>46023</v>
      </c>
      <c r="B19" s="58">
        <f t="shared" si="0"/>
        <v>31</v>
      </c>
      <c r="C19" s="65">
        <f>_xlfn.XLOOKUP($A19,'Modelling New'!$D:$D,'Modelling New'!S:S)</f>
        <v>791.78207238387085</v>
      </c>
      <c r="D19" s="66">
        <f>SUMIF('Daily KPI'!$D:$D,$A19,'Daily KPI'!I:I)</f>
        <v>0</v>
      </c>
      <c r="E19" s="65">
        <f>_xlfn.XLOOKUP($A19,'Modelling New'!$D:$D,'Modelling New'!V:V)</f>
        <v>6745.7903987041518</v>
      </c>
      <c r="F19" s="66">
        <f>SUMIF('Daily KPI'!$D:$D,$A19,'Daily KPI'!AA:AA)/1000</f>
        <v>0</v>
      </c>
      <c r="G19" s="60">
        <f>IFERROR(E19/C19/'Modelling New'!$AQ$1,"")</f>
        <v>0.72694167452166047</v>
      </c>
      <c r="H19" s="61" t="str">
        <f>IFERROR(F19/D19/'Modelling New'!$AQ$1,"")</f>
        <v/>
      </c>
      <c r="I19" s="60">
        <f>IFERROR(E19/(B19*24*'Modelling New'!$AQ$1),"")</f>
        <v>0.77362820639107766</v>
      </c>
      <c r="J19" s="61">
        <f>IFERROR(F19/(B19*24*'Modelling New'!$AQ$1),"")</f>
        <v>0</v>
      </c>
      <c r="K19" s="60">
        <f>_xlfn.XLOOKUP($A19,'Modelling New'!$D:$D,'Modelling New'!AF:AF)</f>
        <v>0.98550000000000004</v>
      </c>
      <c r="L19" s="61" t="str">
        <f>IFERROR(AVERAGEIF('Daily KPI'!$D:$D,$A19,'Daily KPI'!R:R),"")</f>
        <v/>
      </c>
      <c r="M19" s="60">
        <f>_xlfn.XLOOKUP($A19,'Modelling New'!$D:$D,'Modelling New'!AE:AE)</f>
        <v>0.995</v>
      </c>
      <c r="N19" s="61" t="str">
        <f>IFERROR(AVERAGEIF('Daily KPI'!$D:$D,$A19,'Daily KPI'!O:O),"")</f>
        <v/>
      </c>
      <c r="O19" s="60">
        <f>_xlfn.XLOOKUP($A19,'Modelling New'!$D:$D,'Modelling New'!AG:AG)</f>
        <v>0.995</v>
      </c>
      <c r="P19" s="61" t="str">
        <f>IFERROR(AVERAGEIF('Daily KPI'!$D:$D,$A19,'Daily KPI'!T:T),"")</f>
        <v/>
      </c>
    </row>
    <row r="20" spans="1:16">
      <c r="A20" s="57">
        <v>46054</v>
      </c>
      <c r="B20" s="58">
        <f t="shared" si="0"/>
        <v>28</v>
      </c>
      <c r="C20" s="65">
        <f>_xlfn.XLOOKUP($A20,'Modelling New'!$D:$D,'Modelling New'!S:S)</f>
        <v>791.78207238387085</v>
      </c>
      <c r="D20" s="66">
        <f>SUMIF('Daily KPI'!$D:$D,$A20,'Daily KPI'!I:I)</f>
        <v>0</v>
      </c>
      <c r="E20" s="65">
        <f>_xlfn.XLOOKUP($A20,'Modelling New'!$D:$D,'Modelling New'!V:V)</f>
        <v>6745.7903987041518</v>
      </c>
      <c r="F20" s="66">
        <f>SUMIF('Daily KPI'!$D:$D,$A20,'Daily KPI'!AA:AA)/1000</f>
        <v>0</v>
      </c>
      <c r="G20" s="60">
        <f>IFERROR(E20/C20/'Modelling New'!$AQ$1,"")</f>
        <v>0.72694167452166047</v>
      </c>
      <c r="H20" s="61" t="str">
        <f>IFERROR(F20/D20/'Modelling New'!$AQ$1,"")</f>
        <v/>
      </c>
      <c r="I20" s="60">
        <f>IFERROR(E20/(B20*24*'Modelling New'!$AQ$1),"")</f>
        <v>0.85651694279012169</v>
      </c>
      <c r="J20" s="61">
        <f>IFERROR(F20/(B20*24*'Modelling New'!$AQ$1),"")</f>
        <v>0</v>
      </c>
      <c r="K20" s="60">
        <f>_xlfn.XLOOKUP($A20,'Modelling New'!$D:$D,'Modelling New'!AF:AF)</f>
        <v>0.98550000000000004</v>
      </c>
      <c r="L20" s="61" t="str">
        <f>IFERROR(AVERAGEIF('Daily KPI'!$D:$D,$A20,'Daily KPI'!R:R),"")</f>
        <v/>
      </c>
      <c r="M20" s="60">
        <f>_xlfn.XLOOKUP($A20,'Modelling New'!$D:$D,'Modelling New'!AE:AE)</f>
        <v>0.995</v>
      </c>
      <c r="N20" s="61" t="str">
        <f>IFERROR(AVERAGEIF('Daily KPI'!$D:$D,$A20,'Daily KPI'!O:O),"")</f>
        <v/>
      </c>
      <c r="O20" s="60">
        <f>_xlfn.XLOOKUP($A20,'Modelling New'!$D:$D,'Modelling New'!AG:AG)</f>
        <v>0.995</v>
      </c>
      <c r="P20" s="61" t="str">
        <f>IFERROR(AVERAGEIF('Daily KPI'!$D:$D,$A20,'Daily KPI'!T:T),"")</f>
        <v/>
      </c>
    </row>
    <row r="21" spans="1:16">
      <c r="A21" s="57">
        <v>46082</v>
      </c>
      <c r="B21" s="58">
        <f t="shared" si="0"/>
        <v>31</v>
      </c>
      <c r="C21" s="65">
        <f>_xlfn.XLOOKUP($A21,'Modelling New'!$D:$D,'Modelling New'!S:S)</f>
        <v>791.78207238387085</v>
      </c>
      <c r="D21" s="66">
        <f>SUMIF('Daily KPI'!$D:$D,$A21,'Daily KPI'!I:I)</f>
        <v>0</v>
      </c>
      <c r="E21" s="65">
        <f>_xlfn.XLOOKUP($A21,'Modelling New'!$D:$D,'Modelling New'!V:V)</f>
        <v>6745.7903987041518</v>
      </c>
      <c r="F21" s="66">
        <f>SUMIF('Daily KPI'!$D:$D,$A21,'Daily KPI'!AA:AA)/1000</f>
        <v>0</v>
      </c>
      <c r="G21" s="60">
        <f>IFERROR(E21/C21/'Modelling New'!$AQ$1,"")</f>
        <v>0.72694167452166047</v>
      </c>
      <c r="H21" s="61" t="str">
        <f>IFERROR(F21/D21/'Modelling New'!$AQ$1,"")</f>
        <v/>
      </c>
      <c r="I21" s="60">
        <f>IFERROR(E21/(B21*24*'Modelling New'!$AQ$1),"")</f>
        <v>0.77362820639107766</v>
      </c>
      <c r="J21" s="61">
        <f>IFERROR(F21/(B21*24*'Modelling New'!$AQ$1),"")</f>
        <v>0</v>
      </c>
      <c r="K21" s="60">
        <f>_xlfn.XLOOKUP($A21,'Modelling New'!$D:$D,'Modelling New'!AF:AF)</f>
        <v>0.98550000000000004</v>
      </c>
      <c r="L21" s="61" t="str">
        <f>IFERROR(AVERAGEIF('Daily KPI'!$D:$D,$A21,'Daily KPI'!R:R),"")</f>
        <v/>
      </c>
      <c r="M21" s="60">
        <f>_xlfn.XLOOKUP($A21,'Modelling New'!$D:$D,'Modelling New'!AE:AE)</f>
        <v>0.995</v>
      </c>
      <c r="N21" s="61" t="str">
        <f>IFERROR(AVERAGEIF('Daily KPI'!$D:$D,$A21,'Daily KPI'!O:O),"")</f>
        <v/>
      </c>
      <c r="O21" s="60">
        <f>_xlfn.XLOOKUP($A21,'Modelling New'!$D:$D,'Modelling New'!AG:AG)</f>
        <v>0.995</v>
      </c>
      <c r="P21" s="61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tabSelected="1" workbookViewId="0">
      <selection activeCell="D13" sqref="D13"/>
    </sheetView>
  </sheetViews>
  <sheetFormatPr defaultColWidth="9" defaultRowHeight="14.5"/>
  <cols>
    <col min="1" max="1" width="10.81640625" customWidth="1"/>
    <col min="2" max="2" width="14.81640625" customWidth="1"/>
    <col min="3" max="3" width="13.453125" customWidth="1"/>
    <col min="4" max="4" width="12" customWidth="1"/>
    <col min="5" max="5" width="12.26953125" customWidth="1"/>
    <col min="6" max="6" width="13.7265625" customWidth="1"/>
    <col min="8" max="8" width="9.453125" customWidth="1"/>
    <col min="9" max="9" width="10.26953125" customWidth="1"/>
    <col min="10" max="10" width="11.26953125" customWidth="1"/>
    <col min="12" max="12" width="9.26953125" customWidth="1"/>
    <col min="14" max="14" width="9.453125" customWidth="1"/>
    <col min="15" max="15" width="9.54296875" customWidth="1"/>
    <col min="16" max="16" width="9.7265625" customWidth="1"/>
  </cols>
  <sheetData>
    <row r="1" spans="1:16">
      <c r="A1" s="53" t="s">
        <v>60</v>
      </c>
      <c r="B1" s="54">
        <f>'Daily Dashboard'!$B$3</f>
        <v>45869</v>
      </c>
    </row>
    <row r="2" spans="1:16" ht="20.5" customHeight="1">
      <c r="A2" s="274" t="s">
        <v>79</v>
      </c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</row>
    <row r="3" spans="1:16" ht="43.5">
      <c r="A3" s="55" t="s">
        <v>62</v>
      </c>
      <c r="B3" s="55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>
      <c r="A4" s="57">
        <f>'Daily Dashboard'!B2</f>
        <v>45839</v>
      </c>
      <c r="B4" s="58">
        <f>DAY($B$1)</f>
        <v>31</v>
      </c>
      <c r="C4" s="58">
        <f>_xlfn.XLOOKUP($A$4,'Modelling New'!$D:$D,'Modelling New'!R:R)</f>
        <v>143.43493099999995</v>
      </c>
      <c r="D4" s="59">
        <f>SUMIF('Daily KPI'!$D:$D,$A$4,'Daily KPI'!I:I)</f>
        <v>132.78649999999999</v>
      </c>
      <c r="E4" s="58">
        <f>_xlfn.XLOOKUP($A$4,'Modelling New'!$D:$D,'Modelling New'!U:U)</f>
        <v>1261.7822784269715</v>
      </c>
      <c r="F4" s="59">
        <f>SUMIF('Daily KPI'!$D:$D,$A$4,'Daily KPI'!$AA:$AA)/1000</f>
        <v>1174.7493000000175</v>
      </c>
      <c r="G4" s="60">
        <f>IFERROR(E4/C4/'Modelling New'!$AQ$1,"")</f>
        <v>0.75058845994317613</v>
      </c>
      <c r="H4" s="61">
        <f>IFERROR(F4/D4/'Modelling New'!$AQ$1,"")</f>
        <v>0.75485521428205637</v>
      </c>
      <c r="I4" s="60">
        <f>IFERROR(E4/(B4*24*'Modelling New'!$AQ$1),"")</f>
        <v>0.14470511285127108</v>
      </c>
      <c r="J4" s="61">
        <f>IFERROR(F4/(B4*24*'Modelling New'!$AQ$1),"")</f>
        <v>0.13472390041836596</v>
      </c>
      <c r="K4" s="60">
        <f>_xlfn.XLOOKUP($A$4,'Modelling New'!$D:$D,'Modelling New'!AF:AF)</f>
        <v>0.98550000000000004</v>
      </c>
      <c r="L4" s="61">
        <f>IFERROR(AVERAGEIF('Daily KPI'!$D:$D,$A$4,'Daily KPI'!R:R),"")</f>
        <v>0.98564935200618686</v>
      </c>
      <c r="M4" s="60">
        <f>_xlfn.XLOOKUP($A$4,'Modelling New'!$D:$D,'Modelling New'!AE:AE)</f>
        <v>0.995</v>
      </c>
      <c r="N4" s="61">
        <f>IFERROR(AVERAGEIF('Daily KPI'!$D:$D,$A$4,'Daily KPI'!O:O),"")</f>
        <v>0.95041947485993727</v>
      </c>
      <c r="O4" s="60">
        <f>_xlfn.XLOOKUP($A$4,'Modelling New'!$D:$D,'Modelling New'!AG:AG)</f>
        <v>0.995</v>
      </c>
      <c r="P4" s="61">
        <f>IFERROR(AVERAGEIF('Daily KPI'!$D:$D,$A$4,'Daily KPI'!T:T),"")</f>
        <v>0.98762454581778047</v>
      </c>
    </row>
    <row r="7" spans="1:16">
      <c r="A7" s="53" t="s">
        <v>80</v>
      </c>
      <c r="B7" s="54">
        <f>B8-6</f>
        <v>45863</v>
      </c>
      <c r="D7" s="62"/>
      <c r="F7" s="62"/>
    </row>
    <row r="8" spans="1:16">
      <c r="A8" s="53" t="s">
        <v>81</v>
      </c>
      <c r="B8" s="54">
        <f>$B$1</f>
        <v>45869</v>
      </c>
    </row>
    <row r="9" spans="1:16" ht="21">
      <c r="A9" s="274" t="s">
        <v>79</v>
      </c>
      <c r="B9" s="274"/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</row>
    <row r="10" spans="1:16" ht="43.5">
      <c r="A10" s="55" t="s">
        <v>62</v>
      </c>
      <c r="B10" s="55" t="s">
        <v>63</v>
      </c>
      <c r="C10" s="56" t="s">
        <v>64</v>
      </c>
      <c r="D10" s="56" t="s">
        <v>65</v>
      </c>
      <c r="E10" s="56" t="s">
        <v>66</v>
      </c>
      <c r="F10" s="56" t="s">
        <v>67</v>
      </c>
      <c r="G10" s="56" t="s">
        <v>68</v>
      </c>
      <c r="H10" s="56" t="s">
        <v>69</v>
      </c>
      <c r="I10" s="56" t="s">
        <v>70</v>
      </c>
      <c r="J10" s="56" t="s">
        <v>71</v>
      </c>
      <c r="K10" s="56" t="s">
        <v>72</v>
      </c>
      <c r="L10" s="56" t="s">
        <v>73</v>
      </c>
      <c r="M10" s="56" t="s">
        <v>74</v>
      </c>
      <c r="N10" s="56" t="s">
        <v>75</v>
      </c>
      <c r="O10" s="56" t="s">
        <v>76</v>
      </c>
      <c r="P10" s="56" t="s">
        <v>77</v>
      </c>
    </row>
    <row r="11" spans="1:16">
      <c r="A11" s="57">
        <f>A4</f>
        <v>45839</v>
      </c>
      <c r="B11" s="58">
        <f>(B8-B7)+1</f>
        <v>7</v>
      </c>
      <c r="C11" s="58">
        <f>SUMIFS('Daily KPI'!$AC:$AC,'Daily KPI'!$A:$A,"&gt;="&amp;$B$7,'Daily KPI'!$A:$A,"&lt;="&amp;$B$8)</f>
        <v>32.388532806451607</v>
      </c>
      <c r="D11" s="59">
        <f>SUMIFS('Daily KPI'!$I:$I,'Daily KPI'!$A:$A,"&gt;="&amp;$B$7,'Daily KPI'!$A:$A,"&lt;="&amp;$B$8)</f>
        <v>24.231999999999999</v>
      </c>
      <c r="E11" s="58">
        <f>SUMIFS('Daily KPI'!$AD:$AD,'Daily KPI'!$A:$A,"&gt;="&amp;$B$7,'Daily KPI'!$A:$A,"&lt;="&amp;$B$8)/1000</f>
        <v>284.91857899963878</v>
      </c>
      <c r="F11" s="59">
        <f>SUMIFS('Daily KPI'!$AA:$AA,'Daily KPI'!$A:$A,"&gt;="&amp;$B$7,'Daily KPI'!$A:$A,"&lt;="&amp;$B$8)/1000</f>
        <v>221.61840000001621</v>
      </c>
      <c r="G11" s="60">
        <f>IFERROR(E11/C11/'Modelling New'!$AQ$1,"")</f>
        <v>0.75058845994317613</v>
      </c>
      <c r="H11" s="61">
        <f>IFERROR(F11/D11/'Modelling New'!$AQ$1,"")</f>
        <v>0.78034911667312756</v>
      </c>
      <c r="I11" s="60">
        <f>IFERROR(E11/(B11*24*'Modelling New'!$AQ$1),"")</f>
        <v>0.14470511285127111</v>
      </c>
      <c r="J11" s="61">
        <f>IFERROR(F11/(B11*24*'Modelling New'!$AQ$1),"")</f>
        <v>0.11255607020966206</v>
      </c>
      <c r="K11" s="60">
        <f>_xlfn.XLOOKUP($A$4,'Modelling New'!$D:$D,'Modelling New'!AF:AF)</f>
        <v>0.98550000000000004</v>
      </c>
      <c r="L11" s="61">
        <f>AVERAGEIFS('Daily KPI'!$R:$R,'Daily KPI'!$A:$A,"&gt;="&amp;$B$7,'Daily KPI'!$A:$A,"&lt;="&amp;$B$8)</f>
        <v>0.98414289868362026</v>
      </c>
      <c r="M11" s="60">
        <f>_xlfn.XLOOKUP($A$4,'Modelling New'!$D:$D,'Modelling New'!AE:AE)</f>
        <v>0.995</v>
      </c>
      <c r="N11" s="61">
        <f>AVERAGEIFS('Daily KPI'!$O:$O,'Daily KPI'!$A:$A,"&gt;="&amp;$B$7,'Daily KPI'!$A:$A,"&lt;="&amp;$B$8)</f>
        <v>0.9988314435895107</v>
      </c>
      <c r="O11" s="60">
        <f>_xlfn.XLOOKUP($A$4,'Modelling New'!$D:$D,'Modelling New'!AG:AG)</f>
        <v>0.995</v>
      </c>
      <c r="P11" s="61">
        <f>AVERAGEIFS('Daily KPI'!$T:$T,'Daily KPI'!$A:$A,"&gt;="&amp;$B$7,'Daily KPI'!$A:$A,"&lt;="&amp;$B$8)</f>
        <v>0.9896478747200661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V369"/>
  <sheetViews>
    <sheetView workbookViewId="0">
      <pane xSplit="1" ySplit="1" topLeftCell="B124" activePane="bottomRight" state="frozen"/>
      <selection pane="topRight" activeCell="AB39" sqref="AB39"/>
      <selection pane="bottomLeft" activeCell="AB39" sqref="AB39"/>
      <selection pane="bottomRight" activeCell="A129" sqref="A129"/>
    </sheetView>
  </sheetViews>
  <sheetFormatPr defaultColWidth="8.7265625" defaultRowHeight="14.5"/>
  <cols>
    <col min="1" max="1" width="12.81640625" style="116" customWidth="1"/>
    <col min="2" max="5" width="9" style="116" customWidth="1"/>
    <col min="6" max="9" width="10.26953125" style="116" customWidth="1"/>
    <col min="10" max="12" width="11.26953125" style="116" customWidth="1"/>
    <col min="13" max="13" width="15.1796875" style="116" bestFit="1" customWidth="1"/>
    <col min="14" max="39" width="11.26953125" style="116" customWidth="1"/>
    <col min="40" max="40" width="11.26953125" style="180" customWidth="1"/>
    <col min="41" max="43" width="11.26953125" style="116" customWidth="1"/>
    <col min="44" max="16384" width="8.7265625" style="116"/>
  </cols>
  <sheetData>
    <row r="1" spans="1:48" ht="58">
      <c r="A1" s="138" t="s">
        <v>34</v>
      </c>
      <c r="B1" s="139" t="s">
        <v>82</v>
      </c>
      <c r="C1" s="139" t="s">
        <v>83</v>
      </c>
      <c r="D1" s="139" t="s">
        <v>84</v>
      </c>
      <c r="E1" s="139" t="s">
        <v>63</v>
      </c>
      <c r="F1" s="140" t="s">
        <v>85</v>
      </c>
      <c r="G1" s="140" t="s">
        <v>86</v>
      </c>
      <c r="H1" s="140" t="s">
        <v>87</v>
      </c>
      <c r="I1" s="140" t="s">
        <v>88</v>
      </c>
      <c r="J1" s="140" t="s">
        <v>89</v>
      </c>
      <c r="K1" s="140" t="s">
        <v>90</v>
      </c>
      <c r="L1" s="140" t="s">
        <v>91</v>
      </c>
      <c r="M1" s="140" t="s">
        <v>92</v>
      </c>
      <c r="N1" s="140" t="s">
        <v>93</v>
      </c>
      <c r="O1" s="140" t="s">
        <v>94</v>
      </c>
      <c r="P1" s="140" t="s">
        <v>95</v>
      </c>
      <c r="Q1" s="140" t="s">
        <v>96</v>
      </c>
      <c r="R1" s="140" t="s">
        <v>97</v>
      </c>
      <c r="S1" s="140" t="s">
        <v>98</v>
      </c>
      <c r="T1" s="140" t="s">
        <v>99</v>
      </c>
      <c r="U1" s="140" t="s">
        <v>100</v>
      </c>
      <c r="V1" s="140" t="s">
        <v>101</v>
      </c>
      <c r="W1" s="140" t="s">
        <v>102</v>
      </c>
      <c r="X1" s="140" t="s">
        <v>103</v>
      </c>
      <c r="Y1" s="140" t="s">
        <v>104</v>
      </c>
      <c r="Z1" s="140" t="s">
        <v>105</v>
      </c>
      <c r="AA1" s="140" t="s">
        <v>106</v>
      </c>
      <c r="AB1" s="140" t="s">
        <v>107</v>
      </c>
      <c r="AC1" s="140" t="s">
        <v>108</v>
      </c>
      <c r="AD1" s="140" t="s">
        <v>109</v>
      </c>
      <c r="AE1" s="140" t="s">
        <v>110</v>
      </c>
      <c r="AF1" s="140" t="s">
        <v>111</v>
      </c>
      <c r="AG1" s="140" t="s">
        <v>112</v>
      </c>
      <c r="AH1" s="140" t="s">
        <v>113</v>
      </c>
      <c r="AI1" s="140" t="s">
        <v>114</v>
      </c>
      <c r="AJ1" s="140" t="s">
        <v>115</v>
      </c>
      <c r="AK1" s="140" t="s">
        <v>116</v>
      </c>
      <c r="AL1" s="140" t="s">
        <v>117</v>
      </c>
      <c r="AM1" s="140" t="s">
        <v>118</v>
      </c>
      <c r="AN1" s="141" t="s">
        <v>119</v>
      </c>
      <c r="AO1" s="140" t="s">
        <v>120</v>
      </c>
      <c r="AP1" s="140" t="s">
        <v>121</v>
      </c>
      <c r="AQ1" s="140" t="s">
        <v>122</v>
      </c>
      <c r="AR1" s="140" t="s">
        <v>123</v>
      </c>
      <c r="AS1" s="140" t="s">
        <v>124</v>
      </c>
      <c r="AT1" s="140" t="s">
        <v>518</v>
      </c>
      <c r="AU1" s="140" t="s">
        <v>517</v>
      </c>
      <c r="AV1" s="140" t="s">
        <v>519</v>
      </c>
    </row>
    <row r="2" spans="1:48">
      <c r="A2" s="142">
        <v>45745</v>
      </c>
      <c r="B2" s="143">
        <f>YEAR(Table13[[#This Row],[Date]])+IF(MONTH(Table13[[#This Row],[Date]])&gt;=4,1,0)</f>
        <v>2025</v>
      </c>
      <c r="C2" s="116">
        <f>YEAR(Table13[[#This Row],[Date]])</f>
        <v>2025</v>
      </c>
      <c r="D2" s="144">
        <f>Table13[[#This Row],[Date]]-DAY(Table13[[#This Row],[Date]])+1</f>
        <v>45717</v>
      </c>
      <c r="E2" s="116">
        <f t="shared" ref="E2:E45" si="0">DAY(EOMONTH(A2,0))</f>
        <v>31</v>
      </c>
      <c r="F2" s="117">
        <f>IFERROR(_xlfn.XLOOKUP($A2,'Raw Data'!$G:$G,'Raw Data'!$AH:$AH),"")</f>
        <v>12.066666666666666</v>
      </c>
      <c r="G2" s="118">
        <f>IFERROR(_xlfn.XLOOKUP($A2,'Raw Data'!$G:$G,'Raw Data'!$S:$S)/1000,"")</f>
        <v>0</v>
      </c>
      <c r="H2" s="118"/>
      <c r="I2" s="118">
        <f>IFERROR(_xlfn.XLOOKUP($A2,'Raw Data'!$G:$G,'Raw Data'!$AF:$AF)/1000,"")</f>
        <v>6.2009999999999996</v>
      </c>
      <c r="J2" s="118"/>
      <c r="K2" s="118">
        <f>IFERROR(_xlfn.XLOOKUP($A2,'Raw Data'!$G:$G,'Raw Data'!W:W),"")</f>
        <v>23</v>
      </c>
      <c r="L2" s="118">
        <f>IFERROR(_xlfn.XLOOKUP($A2,'Raw Data'!$G:$G,'Raw Data'!X:X),"")</f>
        <v>47</v>
      </c>
      <c r="M2" s="118">
        <f>IFERROR(_xlfn.XLOOKUP($A2,'Raw Data'!$G:$G,'Raw Data'!Y:Y),"")</f>
        <v>3</v>
      </c>
      <c r="N2" s="118">
        <f>IFERROR(_xlfn.XLOOKUP($A2,'Raw Data'!$G:$G,'Raw Data'!Z:Z),"")</f>
        <v>7</v>
      </c>
      <c r="O2" s="145" t="str">
        <f>IFERROR(1-SUMIF('Plant BD'!$B:$B,$A2,'Plant BD'!$AM:$AM)/($AA2+SUMIF('Plant BD'!$B:$B,$A2,'Plant BD'!$AM:$AM)),"")</f>
        <v/>
      </c>
      <c r="P2" s="145"/>
      <c r="Q2" s="146"/>
      <c r="R2" s="259" t="str">
        <f>IFERROR(1-SUMIF('Grid BD'!$B:$B,$A2,'Grid BD'!$AE:$AE)/($AA2+SUMIF('Grid BD'!$B:$B,$A2,'Grid BD'!$AE:$AE)),"")</f>
        <v/>
      </c>
      <c r="T2" s="146">
        <f>IFERROR(1-SUMIF(Tracker_BD!$H:$H,$A2,Tracker_BD!AI:AI)/$F2,"")</f>
        <v>0.95414999682479207</v>
      </c>
      <c r="U2" s="147" t="str">
        <f t="shared" ref="U2:U60" si="1">IFERROR(AA2/I2/AB2/1000,"")</f>
        <v/>
      </c>
      <c r="V2" s="147"/>
      <c r="W2" s="148" t="str">
        <f t="shared" ref="W2:W60" si="2">IFERROR(AA2/(24*AR2*1000),"")</f>
        <v/>
      </c>
      <c r="X2" s="143">
        <f>IFERROR(_xlfn.XLOOKUP($A2,'Raw Data'!$G:$G,'Raw Data'!$AB:$AB),"")</f>
        <v>50008</v>
      </c>
      <c r="Y2" s="143" t="str">
        <f>IFERROR(_xlfn.XLOOKUP($A2,'Raw Data'!$G:$G,'Raw Data'!AC:AC),"")</f>
        <v/>
      </c>
      <c r="Z2" s="143" t="str">
        <f>IFERROR(_xlfn.XLOOKUP($A2,'Raw Data'!$G:$G,'Raw Data'!AD:AD),"")</f>
        <v/>
      </c>
      <c r="AA2" s="143" t="str">
        <f>IFERROR(_xlfn.XLOOKUP($A2,'Raw Data'!$G:$G,'Raw Data'!AE:AE)*(1+(_xlfn.XLOOKUP(Table13[[#This Row],[Month Year]],JMR!$A:$A,JMR!$J:$J))),"")</f>
        <v/>
      </c>
      <c r="AB2" s="143">
        <f>IFERROR(_xlfn.XLOOKUP($A2,'Raw Data'!$G:$G,'Raw Data'!$H:$H),"")</f>
        <v>11.72</v>
      </c>
      <c r="AC2" s="149">
        <f>IFERROR(_xlfn.XLOOKUP($D2,'Modelling New'!$D:$D,'Modelling New'!$P:$P),"")</f>
        <v>7.7166057064516123</v>
      </c>
      <c r="AD2" s="143">
        <f>IFERROR(_xlfn.XLOOKUP($D2,'Modelling New'!$D:$D,'Modelling New'!$T:$T)*1000,"")</f>
        <v>74138.709677419363</v>
      </c>
      <c r="AE2" s="148">
        <f>IFERROR(_xlfn.XLOOKUP($D2,'Modelling New'!$D:$D,'Modelling New'!$O:$O),"")</f>
        <v>0.81976826488370957</v>
      </c>
      <c r="AF2" s="148">
        <f>IFERROR(_xlfn.XLOOKUP($D2,'Modelling New'!$D:$D,'Modelling New'!$W:$W),"")</f>
        <v>0.26357618628206536</v>
      </c>
      <c r="AG2" s="148">
        <f>IFERROR(_xlfn.XLOOKUP($D2,'Modelling New'!$D:$D,'Modelling New'!AE:AE),"")</f>
        <v>0.995</v>
      </c>
      <c r="AH2" s="148">
        <f>IFERROR(_xlfn.XLOOKUP($D2,'Modelling New'!$D:$D,'Modelling New'!AF:AF),"")</f>
        <v>0.98550000000000004</v>
      </c>
      <c r="AN2" s="145"/>
      <c r="AO2" s="148"/>
      <c r="AP2" s="148"/>
      <c r="AQ2" s="148"/>
      <c r="AR2" s="143">
        <f>IFERROR(_xlfn.XLOOKUP($D2,'Modelling New'!$D:$D,'Modelling New'!$N:$N),"")</f>
        <v>11.72</v>
      </c>
      <c r="AT2" s="143">
        <f>IFERROR(_xlfn.XLOOKUP(Table13[[#This Row],[Date]],'Raw Data'!$G:$G,'Raw Data'!$AJ:$AJ),"")</f>
        <v>0</v>
      </c>
      <c r="AU2" s="143">
        <f>IFERROR(_xlfn.XLOOKUP(Table13[[#This Row],[Month Year]],'Modelling New'!$D:$D,'Modelling New'!$AO:$AO),"")</f>
        <v>10</v>
      </c>
      <c r="AV2" s="143"/>
    </row>
    <row r="3" spans="1:48">
      <c r="A3" s="142">
        <f t="shared" ref="A3:A62" si="3">A2+1</f>
        <v>45746</v>
      </c>
      <c r="B3" s="143">
        <f>YEAR(Table13[[#This Row],[Date]])+IF(MONTH(Table13[[#This Row],[Date]])&gt;=4,1,0)</f>
        <v>2025</v>
      </c>
      <c r="C3" s="116">
        <f>YEAR(Table13[[#This Row],[Date]])</f>
        <v>2025</v>
      </c>
      <c r="D3" s="144">
        <f>Table13[[#This Row],[Date]]-DAY(Table13[[#This Row],[Date]])+1</f>
        <v>45717</v>
      </c>
      <c r="E3" s="116">
        <f t="shared" si="0"/>
        <v>31</v>
      </c>
      <c r="F3" s="117">
        <f>IFERROR(_xlfn.XLOOKUP($A3,'Raw Data'!$G:$G,'Raw Data'!$AH:$AH),"")</f>
        <v>11.733333333333333</v>
      </c>
      <c r="G3" s="118">
        <f>IFERROR(_xlfn.XLOOKUP($A3,'Raw Data'!$G:$G,'Raw Data'!$S:$S)/1000,"")</f>
        <v>0</v>
      </c>
      <c r="H3" s="118"/>
      <c r="I3" s="118">
        <f>IFERROR(_xlfn.XLOOKUP($A3,'Raw Data'!$G:$G,'Raw Data'!$AF:$AF)/1000,"")</f>
        <v>6.4634999999999998</v>
      </c>
      <c r="J3" s="118"/>
      <c r="K3" s="118">
        <f>IFERROR(_xlfn.XLOOKUP($A3,'Raw Data'!$G:$G,'Raw Data'!W:W),"")</f>
        <v>23</v>
      </c>
      <c r="L3" s="118">
        <f>IFERROR(_xlfn.XLOOKUP($A3,'Raw Data'!$G:$G,'Raw Data'!X:X),"")</f>
        <v>47</v>
      </c>
      <c r="M3" s="118">
        <f>IFERROR(_xlfn.XLOOKUP($A3,'Raw Data'!$G:$G,'Raw Data'!Y:Y),"")</f>
        <v>3</v>
      </c>
      <c r="N3" s="118">
        <f>IFERROR(_xlfn.XLOOKUP($A3,'Raw Data'!$G:$G,'Raw Data'!Z:Z),"")</f>
        <v>7</v>
      </c>
      <c r="O3" s="145" t="str">
        <f>IFERROR(1-SUMIF('Plant BD'!$B:$B,$A3,'Plant BD'!$AM:$AM)/($AA3+SUMIF('Plant BD'!$B:$B,$A3,'Plant BD'!$AM:$AM)),"")</f>
        <v/>
      </c>
      <c r="P3" s="145"/>
      <c r="Q3" s="146"/>
      <c r="R3" s="145" t="str">
        <f>IFERROR(1-SUMIF('Grid BD'!$B:$B,$A3,'Grid BD'!$AE:$AE)/($AA3+SUMIF('Grid BD'!$B:$B,$A3,'Grid BD'!$AE:$AE)),"")</f>
        <v/>
      </c>
      <c r="T3" s="146">
        <f>IFERROR(1-SUMIF(Tracker_BD!$H:$H,$A3,Tracker_BD!AI:AI)/$F3,"")</f>
        <v>0.9538270637408568</v>
      </c>
      <c r="U3" s="147" t="str">
        <f t="shared" si="1"/>
        <v/>
      </c>
      <c r="V3" s="147"/>
      <c r="W3" s="148" t="str">
        <f t="shared" si="2"/>
        <v/>
      </c>
      <c r="X3" s="143">
        <f>IFERROR(_xlfn.XLOOKUP($A3,'Raw Data'!$G:$G,'Raw Data'!$AB:$AB),"")</f>
        <v>53648</v>
      </c>
      <c r="Y3" s="143">
        <f>IFERROR(_xlfn.XLOOKUP($A3,'Raw Data'!$G:$G,'Raw Data'!AC:AC),"")</f>
        <v>53632.89999999688</v>
      </c>
      <c r="Z3" s="143">
        <f>IFERROR(_xlfn.XLOOKUP($A3,'Raw Data'!$G:$G,'Raw Data'!AD:AD),"")</f>
        <v>194.70000000001164</v>
      </c>
      <c r="AA3" s="143" t="str">
        <f>IFERROR(_xlfn.XLOOKUP($A3,'Raw Data'!$G:$G,'Raw Data'!AE:AE)*(1+(_xlfn.XLOOKUP(Table13[[#This Row],[Month Year]],JMR!$A:$A,JMR!$J:$J))),"")</f>
        <v/>
      </c>
      <c r="AB3" s="143">
        <f>IFERROR(_xlfn.XLOOKUP($A3,'Raw Data'!$G:$G,'Raw Data'!$H:$H),"")</f>
        <v>11.72</v>
      </c>
      <c r="AC3" s="149">
        <f>IFERROR(_xlfn.XLOOKUP($D3,'Modelling New'!$D:$D,'Modelling New'!$P:$P),"")</f>
        <v>7.7166057064516123</v>
      </c>
      <c r="AD3" s="143">
        <f>IFERROR(_xlfn.XLOOKUP($D3,'Modelling New'!$D:$D,'Modelling New'!$T:$T)*1000,"")</f>
        <v>74138.709677419363</v>
      </c>
      <c r="AE3" s="148">
        <f>IFERROR(_xlfn.XLOOKUP($D3,'Modelling New'!$D:$D,'Modelling New'!$O:$O),"")</f>
        <v>0.81976826488370957</v>
      </c>
      <c r="AF3" s="148">
        <f>IFERROR(_xlfn.XLOOKUP($D3,'Modelling New'!$D:$D,'Modelling New'!$W:$W),"")</f>
        <v>0.26357618628206536</v>
      </c>
      <c r="AG3" s="148">
        <f>IFERROR(_xlfn.XLOOKUP($D3,'Modelling New'!$D:$D,'Modelling New'!AE:AE),"")</f>
        <v>0.995</v>
      </c>
      <c r="AH3" s="148">
        <f>IFERROR(_xlfn.XLOOKUP($D3,'Modelling New'!$D:$D,'Modelling New'!AF:AF),"")</f>
        <v>0.98550000000000004</v>
      </c>
      <c r="AN3" s="145"/>
      <c r="AO3" s="148"/>
      <c r="AP3" s="148"/>
      <c r="AQ3" s="148"/>
      <c r="AR3" s="143">
        <f>IFERROR(_xlfn.XLOOKUP($D3,'Modelling New'!$D:$D,'Modelling New'!$N:$N),"")</f>
        <v>11.72</v>
      </c>
      <c r="AT3" s="143">
        <f>IFERROR(_xlfn.XLOOKUP(Table13[[#This Row],[Date]],'Raw Data'!$G:$G,'Raw Data'!$AJ:$AJ),"")</f>
        <v>0</v>
      </c>
      <c r="AU3" s="143">
        <f>IFERROR(_xlfn.XLOOKUP(Table13[[#This Row],[Month Year]],'Modelling New'!$D:$D,'Modelling New'!$AO:$AO),"")</f>
        <v>10</v>
      </c>
      <c r="AV3" s="143"/>
    </row>
    <row r="4" spans="1:48">
      <c r="A4" s="142">
        <f t="shared" si="3"/>
        <v>45747</v>
      </c>
      <c r="B4" s="143">
        <f>YEAR(Table13[[#This Row],[Date]])+IF(MONTH(Table13[[#This Row],[Date]])&gt;=4,1,0)</f>
        <v>2025</v>
      </c>
      <c r="C4" s="116">
        <f>YEAR(Table13[[#This Row],[Date]])</f>
        <v>2025</v>
      </c>
      <c r="D4" s="144">
        <f>Table13[[#This Row],[Date]]-DAY(Table13[[#This Row],[Date]])+1</f>
        <v>45717</v>
      </c>
      <c r="E4" s="116">
        <f t="shared" si="0"/>
        <v>31</v>
      </c>
      <c r="F4" s="117">
        <f>IFERROR(_xlfn.XLOOKUP($A4,'Raw Data'!$G:$G,'Raw Data'!$AH:$AH),"")</f>
        <v>11.749999999999998</v>
      </c>
      <c r="G4" s="118">
        <f>IFERROR(_xlfn.XLOOKUP($A4,'Raw Data'!$G:$G,'Raw Data'!$S:$S)/1000,"")</f>
        <v>0</v>
      </c>
      <c r="H4" s="118"/>
      <c r="I4" s="118">
        <f>IFERROR(_xlfn.XLOOKUP($A4,'Raw Data'!$G:$G,'Raw Data'!$AF:$AF)/1000,"")</f>
        <v>6.7590000000000003</v>
      </c>
      <c r="J4" s="118"/>
      <c r="K4" s="118">
        <f>IFERROR(_xlfn.XLOOKUP($A4,'Raw Data'!$G:$G,'Raw Data'!W:W),"")</f>
        <v>23</v>
      </c>
      <c r="L4" s="118">
        <f>IFERROR(_xlfn.XLOOKUP($A4,'Raw Data'!$G:$G,'Raw Data'!X:X),"")</f>
        <v>45.64</v>
      </c>
      <c r="M4" s="118">
        <f>IFERROR(_xlfn.XLOOKUP($A4,'Raw Data'!$G:$G,'Raw Data'!Y:Y),"")</f>
        <v>7.9</v>
      </c>
      <c r="N4" s="118">
        <f>IFERROR(_xlfn.XLOOKUP($A4,'Raw Data'!$G:$G,'Raw Data'!Z:Z),"")</f>
        <v>10</v>
      </c>
      <c r="O4" s="145" t="str">
        <f>IFERROR(1-SUMIF('Plant BD'!$B:$B,$A4,'Plant BD'!$AM:$AM)/($AA4+SUMIF('Plant BD'!$B:$B,$A4,'Plant BD'!$AM:$AM)),"")</f>
        <v/>
      </c>
      <c r="P4" s="145"/>
      <c r="Q4" s="146"/>
      <c r="R4" s="145" t="str">
        <f>IFERROR(1-SUMIF('Grid BD'!$B:$B,$A4,'Grid BD'!$AE:$AE)/($AA4+SUMIF('Grid BD'!$B:$B,$A4,'Grid BD'!$AE:$AE)),"")</f>
        <v/>
      </c>
      <c r="T4" s="146">
        <f>IFERROR(1-SUMIF(Tracker_BD!$H:$H,$A4,Tracker_BD!AI:AI)/$F4,"")</f>
        <v>0.95434906660145102</v>
      </c>
      <c r="U4" s="147" t="str">
        <f t="shared" si="1"/>
        <v/>
      </c>
      <c r="V4" s="147"/>
      <c r="W4" s="148" t="str">
        <f t="shared" si="2"/>
        <v/>
      </c>
      <c r="X4" s="143">
        <f>IFERROR(_xlfn.XLOOKUP($A4,'Raw Data'!$G:$G,'Raw Data'!$AB:$AB),"")</f>
        <v>55860</v>
      </c>
      <c r="Y4" s="143">
        <f>IFERROR(_xlfn.XLOOKUP($A4,'Raw Data'!$G:$G,'Raw Data'!AC:AC),"")</f>
        <v>55857.400000008056</v>
      </c>
      <c r="Z4" s="143">
        <f>IFERROR(_xlfn.XLOOKUP($A4,'Raw Data'!$G:$G,'Raw Data'!AD:AD),"")</f>
        <v>213.799999999992</v>
      </c>
      <c r="AA4" s="143" t="str">
        <f>IFERROR(_xlfn.XLOOKUP($A4,'Raw Data'!$G:$G,'Raw Data'!AE:AE)*(1+(_xlfn.XLOOKUP(Table13[[#This Row],[Month Year]],JMR!$A:$A,JMR!$J:$J))),"")</f>
        <v/>
      </c>
      <c r="AB4" s="143">
        <f>IFERROR(_xlfn.XLOOKUP($A4,'Raw Data'!$G:$G,'Raw Data'!$H:$H),"")</f>
        <v>11.72</v>
      </c>
      <c r="AC4" s="149">
        <f>IFERROR(_xlfn.XLOOKUP($D4,'Modelling New'!$D:$D,'Modelling New'!$P:$P),"")</f>
        <v>7.7166057064516123</v>
      </c>
      <c r="AD4" s="143">
        <f>IFERROR(_xlfn.XLOOKUP($D4,'Modelling New'!$D:$D,'Modelling New'!$T:$T)*1000,"")</f>
        <v>74138.709677419363</v>
      </c>
      <c r="AE4" s="148">
        <f>IFERROR(_xlfn.XLOOKUP($D4,'Modelling New'!$D:$D,'Modelling New'!$O:$O),"")</f>
        <v>0.81976826488370957</v>
      </c>
      <c r="AF4" s="148">
        <f>IFERROR(_xlfn.XLOOKUP($D4,'Modelling New'!$D:$D,'Modelling New'!$W:$W),"")</f>
        <v>0.26357618628206536</v>
      </c>
      <c r="AG4" s="148">
        <f>IFERROR(_xlfn.XLOOKUP($D4,'Modelling New'!$D:$D,'Modelling New'!AE:AE),"")</f>
        <v>0.995</v>
      </c>
      <c r="AH4" s="148">
        <f>IFERROR(_xlfn.XLOOKUP($D4,'Modelling New'!$D:$D,'Modelling New'!AF:AF),"")</f>
        <v>0.98550000000000004</v>
      </c>
      <c r="AN4" s="145"/>
      <c r="AO4" s="148"/>
      <c r="AP4" s="148"/>
      <c r="AQ4" s="148"/>
      <c r="AR4" s="143">
        <f>IFERROR(_xlfn.XLOOKUP($D4,'Modelling New'!$D:$D,'Modelling New'!$N:$N),"")</f>
        <v>11.72</v>
      </c>
      <c r="AT4" s="143">
        <f>IFERROR(_xlfn.XLOOKUP(Table13[[#This Row],[Date]],'Raw Data'!$G:$G,'Raw Data'!$AJ:$AJ),"")</f>
        <v>0</v>
      </c>
      <c r="AU4" s="143">
        <f>IFERROR(_xlfn.XLOOKUP(Table13[[#This Row],[Month Year]],'Modelling New'!$D:$D,'Modelling New'!$AO:$AO),"")</f>
        <v>10</v>
      </c>
      <c r="AV4" s="143"/>
    </row>
    <row r="5" spans="1:48">
      <c r="A5" s="142">
        <f t="shared" si="3"/>
        <v>45748</v>
      </c>
      <c r="B5" s="143">
        <f>YEAR(Table13[[#This Row],[Date]])+IF(MONTH(Table13[[#This Row],[Date]])&gt;=4,1,0)</f>
        <v>2026</v>
      </c>
      <c r="C5" s="116">
        <f>YEAR(Table13[[#This Row],[Date]])</f>
        <v>2025</v>
      </c>
      <c r="D5" s="144">
        <f>Table13[[#This Row],[Date]]-DAY(Table13[[#This Row],[Date]])+1</f>
        <v>45748</v>
      </c>
      <c r="E5" s="116">
        <f t="shared" si="0"/>
        <v>30</v>
      </c>
      <c r="F5" s="117">
        <f>IFERROR(_xlfn.XLOOKUP($A5,'Raw Data'!$G:$G,'Raw Data'!$AH:$AH),"")</f>
        <v>11.883333333333333</v>
      </c>
      <c r="G5" s="118">
        <f>IFERROR(_xlfn.XLOOKUP($A5,'Raw Data'!$G:$G,'Raw Data'!$S:$S)/1000,"")</f>
        <v>0</v>
      </c>
      <c r="H5" s="118"/>
      <c r="I5" s="118">
        <f>IFERROR(_xlfn.XLOOKUP($A5,'Raw Data'!$G:$G,'Raw Data'!$AF:$AF)/1000,"")</f>
        <v>6.5220000000000002</v>
      </c>
      <c r="J5" s="118"/>
      <c r="K5" s="118">
        <f>IFERROR(_xlfn.XLOOKUP($A5,'Raw Data'!$G:$G,'Raw Data'!W:W),"")</f>
        <v>23</v>
      </c>
      <c r="L5" s="118">
        <f>IFERROR(_xlfn.XLOOKUP($A5,'Raw Data'!$G:$G,'Raw Data'!X:X),"")</f>
        <v>46.3</v>
      </c>
      <c r="M5" s="118">
        <f>IFERROR(_xlfn.XLOOKUP($A5,'Raw Data'!$G:$G,'Raw Data'!Y:Y),"")</f>
        <v>6</v>
      </c>
      <c r="N5" s="118">
        <f>IFERROR(_xlfn.XLOOKUP($A5,'Raw Data'!$G:$G,'Raw Data'!Z:Z),"")</f>
        <v>11</v>
      </c>
      <c r="O5" s="145">
        <f>IFERROR(1-SUMIF('Plant BD'!$B:$B,$A5,'Plant BD'!$AM:$AM)/($AA5+SUMIF('Plant BD'!$B:$B,$A5,'Plant BD'!$AM:$AM)),"")</f>
        <v>1</v>
      </c>
      <c r="P5" s="145"/>
      <c r="Q5" s="146"/>
      <c r="R5" s="145">
        <f>IFERROR(1-SUMIF('Grid BD'!$B:$B,$A5,'Grid BD'!$AE:$AE)/($AA5+SUMIF('Grid BD'!$B:$B,$A5,'Grid BD'!$AE:$AE)),"")</f>
        <v>1</v>
      </c>
      <c r="T5" s="146">
        <f>IFERROR(1-SUMIF(Tracker_BD!$H:$H,$A5,Tracker_BD!AI:AI)/$F5,"")</f>
        <v>0.95415195627992455</v>
      </c>
      <c r="U5" s="147">
        <f t="shared" si="1"/>
        <v>0.70270823979325225</v>
      </c>
      <c r="V5" s="147"/>
      <c r="W5" s="148">
        <f t="shared" si="2"/>
        <v>0.19096096416381625</v>
      </c>
      <c r="X5" s="143">
        <f>IFERROR(_xlfn.XLOOKUP($A5,'Raw Data'!$G:$G,'Raw Data'!$AB:$AB),"")</f>
        <v>53934</v>
      </c>
      <c r="Y5" s="143">
        <f>IFERROR(_xlfn.XLOOKUP($A5,'Raw Data'!$G:$G,'Raw Data'!AC:AC),"")</f>
        <v>53905.59999999823</v>
      </c>
      <c r="Z5" s="143">
        <f>IFERROR(_xlfn.XLOOKUP($A5,'Raw Data'!$G:$G,'Raw Data'!AD:AD),"")</f>
        <v>192.09999999998217</v>
      </c>
      <c r="AA5" s="143">
        <f>IFERROR(_xlfn.XLOOKUP($A5,'Raw Data'!$G:$G,'Raw Data'!AE:AE)*(1+(_xlfn.XLOOKUP(Table13[[#This Row],[Month Year]],JMR!$A:$A,JMR!$J:$J))),"")</f>
        <v>53713.499999998246</v>
      </c>
      <c r="AB5" s="143">
        <f>IFERROR(_xlfn.XLOOKUP($A5,'Raw Data'!$G:$G,'Raw Data'!$H:$H),"")</f>
        <v>11.72</v>
      </c>
      <c r="AC5" s="149">
        <f>IFERROR(_xlfn.XLOOKUP($D5,'Modelling New'!$D:$D,'Modelling New'!$P:$P),"")</f>
        <v>7.6186700233333315</v>
      </c>
      <c r="AD5" s="143">
        <f>IFERROR(_xlfn.XLOOKUP($D5,'Modelling New'!$D:$D,'Modelling New'!$T:$T)*1000,"")</f>
        <v>63455.713653610728</v>
      </c>
      <c r="AE5" s="148">
        <f>IFERROR(_xlfn.XLOOKUP($D5,'Modelling New'!$D:$D,'Modelling New'!$O:$O),"")</f>
        <v>0.71066341265888178</v>
      </c>
      <c r="AF5" s="148">
        <f>IFERROR(_xlfn.XLOOKUP($D5,'Modelling New'!$D:$D,'Modelling New'!$W:$W),"")</f>
        <v>0.22559625161266611</v>
      </c>
      <c r="AG5" s="148">
        <f>IFERROR(_xlfn.XLOOKUP($D5,'Modelling New'!$D:$D,'Modelling New'!AE:AE),"")</f>
        <v>0.995</v>
      </c>
      <c r="AH5" s="148">
        <f>IFERROR(_xlfn.XLOOKUP($D5,'Modelling New'!$D:$D,'Modelling New'!AF:AF),"")</f>
        <v>0.98550000000000004</v>
      </c>
      <c r="AN5" s="145"/>
      <c r="AO5" s="148"/>
      <c r="AP5" s="148"/>
      <c r="AQ5" s="148"/>
      <c r="AR5" s="143">
        <f>IFERROR(_xlfn.XLOOKUP($D5,'Modelling New'!$D:$D,'Modelling New'!$N:$N),"")</f>
        <v>11.72</v>
      </c>
      <c r="AT5" s="143">
        <f>IFERROR(_xlfn.XLOOKUP(Table13[[#This Row],[Date]],'Raw Data'!$G:$G,'Raw Data'!$AJ:$AJ),"")</f>
        <v>0</v>
      </c>
      <c r="AU5" s="143">
        <f>IFERROR(_xlfn.XLOOKUP(Table13[[#This Row],[Month Year]],'Modelling New'!$D:$D,'Modelling New'!$AO:$AO),"")</f>
        <v>10</v>
      </c>
      <c r="AV5" s="143"/>
    </row>
    <row r="6" spans="1:48">
      <c r="A6" s="142">
        <f t="shared" si="3"/>
        <v>45749</v>
      </c>
      <c r="B6" s="143">
        <f>YEAR(Table13[[#This Row],[Date]])+IF(MONTH(Table13[[#This Row],[Date]])&gt;=4,1,0)</f>
        <v>2026</v>
      </c>
      <c r="C6" s="116">
        <f>YEAR(Table13[[#This Row],[Date]])</f>
        <v>2025</v>
      </c>
      <c r="D6" s="144">
        <f>Table13[[#This Row],[Date]]-DAY(Table13[[#This Row],[Date]])+1</f>
        <v>45748</v>
      </c>
      <c r="E6" s="116">
        <f t="shared" si="0"/>
        <v>30</v>
      </c>
      <c r="F6" s="117">
        <f>IFERROR(_xlfn.XLOOKUP($A6,'Raw Data'!$G:$G,'Raw Data'!$AH:$AH),"")</f>
        <v>11.85</v>
      </c>
      <c r="G6" s="118">
        <f>IFERROR(_xlfn.XLOOKUP($A6,'Raw Data'!$G:$G,'Raw Data'!$S:$S)/1000,"")</f>
        <v>0</v>
      </c>
      <c r="H6" s="118"/>
      <c r="I6" s="118">
        <f>IFERROR(_xlfn.XLOOKUP($A6,'Raw Data'!$G:$G,'Raw Data'!$AF:$AF)/1000,"")</f>
        <v>7.8250000000000002</v>
      </c>
      <c r="J6" s="118"/>
      <c r="K6" s="118">
        <f>IFERROR(_xlfn.XLOOKUP($A6,'Raw Data'!$G:$G,'Raw Data'!W:W),"")</f>
        <v>23</v>
      </c>
      <c r="L6" s="118">
        <f>IFERROR(_xlfn.XLOOKUP($A6,'Raw Data'!$G:$G,'Raw Data'!X:X),"")</f>
        <v>46.3</v>
      </c>
      <c r="M6" s="118">
        <f>IFERROR(_xlfn.XLOOKUP($A6,'Raw Data'!$G:$G,'Raw Data'!Y:Y),"")</f>
        <v>6</v>
      </c>
      <c r="N6" s="118">
        <f>IFERROR(_xlfn.XLOOKUP($A6,'Raw Data'!$G:$G,'Raw Data'!Z:Z),"")</f>
        <v>11</v>
      </c>
      <c r="O6" s="145">
        <f>IFERROR(1-SUMIF('Plant BD'!$B:$B,$A6,'Plant BD'!$AM:$AM)/($AA6+SUMIF('Plant BD'!$B:$B,$A6,'Plant BD'!$AM:$AM)),"")</f>
        <v>1</v>
      </c>
      <c r="P6" s="145"/>
      <c r="Q6" s="146"/>
      <c r="R6" s="145">
        <f>IFERROR(1-SUMIF('Grid BD'!$B:$B,$A6,'Grid BD'!$AE:$AE)/($AA6+SUMIF('Grid BD'!$B:$B,$A6,'Grid BD'!$AE:$AE)),"")</f>
        <v>1</v>
      </c>
      <c r="T6" s="146">
        <f>IFERROR(1-SUMIF(Tracker_BD!$H:$H,$A6,Tracker_BD!AI:AI)/$F6,"")</f>
        <v>0.95421698433483682</v>
      </c>
      <c r="U6" s="147">
        <f t="shared" si="1"/>
        <v>0.70005342987051389</v>
      </c>
      <c r="V6" s="147"/>
      <c r="W6" s="148">
        <f t="shared" si="2"/>
        <v>0.22824658703069881</v>
      </c>
      <c r="X6" s="143">
        <f>IFERROR(_xlfn.XLOOKUP($A6,'Raw Data'!$G:$G,'Raw Data'!$AB:$AB),"")</f>
        <v>64439</v>
      </c>
      <c r="Y6" s="143">
        <f>IFERROR(_xlfn.XLOOKUP($A6,'Raw Data'!$G:$G,'Raw Data'!AC:AC),"")</f>
        <v>64403.999999994994</v>
      </c>
      <c r="Z6" s="143">
        <f>IFERROR(_xlfn.XLOOKUP($A6,'Raw Data'!$G:$G,'Raw Data'!AD:AD),"")</f>
        <v>202.80000000002474</v>
      </c>
      <c r="AA6" s="143">
        <f>IFERROR(_xlfn.XLOOKUP($A6,'Raw Data'!$G:$G,'Raw Data'!AE:AE)*(1+(_xlfn.XLOOKUP(Table13[[#This Row],[Month Year]],JMR!$A:$A,JMR!$J:$J))),"")</f>
        <v>64201.199999994969</v>
      </c>
      <c r="AB6" s="143">
        <f>IFERROR(_xlfn.XLOOKUP($A6,'Raw Data'!$G:$G,'Raw Data'!$H:$H),"")</f>
        <v>11.72</v>
      </c>
      <c r="AC6" s="149">
        <f>IFERROR(_xlfn.XLOOKUP($D6,'Modelling New'!$D:$D,'Modelling New'!$P:$P),"")</f>
        <v>7.6186700233333315</v>
      </c>
      <c r="AD6" s="143">
        <f>IFERROR(_xlfn.XLOOKUP($D6,'Modelling New'!$D:$D,'Modelling New'!$T:$T)*1000,"")</f>
        <v>63455.713653610728</v>
      </c>
      <c r="AE6" s="148">
        <f>IFERROR(_xlfn.XLOOKUP($D6,'Modelling New'!$D:$D,'Modelling New'!$O:$O),"")</f>
        <v>0.71066341265888178</v>
      </c>
      <c r="AF6" s="148">
        <f>IFERROR(_xlfn.XLOOKUP($D6,'Modelling New'!$D:$D,'Modelling New'!$W:$W),"")</f>
        <v>0.22559625161266611</v>
      </c>
      <c r="AG6" s="148">
        <f>IFERROR(_xlfn.XLOOKUP($D6,'Modelling New'!$D:$D,'Modelling New'!AE:AE),"")</f>
        <v>0.995</v>
      </c>
      <c r="AH6" s="148">
        <f>IFERROR(_xlfn.XLOOKUP($D6,'Modelling New'!$D:$D,'Modelling New'!AF:AF),"")</f>
        <v>0.98550000000000004</v>
      </c>
      <c r="AN6" s="145"/>
      <c r="AO6" s="148"/>
      <c r="AP6" s="148"/>
      <c r="AQ6" s="148"/>
      <c r="AR6" s="143">
        <f>IFERROR(_xlfn.XLOOKUP($D6,'Modelling New'!$D:$D,'Modelling New'!$N:$N),"")</f>
        <v>11.72</v>
      </c>
      <c r="AT6" s="143">
        <f>IFERROR(_xlfn.XLOOKUP(Table13[[#This Row],[Date]],'Raw Data'!$G:$G,'Raw Data'!$AJ:$AJ),"")</f>
        <v>0</v>
      </c>
      <c r="AU6" s="143">
        <f>IFERROR(_xlfn.XLOOKUP(Table13[[#This Row],[Month Year]],'Modelling New'!$D:$D,'Modelling New'!$AO:$AO),"")</f>
        <v>10</v>
      </c>
      <c r="AV6" s="143"/>
    </row>
    <row r="7" spans="1:48">
      <c r="A7" s="142">
        <f t="shared" si="3"/>
        <v>45750</v>
      </c>
      <c r="B7" s="143">
        <f>YEAR(Table13[[#This Row],[Date]])+IF(MONTH(Table13[[#This Row],[Date]])&gt;=4,1,0)</f>
        <v>2026</v>
      </c>
      <c r="C7" s="116">
        <f>YEAR(Table13[[#This Row],[Date]])</f>
        <v>2025</v>
      </c>
      <c r="D7" s="144">
        <f>Table13[[#This Row],[Date]]-DAY(Table13[[#This Row],[Date]])+1</f>
        <v>45748</v>
      </c>
      <c r="E7" s="116">
        <f t="shared" si="0"/>
        <v>30</v>
      </c>
      <c r="F7" s="117">
        <f>IFERROR(_xlfn.XLOOKUP($A7,'Raw Data'!$G:$G,'Raw Data'!$AH:$AH),"")</f>
        <v>11.7</v>
      </c>
      <c r="G7" s="118">
        <f>IFERROR(_xlfn.XLOOKUP($A7,'Raw Data'!$G:$G,'Raw Data'!$S:$S)/1000,"")</f>
        <v>0</v>
      </c>
      <c r="H7" s="118"/>
      <c r="I7" s="118">
        <f>IFERROR(_xlfn.XLOOKUP($A7,'Raw Data'!$G:$G,'Raw Data'!$AF:$AF)/1000,"")</f>
        <v>4.1340000000000003</v>
      </c>
      <c r="J7" s="118"/>
      <c r="K7" s="118">
        <f>IFERROR(_xlfn.XLOOKUP($A7,'Raw Data'!$G:$G,'Raw Data'!W:W),"")</f>
        <v>23</v>
      </c>
      <c r="L7" s="118">
        <f>IFERROR(_xlfn.XLOOKUP($A7,'Raw Data'!$G:$G,'Raw Data'!X:X),"")</f>
        <v>35</v>
      </c>
      <c r="M7" s="118">
        <f>IFERROR(_xlfn.XLOOKUP($A7,'Raw Data'!$G:$G,'Raw Data'!Y:Y),"")</f>
        <v>8</v>
      </c>
      <c r="N7" s="118">
        <f>IFERROR(_xlfn.XLOOKUP($A7,'Raw Data'!$G:$G,'Raw Data'!Z:Z),"")</f>
        <v>13</v>
      </c>
      <c r="O7" s="145">
        <f>IFERROR(1-SUMIF('Plant BD'!$B:$B,$A7,'Plant BD'!$AM:$AM)/($AA7+SUMIF('Plant BD'!$B:$B,$A7,'Plant BD'!$AM:$AM)),"")</f>
        <v>1</v>
      </c>
      <c r="P7" s="145"/>
      <c r="Q7" s="146"/>
      <c r="R7" s="145">
        <f>IFERROR(1-SUMIF('Grid BD'!$B:$B,$A7,'Grid BD'!$AE:$AE)/($AA7+SUMIF('Grid BD'!$B:$B,$A7,'Grid BD'!$AE:$AE)),"")</f>
        <v>1</v>
      </c>
      <c r="T7" s="146">
        <f>IFERROR(1-SUMIF(Tracker_BD!$H:$H,$A7,Tracker_BD!AI:AI)/$F7,"")</f>
        <v>0.95435046009758651</v>
      </c>
      <c r="U7" s="147">
        <f t="shared" si="1"/>
        <v>0.73370170945678714</v>
      </c>
      <c r="V7" s="147"/>
      <c r="W7" s="148">
        <f t="shared" si="2"/>
        <v>0.12638011945393157</v>
      </c>
      <c r="X7" s="143">
        <f>IFERROR(_xlfn.XLOOKUP($A7,'Raw Data'!$G:$G,'Raw Data'!$AB:$AB),"")</f>
        <v>35802</v>
      </c>
      <c r="Y7" s="143">
        <f>IFERROR(_xlfn.XLOOKUP($A7,'Raw Data'!$G:$G,'Raw Data'!AC:AC),"")</f>
        <v>35748.200000001816</v>
      </c>
      <c r="Z7" s="143">
        <f>IFERROR(_xlfn.XLOOKUP($A7,'Raw Data'!$G:$G,'Raw Data'!AD:AD),"")</f>
        <v>199.99999999993179</v>
      </c>
      <c r="AA7" s="143">
        <f>IFERROR(_xlfn.XLOOKUP($A7,'Raw Data'!$G:$G,'Raw Data'!AE:AE)*(1+(_xlfn.XLOOKUP(Table13[[#This Row],[Month Year]],JMR!$A:$A,JMR!$J:$J))),"")</f>
        <v>35548.200000001882</v>
      </c>
      <c r="AB7" s="143">
        <f>IFERROR(_xlfn.XLOOKUP($A7,'Raw Data'!$G:$G,'Raw Data'!$H:$H),"")</f>
        <v>11.72</v>
      </c>
      <c r="AC7" s="149">
        <f>IFERROR(_xlfn.XLOOKUP($D7,'Modelling New'!$D:$D,'Modelling New'!$P:$P),"")</f>
        <v>7.6186700233333315</v>
      </c>
      <c r="AD7" s="143">
        <f>IFERROR(_xlfn.XLOOKUP($D7,'Modelling New'!$D:$D,'Modelling New'!$T:$T)*1000,"")</f>
        <v>63455.713653610728</v>
      </c>
      <c r="AE7" s="148">
        <f>IFERROR(_xlfn.XLOOKUP($D7,'Modelling New'!$D:$D,'Modelling New'!$O:$O),"")</f>
        <v>0.71066341265888178</v>
      </c>
      <c r="AF7" s="148">
        <f>IFERROR(_xlfn.XLOOKUP($D7,'Modelling New'!$D:$D,'Modelling New'!$W:$W),"")</f>
        <v>0.22559625161266611</v>
      </c>
      <c r="AG7" s="148">
        <f>IFERROR(_xlfn.XLOOKUP($D7,'Modelling New'!$D:$D,'Modelling New'!AE:AE),"")</f>
        <v>0.995</v>
      </c>
      <c r="AH7" s="148">
        <f>IFERROR(_xlfn.XLOOKUP($D7,'Modelling New'!$D:$D,'Modelling New'!AF:AF),"")</f>
        <v>0.98550000000000004</v>
      </c>
      <c r="AN7" s="145"/>
      <c r="AO7" s="148"/>
      <c r="AP7" s="148"/>
      <c r="AQ7" s="148"/>
      <c r="AR7" s="143">
        <f>IFERROR(_xlfn.XLOOKUP($D7,'Modelling New'!$D:$D,'Modelling New'!$N:$N),"")</f>
        <v>11.72</v>
      </c>
      <c r="AT7" s="143">
        <f>IFERROR(_xlfn.XLOOKUP(Table13[[#This Row],[Date]],'Raw Data'!$G:$G,'Raw Data'!$AJ:$AJ),"")</f>
        <v>0</v>
      </c>
      <c r="AU7" s="143">
        <f>IFERROR(_xlfn.XLOOKUP(Table13[[#This Row],[Month Year]],'Modelling New'!$D:$D,'Modelling New'!$AO:$AO),"")</f>
        <v>10</v>
      </c>
      <c r="AV7" s="143"/>
    </row>
    <row r="8" spans="1:48">
      <c r="A8" s="142">
        <f t="shared" si="3"/>
        <v>45751</v>
      </c>
      <c r="B8" s="143">
        <f>YEAR(Table13[[#This Row],[Date]])+IF(MONTH(Table13[[#This Row],[Date]])&gt;=4,1,0)</f>
        <v>2026</v>
      </c>
      <c r="C8" s="116">
        <f>YEAR(Table13[[#This Row],[Date]])</f>
        <v>2025</v>
      </c>
      <c r="D8" s="144">
        <f>Table13[[#This Row],[Date]]-DAY(Table13[[#This Row],[Date]])+1</f>
        <v>45748</v>
      </c>
      <c r="E8" s="116">
        <f t="shared" si="0"/>
        <v>30</v>
      </c>
      <c r="F8" s="117">
        <f>IFERROR(_xlfn.XLOOKUP($A8,'Raw Data'!$G:$G,'Raw Data'!$AH:$AH),"")</f>
        <v>11.866666666666665</v>
      </c>
      <c r="G8" s="118">
        <f>IFERROR(_xlfn.XLOOKUP($A8,'Raw Data'!$G:$G,'Raw Data'!$S:$S)/1000,"")</f>
        <v>0</v>
      </c>
      <c r="H8" s="118"/>
      <c r="I8" s="118">
        <f>IFERROR(_xlfn.XLOOKUP($A8,'Raw Data'!$G:$G,'Raw Data'!$AF:$AF)/1000,"")</f>
        <v>7.9649999999999999</v>
      </c>
      <c r="J8" s="118"/>
      <c r="K8" s="118">
        <f>IFERROR(_xlfn.XLOOKUP($A8,'Raw Data'!$G:$G,'Raw Data'!W:W),"")</f>
        <v>23</v>
      </c>
      <c r="L8" s="118">
        <f>IFERROR(_xlfn.XLOOKUP($A8,'Raw Data'!$G:$G,'Raw Data'!X:X),"")</f>
        <v>47</v>
      </c>
      <c r="M8" s="118">
        <f>IFERROR(_xlfn.XLOOKUP($A8,'Raw Data'!$G:$G,'Raw Data'!Y:Y),"")</f>
        <v>8</v>
      </c>
      <c r="N8" s="118">
        <f>IFERROR(_xlfn.XLOOKUP($A8,'Raw Data'!$G:$G,'Raw Data'!Z:Z),"")</f>
        <v>15</v>
      </c>
      <c r="O8" s="145">
        <f>IFERROR(1-SUMIF('Plant BD'!$B:$B,$A8,'Plant BD'!$AM:$AM)/($AA8+SUMIF('Plant BD'!$B:$B,$A8,'Plant BD'!$AM:$AM)),"")</f>
        <v>1</v>
      </c>
      <c r="P8" s="145"/>
      <c r="Q8" s="146"/>
      <c r="R8" s="145">
        <f>IFERROR(1-SUMIF('Grid BD'!$B:$B,$A8,'Grid BD'!$AE:$AE)/($AA8+SUMIF('Grid BD'!$B:$B,$A8,'Grid BD'!$AE:$AE)),"")</f>
        <v>1</v>
      </c>
      <c r="T8" s="146">
        <f>IFERROR(1-SUMIF(Tracker_BD!$H:$H,$A8,Tracker_BD!AI:AI)/$F8,"")</f>
        <v>0.95441043523182234</v>
      </c>
      <c r="U8" s="147">
        <f t="shared" si="1"/>
        <v>0.70214076516493273</v>
      </c>
      <c r="V8" s="147"/>
      <c r="W8" s="148">
        <f t="shared" si="2"/>
        <v>0.23302296643911199</v>
      </c>
      <c r="X8" s="143">
        <f>IFERROR(_xlfn.XLOOKUP($A8,'Raw Data'!$G:$G,'Raw Data'!$AB:$AB),"")</f>
        <v>65783</v>
      </c>
      <c r="Y8" s="143">
        <f>IFERROR(_xlfn.XLOOKUP($A8,'Raw Data'!$G:$G,'Raw Data'!AC:AC),"")</f>
        <v>65766.099999993457</v>
      </c>
      <c r="Z8" s="143">
        <f>IFERROR(_xlfn.XLOOKUP($A8,'Raw Data'!$G:$G,'Raw Data'!AD:AD),"")</f>
        <v>221.40000000001692</v>
      </c>
      <c r="AA8" s="143">
        <f>IFERROR(_xlfn.XLOOKUP($A8,'Raw Data'!$G:$G,'Raw Data'!AE:AE)*(1+(_xlfn.XLOOKUP(Table13[[#This Row],[Month Year]],JMR!$A:$A,JMR!$J:$J))),"")</f>
        <v>65544.699999993434</v>
      </c>
      <c r="AB8" s="143">
        <f>IFERROR(_xlfn.XLOOKUP($A8,'Raw Data'!$G:$G,'Raw Data'!$H:$H),"")</f>
        <v>11.72</v>
      </c>
      <c r="AC8" s="149">
        <f>IFERROR(_xlfn.XLOOKUP($D8,'Modelling New'!$D:$D,'Modelling New'!$P:$P),"")</f>
        <v>7.6186700233333315</v>
      </c>
      <c r="AD8" s="143">
        <f>IFERROR(_xlfn.XLOOKUP($D8,'Modelling New'!$D:$D,'Modelling New'!$T:$T)*1000,"")</f>
        <v>63455.713653610728</v>
      </c>
      <c r="AE8" s="148">
        <f>IFERROR(_xlfn.XLOOKUP($D8,'Modelling New'!$D:$D,'Modelling New'!$O:$O),"")</f>
        <v>0.71066341265888178</v>
      </c>
      <c r="AF8" s="148">
        <f>IFERROR(_xlfn.XLOOKUP($D8,'Modelling New'!$D:$D,'Modelling New'!$W:$W),"")</f>
        <v>0.22559625161266611</v>
      </c>
      <c r="AG8" s="148">
        <f>IFERROR(_xlfn.XLOOKUP($D8,'Modelling New'!$D:$D,'Modelling New'!AE:AE),"")</f>
        <v>0.995</v>
      </c>
      <c r="AH8" s="148">
        <f>IFERROR(_xlfn.XLOOKUP($D8,'Modelling New'!$D:$D,'Modelling New'!AF:AF),"")</f>
        <v>0.98550000000000004</v>
      </c>
      <c r="AN8" s="145"/>
      <c r="AO8" s="148"/>
      <c r="AP8" s="148"/>
      <c r="AQ8" s="148"/>
      <c r="AR8" s="143">
        <f>IFERROR(_xlfn.XLOOKUP($D8,'Modelling New'!$D:$D,'Modelling New'!$N:$N),"")</f>
        <v>11.72</v>
      </c>
      <c r="AT8" s="143">
        <f>IFERROR(_xlfn.XLOOKUP(Table13[[#This Row],[Date]],'Raw Data'!$G:$G,'Raw Data'!$AJ:$AJ),"")</f>
        <v>0</v>
      </c>
      <c r="AU8" s="143">
        <f>IFERROR(_xlfn.XLOOKUP(Table13[[#This Row],[Month Year]],'Modelling New'!$D:$D,'Modelling New'!$AO:$AO),"")</f>
        <v>10</v>
      </c>
      <c r="AV8" s="143"/>
    </row>
    <row r="9" spans="1:48">
      <c r="A9" s="142">
        <f t="shared" si="3"/>
        <v>45752</v>
      </c>
      <c r="B9" s="143">
        <f>YEAR(Table13[[#This Row],[Date]])+IF(MONTH(Table13[[#This Row],[Date]])&gt;=4,1,0)</f>
        <v>2026</v>
      </c>
      <c r="C9" s="116">
        <f>YEAR(Table13[[#This Row],[Date]])</f>
        <v>2025</v>
      </c>
      <c r="D9" s="144">
        <f>Table13[[#This Row],[Date]]-DAY(Table13[[#This Row],[Date]])+1</f>
        <v>45748</v>
      </c>
      <c r="E9" s="116">
        <f t="shared" si="0"/>
        <v>30</v>
      </c>
      <c r="F9" s="117">
        <f>IFERROR(_xlfn.XLOOKUP($A9,'Raw Data'!$G:$G,'Raw Data'!$AH:$AH),"")</f>
        <v>11.899999999999999</v>
      </c>
      <c r="G9" s="118">
        <f>IFERROR(_xlfn.XLOOKUP($A9,'Raw Data'!$G:$G,'Raw Data'!$S:$S)/1000,"")</f>
        <v>0</v>
      </c>
      <c r="H9" s="118"/>
      <c r="I9" s="118">
        <f>IFERROR(_xlfn.XLOOKUP($A9,'Raw Data'!$G:$G,'Raw Data'!$AF:$AF)/1000,"")</f>
        <v>6.87</v>
      </c>
      <c r="J9" s="118"/>
      <c r="K9" s="118">
        <f>IFERROR(_xlfn.XLOOKUP($A9,'Raw Data'!$G:$G,'Raw Data'!W:W),"")</f>
        <v>23</v>
      </c>
      <c r="L9" s="118">
        <f>IFERROR(_xlfn.XLOOKUP($A9,'Raw Data'!$G:$G,'Raw Data'!X:X),"")</f>
        <v>47</v>
      </c>
      <c r="M9" s="118">
        <f>IFERROR(_xlfn.XLOOKUP($A9,'Raw Data'!$G:$G,'Raw Data'!Y:Y),"")</f>
        <v>8</v>
      </c>
      <c r="N9" s="118">
        <f>IFERROR(_xlfn.XLOOKUP($A9,'Raw Data'!$G:$G,'Raw Data'!Z:Z),"")</f>
        <v>15</v>
      </c>
      <c r="O9" s="145">
        <f>IFERROR(1-SUMIF('Plant BD'!$B:$B,$A9,'Plant BD'!$AM:$AM)/($AA9+SUMIF('Plant BD'!$B:$B,$A9,'Plant BD'!$AM:$AM)),"")</f>
        <v>1</v>
      </c>
      <c r="P9" s="145"/>
      <c r="Q9" s="146"/>
      <c r="R9" s="145">
        <f>IFERROR(1-SUMIF('Grid BD'!$B:$B,$A9,'Grid BD'!$AE:$AE)/($AA9+SUMIF('Grid BD'!$B:$B,$A9,'Grid BD'!$AE:$AE)),"")</f>
        <v>1</v>
      </c>
      <c r="T9" s="146">
        <f>IFERROR(1-SUMIF(Tracker_BD!$H:$H,$A9,Tracker_BD!AI:AI)/$F9,"")</f>
        <v>0.95415177565278986</v>
      </c>
      <c r="U9" s="147">
        <f t="shared" si="1"/>
        <v>0.70981191409458821</v>
      </c>
      <c r="V9" s="147"/>
      <c r="W9" s="148">
        <f t="shared" si="2"/>
        <v>0.20318366040957589</v>
      </c>
      <c r="X9" s="143">
        <f>IFERROR(_xlfn.XLOOKUP($A9,'Raw Data'!$G:$G,'Raw Data'!$AB:$AB),"")</f>
        <v>57610</v>
      </c>
      <c r="Y9" s="143">
        <f>IFERROR(_xlfn.XLOOKUP($A9,'Raw Data'!$G:$G,'Raw Data'!AC:AC),"")</f>
        <v>57350.300000005518</v>
      </c>
      <c r="Z9" s="143">
        <f>IFERROR(_xlfn.XLOOKUP($A9,'Raw Data'!$G:$G,'Raw Data'!AD:AD),"")</f>
        <v>198.80000000000564</v>
      </c>
      <c r="AA9" s="143">
        <f>IFERROR(_xlfn.XLOOKUP($A9,'Raw Data'!$G:$G,'Raw Data'!AE:AE)*(1+(_xlfn.XLOOKUP(Table13[[#This Row],[Month Year]],JMR!$A:$A,JMR!$J:$J))),"")</f>
        <v>57151.500000005515</v>
      </c>
      <c r="AB9" s="143">
        <f>IFERROR(_xlfn.XLOOKUP($A9,'Raw Data'!$G:$G,'Raw Data'!$H:$H),"")</f>
        <v>11.72</v>
      </c>
      <c r="AC9" s="149">
        <f>IFERROR(_xlfn.XLOOKUP($D9,'Modelling New'!$D:$D,'Modelling New'!$P:$P),"")</f>
        <v>7.6186700233333315</v>
      </c>
      <c r="AD9" s="143">
        <f>IFERROR(_xlfn.XLOOKUP($D9,'Modelling New'!$D:$D,'Modelling New'!$T:$T)*1000,"")</f>
        <v>63455.713653610728</v>
      </c>
      <c r="AE9" s="148">
        <f>IFERROR(_xlfn.XLOOKUP($D9,'Modelling New'!$D:$D,'Modelling New'!$O:$O),"")</f>
        <v>0.71066341265888178</v>
      </c>
      <c r="AF9" s="148">
        <f>IFERROR(_xlfn.XLOOKUP($D9,'Modelling New'!$D:$D,'Modelling New'!$W:$W),"")</f>
        <v>0.22559625161266611</v>
      </c>
      <c r="AG9" s="148">
        <f>IFERROR(_xlfn.XLOOKUP($D9,'Modelling New'!$D:$D,'Modelling New'!AE:AE),"")</f>
        <v>0.995</v>
      </c>
      <c r="AH9" s="148">
        <f>IFERROR(_xlfn.XLOOKUP($D9,'Modelling New'!$D:$D,'Modelling New'!AF:AF),"")</f>
        <v>0.98550000000000004</v>
      </c>
      <c r="AN9" s="145"/>
      <c r="AO9" s="148"/>
      <c r="AP9" s="148"/>
      <c r="AQ9" s="148"/>
      <c r="AR9" s="143">
        <f>IFERROR(_xlfn.XLOOKUP($D9,'Modelling New'!$D:$D,'Modelling New'!$N:$N),"")</f>
        <v>11.72</v>
      </c>
      <c r="AT9" s="143">
        <f>IFERROR(_xlfn.XLOOKUP(Table13[[#This Row],[Date]],'Raw Data'!$G:$G,'Raw Data'!$AJ:$AJ),"")</f>
        <v>0</v>
      </c>
      <c r="AU9" s="143">
        <f>IFERROR(_xlfn.XLOOKUP(Table13[[#This Row],[Month Year]],'Modelling New'!$D:$D,'Modelling New'!$AO:$AO),"")</f>
        <v>10</v>
      </c>
      <c r="AV9" s="143"/>
    </row>
    <row r="10" spans="1:48">
      <c r="A10" s="142">
        <f t="shared" si="3"/>
        <v>45753</v>
      </c>
      <c r="B10" s="143">
        <f>YEAR(Table13[[#This Row],[Date]])+IF(MONTH(Table13[[#This Row],[Date]])&gt;=4,1,0)</f>
        <v>2026</v>
      </c>
      <c r="C10" s="116">
        <f>YEAR(Table13[[#This Row],[Date]])</f>
        <v>2025</v>
      </c>
      <c r="D10" s="144">
        <f>Table13[[#This Row],[Date]]-DAY(Table13[[#This Row],[Date]])+1</f>
        <v>45748</v>
      </c>
      <c r="E10" s="116">
        <f t="shared" si="0"/>
        <v>30</v>
      </c>
      <c r="F10" s="117">
        <f>IFERROR(_xlfn.XLOOKUP($A10,'Raw Data'!$G:$G,'Raw Data'!$AH:$AH),"")</f>
        <v>11.866666666666665</v>
      </c>
      <c r="G10" s="118">
        <f>IFERROR(_xlfn.XLOOKUP($A10,'Raw Data'!$G:$G,'Raw Data'!$S:$S)/1000,"")</f>
        <v>0</v>
      </c>
      <c r="H10" s="118"/>
      <c r="I10" s="118">
        <f>IFERROR(_xlfn.XLOOKUP($A10,'Raw Data'!$G:$G,'Raw Data'!$AF:$AF)/1000,"")</f>
        <v>7.45</v>
      </c>
      <c r="J10" s="118"/>
      <c r="K10" s="118">
        <f>IFERROR(_xlfn.XLOOKUP($A10,'Raw Data'!$G:$G,'Raw Data'!W:W),"")</f>
        <v>23</v>
      </c>
      <c r="L10" s="118">
        <f>IFERROR(_xlfn.XLOOKUP($A10,'Raw Data'!$G:$G,'Raw Data'!X:X),"")</f>
        <v>47</v>
      </c>
      <c r="M10" s="118">
        <f>IFERROR(_xlfn.XLOOKUP($A10,'Raw Data'!$G:$G,'Raw Data'!Y:Y),"")</f>
        <v>6</v>
      </c>
      <c r="N10" s="118">
        <f>IFERROR(_xlfn.XLOOKUP($A10,'Raw Data'!$G:$G,'Raw Data'!Z:Z),"")</f>
        <v>11</v>
      </c>
      <c r="O10" s="145">
        <f>IFERROR(1-SUMIF('Plant BD'!$B:$B,$A10,'Plant BD'!$AM:$AM)/($AA10+SUMIF('Plant BD'!$B:$B,$A10,'Plant BD'!$AM:$AM)),"")</f>
        <v>1</v>
      </c>
      <c r="P10" s="145"/>
      <c r="Q10" s="146"/>
      <c r="R10" s="145">
        <f>IFERROR(1-SUMIF('Grid BD'!$B:$B,$A10,'Grid BD'!$AE:$AE)/($AA10+SUMIF('Grid BD'!$B:$B,$A10,'Grid BD'!$AE:$AE)),"")</f>
        <v>1</v>
      </c>
      <c r="T10" s="146">
        <f>IFERROR(1-SUMIF(Tracker_BD!$H:$H,$A10,Tracker_BD!AI:AI)/$F10,"")</f>
        <v>0.95441043523182234</v>
      </c>
      <c r="U10" s="147">
        <f t="shared" si="1"/>
        <v>0.70412648601596206</v>
      </c>
      <c r="V10" s="147"/>
      <c r="W10" s="148">
        <f t="shared" si="2"/>
        <v>0.21857259670078821</v>
      </c>
      <c r="X10" s="143">
        <f>IFERROR(_xlfn.XLOOKUP($A10,'Raw Data'!$G:$G,'Raw Data'!$AB:$AB),"")</f>
        <v>61698</v>
      </c>
      <c r="Y10" s="143">
        <f>IFERROR(_xlfn.XLOOKUP($A10,'Raw Data'!$G:$G,'Raw Data'!AC:AC),"")</f>
        <v>61665.699999997742</v>
      </c>
      <c r="Z10" s="143">
        <f>IFERROR(_xlfn.XLOOKUP($A10,'Raw Data'!$G:$G,'Raw Data'!AD:AD),"")</f>
        <v>185.60000000002219</v>
      </c>
      <c r="AA10" s="143">
        <f>IFERROR(_xlfn.XLOOKUP($A10,'Raw Data'!$G:$G,'Raw Data'!AE:AE)*(1+(_xlfn.XLOOKUP(Table13[[#This Row],[Month Year]],JMR!$A:$A,JMR!$J:$J))),"")</f>
        <v>61480.099999997721</v>
      </c>
      <c r="AB10" s="143">
        <f>IFERROR(_xlfn.XLOOKUP($A10,'Raw Data'!$G:$G,'Raw Data'!$H:$H),"")</f>
        <v>11.72</v>
      </c>
      <c r="AC10" s="149">
        <f>IFERROR(_xlfn.XLOOKUP($D10,'Modelling New'!$D:$D,'Modelling New'!$P:$P),"")</f>
        <v>7.6186700233333315</v>
      </c>
      <c r="AD10" s="143">
        <f>IFERROR(_xlfn.XLOOKUP($D10,'Modelling New'!$D:$D,'Modelling New'!$T:$T)*1000,"")</f>
        <v>63455.713653610728</v>
      </c>
      <c r="AE10" s="148">
        <f>IFERROR(_xlfn.XLOOKUP($D10,'Modelling New'!$D:$D,'Modelling New'!$O:$O),"")</f>
        <v>0.71066341265888178</v>
      </c>
      <c r="AF10" s="148">
        <f>IFERROR(_xlfn.XLOOKUP($D10,'Modelling New'!$D:$D,'Modelling New'!$W:$W),"")</f>
        <v>0.22559625161266611</v>
      </c>
      <c r="AG10" s="148">
        <f>IFERROR(_xlfn.XLOOKUP($D10,'Modelling New'!$D:$D,'Modelling New'!AE:AE),"")</f>
        <v>0.995</v>
      </c>
      <c r="AH10" s="148">
        <f>IFERROR(_xlfn.XLOOKUP($D10,'Modelling New'!$D:$D,'Modelling New'!AF:AF),"")</f>
        <v>0.98550000000000004</v>
      </c>
      <c r="AN10" s="145"/>
      <c r="AO10" s="148"/>
      <c r="AP10" s="148"/>
      <c r="AQ10" s="148"/>
      <c r="AR10" s="143">
        <f>IFERROR(_xlfn.XLOOKUP($D10,'Modelling New'!$D:$D,'Modelling New'!$N:$N),"")</f>
        <v>11.72</v>
      </c>
      <c r="AT10" s="143">
        <f>IFERROR(_xlfn.XLOOKUP(Table13[[#This Row],[Date]],'Raw Data'!$G:$G,'Raw Data'!$AJ:$AJ),"")</f>
        <v>0</v>
      </c>
      <c r="AU10" s="143">
        <f>IFERROR(_xlfn.XLOOKUP(Table13[[#This Row],[Month Year]],'Modelling New'!$D:$D,'Modelling New'!$AO:$AO),"")</f>
        <v>10</v>
      </c>
      <c r="AV10" s="143"/>
    </row>
    <row r="11" spans="1:48">
      <c r="A11" s="142">
        <f t="shared" si="3"/>
        <v>45754</v>
      </c>
      <c r="B11" s="143">
        <f>YEAR(Table13[[#This Row],[Date]])+IF(MONTH(Table13[[#This Row],[Date]])&gt;=4,1,0)</f>
        <v>2026</v>
      </c>
      <c r="C11" s="116">
        <f>YEAR(Table13[[#This Row],[Date]])</f>
        <v>2025</v>
      </c>
      <c r="D11" s="144">
        <f>Table13[[#This Row],[Date]]-DAY(Table13[[#This Row],[Date]])+1</f>
        <v>45748</v>
      </c>
      <c r="E11" s="116">
        <f t="shared" si="0"/>
        <v>30</v>
      </c>
      <c r="F11" s="117">
        <f>IFERROR(_xlfn.XLOOKUP($A11,'Raw Data'!$G:$G,'Raw Data'!$AH:$AH),"")</f>
        <v>11.983333333333333</v>
      </c>
      <c r="G11" s="118">
        <f>IFERROR(_xlfn.XLOOKUP($A11,'Raw Data'!$G:$G,'Raw Data'!$S:$S)/1000,"")</f>
        <v>0</v>
      </c>
      <c r="H11" s="118"/>
      <c r="I11" s="118">
        <f>IFERROR(_xlfn.XLOOKUP($A11,'Raw Data'!$G:$G,'Raw Data'!$AF:$AF)/1000,"")</f>
        <v>7.2690000000000001</v>
      </c>
      <c r="J11" s="118"/>
      <c r="K11" s="118">
        <f>IFERROR(_xlfn.XLOOKUP($A11,'Raw Data'!$G:$G,'Raw Data'!W:W),"")</f>
        <v>23</v>
      </c>
      <c r="L11" s="118">
        <f>IFERROR(_xlfn.XLOOKUP($A11,'Raw Data'!$G:$G,'Raw Data'!X:X),"")</f>
        <v>47</v>
      </c>
      <c r="M11" s="118">
        <f>IFERROR(_xlfn.XLOOKUP($A11,'Raw Data'!$G:$G,'Raw Data'!Y:Y),"")</f>
        <v>4.9000000000000004</v>
      </c>
      <c r="N11" s="118">
        <f>IFERROR(_xlfn.XLOOKUP($A11,'Raw Data'!$G:$G,'Raw Data'!Z:Z),"")</f>
        <v>16</v>
      </c>
      <c r="O11" s="145">
        <f>IFERROR(1-SUMIF('Plant BD'!$B:$B,$A11,'Plant BD'!$AM:$AM)/($AA11+SUMIF('Plant BD'!$B:$B,$A11,'Plant BD'!$AM:$AM)),"")</f>
        <v>1</v>
      </c>
      <c r="P11" s="145"/>
      <c r="Q11" s="146"/>
      <c r="R11" s="145">
        <f>IFERROR(1-SUMIF('Grid BD'!$B:$B,$A11,'Grid BD'!$AE:$AE)/($AA11+SUMIF('Grid BD'!$B:$B,$A11,'Grid BD'!$AE:$AE)),"")</f>
        <v>1</v>
      </c>
      <c r="T11" s="146">
        <f>IFERROR(1-SUMIF(Tracker_BD!$H:$H,$A11,Tracker_BD!AI:AI)/$F11,"")</f>
        <v>0.95427877160168184</v>
      </c>
      <c r="U11" s="147">
        <f t="shared" si="1"/>
        <v>0.69619009520535058</v>
      </c>
      <c r="V11" s="147"/>
      <c r="W11" s="148">
        <f t="shared" si="2"/>
        <v>0.21085857508532049</v>
      </c>
      <c r="X11" s="143">
        <f>IFERROR(_xlfn.XLOOKUP($A11,'Raw Data'!$G:$G,'Raw Data'!$AB:$AB),"")</f>
        <v>59545</v>
      </c>
      <c r="Y11" s="143">
        <f>IFERROR(_xlfn.XLOOKUP($A11,'Raw Data'!$G:$G,'Raw Data'!AC:AC),"")</f>
        <v>59510.699999998906</v>
      </c>
      <c r="Z11" s="143">
        <f>IFERROR(_xlfn.XLOOKUP($A11,'Raw Data'!$G:$G,'Raw Data'!AD:AD),"")</f>
        <v>200.39999999994507</v>
      </c>
      <c r="AA11" s="143">
        <f>IFERROR(_xlfn.XLOOKUP($A11,'Raw Data'!$G:$G,'Raw Data'!AE:AE)*(1+(_xlfn.XLOOKUP(Table13[[#This Row],[Month Year]],JMR!$A:$A,JMR!$J:$J))),"")</f>
        <v>59310.299999998962</v>
      </c>
      <c r="AB11" s="143">
        <f>IFERROR(_xlfn.XLOOKUP($A11,'Raw Data'!$G:$G,'Raw Data'!$H:$H),"")</f>
        <v>11.72</v>
      </c>
      <c r="AC11" s="149">
        <f>IFERROR(_xlfn.XLOOKUP($D11,'Modelling New'!$D:$D,'Modelling New'!$P:$P),"")</f>
        <v>7.6186700233333315</v>
      </c>
      <c r="AD11" s="143">
        <f>IFERROR(_xlfn.XLOOKUP($D11,'Modelling New'!$D:$D,'Modelling New'!$T:$T)*1000,"")</f>
        <v>63455.713653610728</v>
      </c>
      <c r="AE11" s="148">
        <f>IFERROR(_xlfn.XLOOKUP($D11,'Modelling New'!$D:$D,'Modelling New'!$O:$O),"")</f>
        <v>0.71066341265888178</v>
      </c>
      <c r="AF11" s="148">
        <f>IFERROR(_xlfn.XLOOKUP($D11,'Modelling New'!$D:$D,'Modelling New'!$W:$W),"")</f>
        <v>0.22559625161266611</v>
      </c>
      <c r="AG11" s="148">
        <f>IFERROR(_xlfn.XLOOKUP($D11,'Modelling New'!$D:$D,'Modelling New'!AE:AE),"")</f>
        <v>0.995</v>
      </c>
      <c r="AH11" s="148">
        <f>IFERROR(_xlfn.XLOOKUP($D11,'Modelling New'!$D:$D,'Modelling New'!AF:AF),"")</f>
        <v>0.98550000000000004</v>
      </c>
      <c r="AN11" s="145"/>
      <c r="AO11" s="148"/>
      <c r="AP11" s="148"/>
      <c r="AQ11" s="148"/>
      <c r="AR11" s="143">
        <f>IFERROR(_xlfn.XLOOKUP($D11,'Modelling New'!$D:$D,'Modelling New'!$N:$N),"")</f>
        <v>11.72</v>
      </c>
      <c r="AT11" s="143">
        <f>IFERROR(_xlfn.XLOOKUP(Table13[[#This Row],[Date]],'Raw Data'!$G:$G,'Raw Data'!$AJ:$AJ),"")</f>
        <v>0</v>
      </c>
      <c r="AU11" s="143">
        <f>IFERROR(_xlfn.XLOOKUP(Table13[[#This Row],[Month Year]],'Modelling New'!$D:$D,'Modelling New'!$AO:$AO),"")</f>
        <v>10</v>
      </c>
      <c r="AV11" s="143"/>
    </row>
    <row r="12" spans="1:48">
      <c r="A12" s="142">
        <f t="shared" si="3"/>
        <v>45755</v>
      </c>
      <c r="B12" s="143">
        <f>YEAR(Table13[[#This Row],[Date]])+IF(MONTH(Table13[[#This Row],[Date]])&gt;=4,1,0)</f>
        <v>2026</v>
      </c>
      <c r="C12" s="116">
        <f>YEAR(Table13[[#This Row],[Date]])</f>
        <v>2025</v>
      </c>
      <c r="D12" s="144">
        <f>Table13[[#This Row],[Date]]-DAY(Table13[[#This Row],[Date]])+1</f>
        <v>45748</v>
      </c>
      <c r="E12" s="116">
        <f t="shared" si="0"/>
        <v>30</v>
      </c>
      <c r="F12" s="117">
        <f>IFERROR(_xlfn.XLOOKUP($A12,'Raw Data'!$G:$G,'Raw Data'!$AH:$AH),"")</f>
        <v>11.933333333333332</v>
      </c>
      <c r="G12" s="118">
        <f>IFERROR(_xlfn.XLOOKUP($A12,'Raw Data'!$G:$G,'Raw Data'!$S:$S)/1000,"")</f>
        <v>0</v>
      </c>
      <c r="H12" s="118"/>
      <c r="I12" s="118">
        <f>IFERROR(_xlfn.XLOOKUP($A12,'Raw Data'!$G:$G,'Raw Data'!$AF:$AF)/1000,"")</f>
        <v>6.2969999999999997</v>
      </c>
      <c r="J12" s="118"/>
      <c r="K12" s="118">
        <f>IFERROR(_xlfn.XLOOKUP($A12,'Raw Data'!$G:$G,'Raw Data'!W:W),"")</f>
        <v>23</v>
      </c>
      <c r="L12" s="118">
        <f>IFERROR(_xlfn.XLOOKUP($A12,'Raw Data'!$G:$G,'Raw Data'!X:X),"")</f>
        <v>44</v>
      </c>
      <c r="M12" s="118">
        <f>IFERROR(_xlfn.XLOOKUP($A12,'Raw Data'!$G:$G,'Raw Data'!Y:Y),"")</f>
        <v>6</v>
      </c>
      <c r="N12" s="118">
        <f>IFERROR(_xlfn.XLOOKUP($A12,'Raw Data'!$G:$G,'Raw Data'!Z:Z),"")</f>
        <v>9</v>
      </c>
      <c r="O12" s="145">
        <f>IFERROR(1-SUMIF('Plant BD'!$B:$B,$A12,'Plant BD'!$AM:$AM)/($AA12+SUMIF('Plant BD'!$B:$B,$A12,'Plant BD'!$AM:$AM)),"")</f>
        <v>1</v>
      </c>
      <c r="P12" s="145"/>
      <c r="Q12" s="146"/>
      <c r="R12" s="145">
        <f>IFERROR(1-SUMIF('Grid BD'!$B:$B,$A12,'Grid BD'!$AE:$AE)/($AA12+SUMIF('Grid BD'!$B:$B,$A12,'Grid BD'!$AE:$AE)),"")</f>
        <v>1</v>
      </c>
      <c r="T12" s="146">
        <f>IFERROR(1-SUMIF(Tracker_BD!$H:$H,$A12,Tracker_BD!AI:AI)/$F12,"")</f>
        <v>0.95408720220895138</v>
      </c>
      <c r="U12" s="147">
        <f t="shared" si="1"/>
        <v>0.71293497472395517</v>
      </c>
      <c r="V12" s="147"/>
      <c r="W12" s="148">
        <f t="shared" si="2"/>
        <v>0.18705631399319772</v>
      </c>
      <c r="X12" s="143">
        <f>IFERROR(_xlfn.XLOOKUP($A12,'Raw Data'!$G:$G,'Raw Data'!$AB:$AB),"")</f>
        <v>52822</v>
      </c>
      <c r="Y12" s="143">
        <f>IFERROR(_xlfn.XLOOKUP($A12,'Raw Data'!$G:$G,'Raw Data'!AC:AC),"")</f>
        <v>52786.600000006729</v>
      </c>
      <c r="Z12" s="143">
        <f>IFERROR(_xlfn.XLOOKUP($A12,'Raw Data'!$G:$G,'Raw Data'!AD:AD),"")</f>
        <v>171.40000000006239</v>
      </c>
      <c r="AA12" s="143">
        <f>IFERROR(_xlfn.XLOOKUP($A12,'Raw Data'!$G:$G,'Raw Data'!AE:AE)*(1+(_xlfn.XLOOKUP(Table13[[#This Row],[Month Year]],JMR!$A:$A,JMR!$J:$J))),"")</f>
        <v>52615.200000006669</v>
      </c>
      <c r="AB12" s="143">
        <f>IFERROR(_xlfn.XLOOKUP($A12,'Raw Data'!$G:$G,'Raw Data'!$H:$H),"")</f>
        <v>11.72</v>
      </c>
      <c r="AC12" s="149">
        <f>IFERROR(_xlfn.XLOOKUP($D12,'Modelling New'!$D:$D,'Modelling New'!$P:$P),"")</f>
        <v>7.6186700233333315</v>
      </c>
      <c r="AD12" s="143">
        <f>IFERROR(_xlfn.XLOOKUP($D12,'Modelling New'!$D:$D,'Modelling New'!$T:$T)*1000,"")</f>
        <v>63455.713653610728</v>
      </c>
      <c r="AE12" s="148">
        <f>IFERROR(_xlfn.XLOOKUP($D12,'Modelling New'!$D:$D,'Modelling New'!$O:$O),"")</f>
        <v>0.71066341265888178</v>
      </c>
      <c r="AF12" s="148">
        <f>IFERROR(_xlfn.XLOOKUP($D12,'Modelling New'!$D:$D,'Modelling New'!$W:$W),"")</f>
        <v>0.22559625161266611</v>
      </c>
      <c r="AG12" s="148">
        <f>IFERROR(_xlfn.XLOOKUP($D12,'Modelling New'!$D:$D,'Modelling New'!AE:AE),"")</f>
        <v>0.995</v>
      </c>
      <c r="AH12" s="148">
        <f>IFERROR(_xlfn.XLOOKUP($D12,'Modelling New'!$D:$D,'Modelling New'!AF:AF),"")</f>
        <v>0.98550000000000004</v>
      </c>
      <c r="AN12" s="145"/>
      <c r="AO12" s="148"/>
      <c r="AP12" s="148"/>
      <c r="AQ12" s="148"/>
      <c r="AR12" s="143">
        <f>IFERROR(_xlfn.XLOOKUP($D12,'Modelling New'!$D:$D,'Modelling New'!$N:$N),"")</f>
        <v>11.72</v>
      </c>
      <c r="AT12" s="143">
        <f>IFERROR(_xlfn.XLOOKUP(Table13[[#This Row],[Date]],'Raw Data'!$G:$G,'Raw Data'!$AJ:$AJ),"")</f>
        <v>0</v>
      </c>
      <c r="AU12" s="143">
        <f>IFERROR(_xlfn.XLOOKUP(Table13[[#This Row],[Month Year]],'Modelling New'!$D:$D,'Modelling New'!$AO:$AO),"")</f>
        <v>10</v>
      </c>
      <c r="AV12" s="143"/>
    </row>
    <row r="13" spans="1:48">
      <c r="A13" s="142">
        <f t="shared" si="3"/>
        <v>45756</v>
      </c>
      <c r="B13" s="143">
        <f>YEAR(Table13[[#This Row],[Date]])+IF(MONTH(Table13[[#This Row],[Date]])&gt;=4,1,0)</f>
        <v>2026</v>
      </c>
      <c r="C13" s="116">
        <f>YEAR(Table13[[#This Row],[Date]])</f>
        <v>2025</v>
      </c>
      <c r="D13" s="144">
        <f>Table13[[#This Row],[Date]]-DAY(Table13[[#This Row],[Date]])+1</f>
        <v>45748</v>
      </c>
      <c r="E13" s="116">
        <f t="shared" si="0"/>
        <v>30</v>
      </c>
      <c r="F13" s="117">
        <f>IFERROR(_xlfn.XLOOKUP($A13,'Raw Data'!$G:$G,'Raw Data'!$AH:$AH),"")</f>
        <v>12.066666666666666</v>
      </c>
      <c r="G13" s="118">
        <f>IFERROR(_xlfn.XLOOKUP($A13,'Raw Data'!$G:$G,'Raw Data'!$S:$S)/1000,"")</f>
        <v>0</v>
      </c>
      <c r="H13" s="118"/>
      <c r="I13" s="118">
        <f>IFERROR(_xlfn.XLOOKUP($A13,'Raw Data'!$G:$G,'Raw Data'!$AF:$AF)/1000,"")</f>
        <v>6.4379999999999997</v>
      </c>
      <c r="J13" s="118"/>
      <c r="K13" s="118">
        <f>IFERROR(_xlfn.XLOOKUP($A13,'Raw Data'!$G:$G,'Raw Data'!W:W),"")</f>
        <v>23</v>
      </c>
      <c r="L13" s="118">
        <f>IFERROR(_xlfn.XLOOKUP($A13,'Raw Data'!$G:$G,'Raw Data'!X:X),"")</f>
        <v>44</v>
      </c>
      <c r="M13" s="118">
        <f>IFERROR(_xlfn.XLOOKUP($A13,'Raw Data'!$G:$G,'Raw Data'!Y:Y),"")</f>
        <v>5</v>
      </c>
      <c r="N13" s="118">
        <f>IFERROR(_xlfn.XLOOKUP($A13,'Raw Data'!$G:$G,'Raw Data'!Z:Z),"")</f>
        <v>9</v>
      </c>
      <c r="O13" s="145">
        <f>IFERROR(1-SUMIF('Plant BD'!$B:$B,$A13,'Plant BD'!$AM:$AM)/($AA13+SUMIF('Plant BD'!$B:$B,$A13,'Plant BD'!$AM:$AM)),"")</f>
        <v>1</v>
      </c>
      <c r="P13" s="145"/>
      <c r="Q13" s="146"/>
      <c r="R13" s="145">
        <f>IFERROR(1-SUMIF('Grid BD'!$B:$B,$A13,'Grid BD'!$AE:$AE)/($AA13+SUMIF('Grid BD'!$B:$B,$A13,'Grid BD'!$AE:$AE)),"")</f>
        <v>0.9786101470241203</v>
      </c>
      <c r="T13" s="146">
        <f>IFERROR(1-SUMIF(Tracker_BD!$H:$H,$A13,Tracker_BD!AI:AI)/$F13,"")</f>
        <v>0.95472153426049411</v>
      </c>
      <c r="U13" s="147">
        <f t="shared" si="1"/>
        <v>0.69636925380126624</v>
      </c>
      <c r="V13" s="147"/>
      <c r="W13" s="148">
        <f t="shared" si="2"/>
        <v>0.18680105233218963</v>
      </c>
      <c r="X13" s="143">
        <f>IFERROR(_xlfn.XLOOKUP($A13,'Raw Data'!$G:$G,'Raw Data'!$AB:$AB),"")</f>
        <v>52783</v>
      </c>
      <c r="Y13" s="143">
        <f>IFERROR(_xlfn.XLOOKUP($A13,'Raw Data'!$G:$G,'Raw Data'!AC:AC),"")</f>
        <v>52809.399999998277</v>
      </c>
      <c r="Z13" s="143">
        <f>IFERROR(_xlfn.XLOOKUP($A13,'Raw Data'!$G:$G,'Raw Data'!AD:AD),"")</f>
        <v>265.99999999996271</v>
      </c>
      <c r="AA13" s="143">
        <f>IFERROR(_xlfn.XLOOKUP($A13,'Raw Data'!$G:$G,'Raw Data'!AE:AE)*(1+(_xlfn.XLOOKUP(Table13[[#This Row],[Month Year]],JMR!$A:$A,JMR!$J:$J))),"")</f>
        <v>52543.399999998313</v>
      </c>
      <c r="AB13" s="143">
        <f>IFERROR(_xlfn.XLOOKUP($A13,'Raw Data'!$G:$G,'Raw Data'!$H:$H),"")</f>
        <v>11.72</v>
      </c>
      <c r="AC13" s="149">
        <f>IFERROR(_xlfn.XLOOKUP($D13,'Modelling New'!$D:$D,'Modelling New'!$P:$P),"")</f>
        <v>7.6186700233333315</v>
      </c>
      <c r="AD13" s="143">
        <f>IFERROR(_xlfn.XLOOKUP($D13,'Modelling New'!$D:$D,'Modelling New'!$T:$T)*1000,"")</f>
        <v>63455.713653610728</v>
      </c>
      <c r="AE13" s="148">
        <f>IFERROR(_xlfn.XLOOKUP($D13,'Modelling New'!$D:$D,'Modelling New'!$O:$O),"")</f>
        <v>0.71066341265888178</v>
      </c>
      <c r="AF13" s="148">
        <f>IFERROR(_xlfn.XLOOKUP($D13,'Modelling New'!$D:$D,'Modelling New'!$W:$W),"")</f>
        <v>0.22559625161266611</v>
      </c>
      <c r="AG13" s="148">
        <f>IFERROR(_xlfn.XLOOKUP($D13,'Modelling New'!$D:$D,'Modelling New'!AE:AE),"")</f>
        <v>0.995</v>
      </c>
      <c r="AH13" s="148">
        <f>IFERROR(_xlfn.XLOOKUP($D13,'Modelling New'!$D:$D,'Modelling New'!AF:AF),"")</f>
        <v>0.98550000000000004</v>
      </c>
      <c r="AN13" s="145"/>
      <c r="AO13" s="148"/>
      <c r="AP13" s="148"/>
      <c r="AQ13" s="148"/>
      <c r="AR13" s="143">
        <f>IFERROR(_xlfn.XLOOKUP($D13,'Modelling New'!$D:$D,'Modelling New'!$N:$N),"")</f>
        <v>11.72</v>
      </c>
      <c r="AT13" s="143">
        <f>IFERROR(_xlfn.XLOOKUP(Table13[[#This Row],[Date]],'Raw Data'!$G:$G,'Raw Data'!$AJ:$AJ),"")</f>
        <v>0</v>
      </c>
      <c r="AU13" s="143">
        <f>IFERROR(_xlfn.XLOOKUP(Table13[[#This Row],[Month Year]],'Modelling New'!$D:$D,'Modelling New'!$AO:$AO),"")</f>
        <v>10</v>
      </c>
      <c r="AV13" s="143"/>
    </row>
    <row r="14" spans="1:48">
      <c r="A14" s="142">
        <f t="shared" si="3"/>
        <v>45757</v>
      </c>
      <c r="B14" s="143">
        <f>YEAR(Table13[[#This Row],[Date]])+IF(MONTH(Table13[[#This Row],[Date]])&gt;=4,1,0)</f>
        <v>2026</v>
      </c>
      <c r="C14" s="116">
        <f>YEAR(Table13[[#This Row],[Date]])</f>
        <v>2025</v>
      </c>
      <c r="D14" s="144">
        <f>Table13[[#This Row],[Date]]-DAY(Table13[[#This Row],[Date]])+1</f>
        <v>45748</v>
      </c>
      <c r="E14" s="116">
        <f t="shared" si="0"/>
        <v>30</v>
      </c>
      <c r="F14" s="117">
        <f>IFERROR(_xlfn.XLOOKUP($A14,'Raw Data'!$G:$G,'Raw Data'!$AH:$AH),"")</f>
        <v>11.916666666666666</v>
      </c>
      <c r="G14" s="118">
        <f>IFERROR(_xlfn.XLOOKUP($A14,'Raw Data'!$G:$G,'Raw Data'!$S:$S)/1000,"")</f>
        <v>0</v>
      </c>
      <c r="H14" s="118"/>
      <c r="I14" s="118">
        <f>IFERROR(_xlfn.XLOOKUP($A14,'Raw Data'!$G:$G,'Raw Data'!$AF:$AF)/1000,"")</f>
        <v>6.28</v>
      </c>
      <c r="J14" s="118"/>
      <c r="K14" s="118">
        <f>IFERROR(_xlfn.XLOOKUP($A14,'Raw Data'!$G:$G,'Raw Data'!W:W),"")</f>
        <v>23</v>
      </c>
      <c r="L14" s="118">
        <f>IFERROR(_xlfn.XLOOKUP($A14,'Raw Data'!$G:$G,'Raw Data'!X:X),"")</f>
        <v>44</v>
      </c>
      <c r="M14" s="118">
        <f>IFERROR(_xlfn.XLOOKUP($A14,'Raw Data'!$G:$G,'Raw Data'!Y:Y),"")</f>
        <v>5</v>
      </c>
      <c r="N14" s="118">
        <f>IFERROR(_xlfn.XLOOKUP($A14,'Raw Data'!$G:$G,'Raw Data'!Z:Z),"")</f>
        <v>9</v>
      </c>
      <c r="O14" s="145">
        <f>IFERROR(1-SUMIF('Plant BD'!$B:$B,$A14,'Plant BD'!$AM:$AM)/($AA14+SUMIF('Plant BD'!$B:$B,$A14,'Plant BD'!$AM:$AM)),"")</f>
        <v>1</v>
      </c>
      <c r="P14" s="145"/>
      <c r="Q14" s="146"/>
      <c r="R14" s="145">
        <f>IFERROR(1-SUMIF('Grid BD'!$B:$B,$A14,'Grid BD'!$AE:$AE)/($AA14+SUMIF('Grid BD'!$B:$B,$A14,'Grid BD'!$AE:$AE)),"")</f>
        <v>0.97419607370013861</v>
      </c>
      <c r="T14" s="146">
        <f>IFERROR(1-SUMIF(Tracker_BD!$H:$H,$A14,Tracker_BD!AI:AI)/$F14,"")</f>
        <v>0.95402298850574718</v>
      </c>
      <c r="U14" s="147">
        <f t="shared" si="1"/>
        <v>0.70009075889644168</v>
      </c>
      <c r="V14" s="147"/>
      <c r="W14" s="148">
        <f t="shared" si="2"/>
        <v>0.18319041524456886</v>
      </c>
      <c r="X14" s="143">
        <f>IFERROR(_xlfn.XLOOKUP($A14,'Raw Data'!$G:$G,'Raw Data'!$AB:$AB),"")</f>
        <v>51777</v>
      </c>
      <c r="Y14" s="143">
        <f>IFERROR(_xlfn.XLOOKUP($A14,'Raw Data'!$G:$G,'Raw Data'!AC:AC),"")</f>
        <v>51671.099999992293</v>
      </c>
      <c r="Z14" s="143">
        <f>IFERROR(_xlfn.XLOOKUP($A14,'Raw Data'!$G:$G,'Raw Data'!AD:AD),"")</f>
        <v>143.2999999999538</v>
      </c>
      <c r="AA14" s="143">
        <f>IFERROR(_xlfn.XLOOKUP($A14,'Raw Data'!$G:$G,'Raw Data'!AE:AE)*(1+(_xlfn.XLOOKUP(Table13[[#This Row],[Month Year]],JMR!$A:$A,JMR!$J:$J))),"")</f>
        <v>51527.799999992341</v>
      </c>
      <c r="AB14" s="143">
        <f>IFERROR(_xlfn.XLOOKUP($A14,'Raw Data'!$G:$G,'Raw Data'!$H:$H),"")</f>
        <v>11.72</v>
      </c>
      <c r="AC14" s="149">
        <f>IFERROR(_xlfn.XLOOKUP($D14,'Modelling New'!$D:$D,'Modelling New'!$P:$P),"")</f>
        <v>7.6186700233333315</v>
      </c>
      <c r="AD14" s="143">
        <f>IFERROR(_xlfn.XLOOKUP($D14,'Modelling New'!$D:$D,'Modelling New'!$T:$T)*1000,"")</f>
        <v>63455.713653610728</v>
      </c>
      <c r="AE14" s="148">
        <f>IFERROR(_xlfn.XLOOKUP($D14,'Modelling New'!$D:$D,'Modelling New'!$O:$O),"")</f>
        <v>0.71066341265888178</v>
      </c>
      <c r="AF14" s="148">
        <f>IFERROR(_xlfn.XLOOKUP($D14,'Modelling New'!$D:$D,'Modelling New'!$W:$W),"")</f>
        <v>0.22559625161266611</v>
      </c>
      <c r="AG14" s="148">
        <f>IFERROR(_xlfn.XLOOKUP($D14,'Modelling New'!$D:$D,'Modelling New'!AE:AE),"")</f>
        <v>0.995</v>
      </c>
      <c r="AH14" s="148">
        <f>IFERROR(_xlfn.XLOOKUP($D14,'Modelling New'!$D:$D,'Modelling New'!AF:AF),"")</f>
        <v>0.98550000000000004</v>
      </c>
      <c r="AN14" s="145"/>
      <c r="AO14" s="148"/>
      <c r="AP14" s="148"/>
      <c r="AQ14" s="148"/>
      <c r="AR14" s="143">
        <f>IFERROR(_xlfn.XLOOKUP($D14,'Modelling New'!$D:$D,'Modelling New'!$N:$N),"")</f>
        <v>11.72</v>
      </c>
      <c r="AT14" s="143">
        <f>IFERROR(_xlfn.XLOOKUP(Table13[[#This Row],[Date]],'Raw Data'!$G:$G,'Raw Data'!$AJ:$AJ),"")</f>
        <v>0</v>
      </c>
      <c r="AU14" s="143">
        <f>IFERROR(_xlfn.XLOOKUP(Table13[[#This Row],[Month Year]],'Modelling New'!$D:$D,'Modelling New'!$AO:$AO),"")</f>
        <v>10</v>
      </c>
      <c r="AV14" s="143"/>
    </row>
    <row r="15" spans="1:48">
      <c r="A15" s="142">
        <f t="shared" si="3"/>
        <v>45758</v>
      </c>
      <c r="B15" s="143">
        <f>YEAR(Table13[[#This Row],[Date]])+IF(MONTH(Table13[[#This Row],[Date]])&gt;=4,1,0)</f>
        <v>2026</v>
      </c>
      <c r="C15" s="116">
        <f>YEAR(Table13[[#This Row],[Date]])</f>
        <v>2025</v>
      </c>
      <c r="D15" s="144">
        <f>Table13[[#This Row],[Date]]-DAY(Table13[[#This Row],[Date]])+1</f>
        <v>45748</v>
      </c>
      <c r="E15" s="116">
        <f t="shared" si="0"/>
        <v>30</v>
      </c>
      <c r="F15" s="117">
        <f>IFERROR(_xlfn.XLOOKUP($A15,'Raw Data'!$G:$G,'Raw Data'!$AH:$AH),"")</f>
        <v>11.833333333333332</v>
      </c>
      <c r="G15" s="118">
        <f>IFERROR(_xlfn.XLOOKUP($A15,'Raw Data'!$G:$G,'Raw Data'!$S:$S)/1000,"")</f>
        <v>0</v>
      </c>
      <c r="H15" s="118"/>
      <c r="I15" s="118">
        <f>IFERROR(_xlfn.XLOOKUP($A15,'Raw Data'!$G:$G,'Raw Data'!$AF:$AF)/1000,"")</f>
        <v>7.4885000000000002</v>
      </c>
      <c r="J15" s="118"/>
      <c r="K15" s="118">
        <f>IFERROR(_xlfn.XLOOKUP($A15,'Raw Data'!$G:$G,'Raw Data'!W:W),"")</f>
        <v>23</v>
      </c>
      <c r="L15" s="118">
        <f>IFERROR(_xlfn.XLOOKUP($A15,'Raw Data'!$G:$G,'Raw Data'!X:X),"")</f>
        <v>44</v>
      </c>
      <c r="M15" s="118">
        <f>IFERROR(_xlfn.XLOOKUP($A15,'Raw Data'!$G:$G,'Raw Data'!Y:Y),"")</f>
        <v>5</v>
      </c>
      <c r="N15" s="118">
        <f>IFERROR(_xlfn.XLOOKUP($A15,'Raw Data'!$G:$G,'Raw Data'!Z:Z),"")</f>
        <v>9</v>
      </c>
      <c r="O15" s="145">
        <f>IFERROR(1-SUMIF('Plant BD'!$B:$B,$A15,'Plant BD'!$AM:$AM)/($AA15+SUMIF('Plant BD'!$B:$B,$A15,'Plant BD'!$AM:$AM)),"")</f>
        <v>1</v>
      </c>
      <c r="P15" s="145"/>
      <c r="Q15" s="146"/>
      <c r="R15" s="145">
        <f>IFERROR(1-SUMIF('Grid BD'!$B:$B,$A15,'Grid BD'!$AE:$AE)/($AA15+SUMIF('Grid BD'!$B:$B,$A15,'Grid BD'!$AE:$AE)),"")</f>
        <v>0.9794927725254734</v>
      </c>
      <c r="T15" s="146">
        <f>IFERROR(1-SUMIF(Tracker_BD!$H:$H,$A15,Tracker_BD!AI:AI)/$F15,"")</f>
        <v>0.95356969402622638</v>
      </c>
      <c r="U15" s="147">
        <f t="shared" si="1"/>
        <v>0.69747674534414605</v>
      </c>
      <c r="V15" s="147"/>
      <c r="W15" s="148">
        <f t="shared" si="2"/>
        <v>0.21762727531290155</v>
      </c>
      <c r="X15" s="143">
        <f>IFERROR(_xlfn.XLOOKUP($A15,'Raw Data'!$G:$G,'Raw Data'!$AB:$AB),"")</f>
        <v>61509</v>
      </c>
      <c r="Y15" s="143">
        <f>IFERROR(_xlfn.XLOOKUP($A15,'Raw Data'!$G:$G,'Raw Data'!AC:AC),"")</f>
        <v>61487.100000013015</v>
      </c>
      <c r="Z15" s="143">
        <f>IFERROR(_xlfn.XLOOKUP($A15,'Raw Data'!$G:$G,'Raw Data'!AD:AD),"")</f>
        <v>272.90000000004966</v>
      </c>
      <c r="AA15" s="143">
        <f>IFERROR(_xlfn.XLOOKUP($A15,'Raw Data'!$G:$G,'Raw Data'!AE:AE)*(1+(_xlfn.XLOOKUP(Table13[[#This Row],[Month Year]],JMR!$A:$A,JMR!$J:$J))),"")</f>
        <v>61214.200000012963</v>
      </c>
      <c r="AB15" s="143">
        <f>IFERROR(_xlfn.XLOOKUP($A15,'Raw Data'!$G:$G,'Raw Data'!$H:$H),"")</f>
        <v>11.72</v>
      </c>
      <c r="AC15" s="149">
        <f>IFERROR(_xlfn.XLOOKUP($D15,'Modelling New'!$D:$D,'Modelling New'!$P:$P),"")</f>
        <v>7.6186700233333315</v>
      </c>
      <c r="AD15" s="143">
        <f>IFERROR(_xlfn.XLOOKUP($D15,'Modelling New'!$D:$D,'Modelling New'!$T:$T)*1000,"")</f>
        <v>63455.713653610728</v>
      </c>
      <c r="AE15" s="148">
        <f>IFERROR(_xlfn.XLOOKUP($D15,'Modelling New'!$D:$D,'Modelling New'!$O:$O),"")</f>
        <v>0.71066341265888178</v>
      </c>
      <c r="AF15" s="148">
        <f>IFERROR(_xlfn.XLOOKUP($D15,'Modelling New'!$D:$D,'Modelling New'!$W:$W),"")</f>
        <v>0.22559625161266611</v>
      </c>
      <c r="AG15" s="148">
        <f>IFERROR(_xlfn.XLOOKUP($D15,'Modelling New'!$D:$D,'Modelling New'!AE:AE),"")</f>
        <v>0.995</v>
      </c>
      <c r="AH15" s="148">
        <f>IFERROR(_xlfn.XLOOKUP($D15,'Modelling New'!$D:$D,'Modelling New'!AF:AF),"")</f>
        <v>0.98550000000000004</v>
      </c>
      <c r="AN15" s="145"/>
      <c r="AO15" s="148"/>
      <c r="AP15" s="148"/>
      <c r="AQ15" s="148"/>
      <c r="AR15" s="143">
        <f>IFERROR(_xlfn.XLOOKUP($D15,'Modelling New'!$D:$D,'Modelling New'!$N:$N),"")</f>
        <v>11.72</v>
      </c>
      <c r="AT15" s="143">
        <f>IFERROR(_xlfn.XLOOKUP(Table13[[#This Row],[Date]],'Raw Data'!$G:$G,'Raw Data'!$AJ:$AJ),"")</f>
        <v>0</v>
      </c>
      <c r="AU15" s="143">
        <f>IFERROR(_xlfn.XLOOKUP(Table13[[#This Row],[Month Year]],'Modelling New'!$D:$D,'Modelling New'!$AO:$AO),"")</f>
        <v>10</v>
      </c>
      <c r="AV15" s="143"/>
    </row>
    <row r="16" spans="1:48">
      <c r="A16" s="142">
        <f t="shared" si="3"/>
        <v>45759</v>
      </c>
      <c r="B16" s="143">
        <f>YEAR(Table13[[#This Row],[Date]])+IF(MONTH(Table13[[#This Row],[Date]])&gt;=4,1,0)</f>
        <v>2026</v>
      </c>
      <c r="C16" s="116">
        <f>YEAR(Table13[[#This Row],[Date]])</f>
        <v>2025</v>
      </c>
      <c r="D16" s="144">
        <f>Table13[[#This Row],[Date]]-DAY(Table13[[#This Row],[Date]])+1</f>
        <v>45748</v>
      </c>
      <c r="E16" s="116">
        <f t="shared" si="0"/>
        <v>30</v>
      </c>
      <c r="F16" s="117">
        <f>IFERROR(_xlfn.XLOOKUP($A16,'Raw Data'!$G:$G,'Raw Data'!$AH:$AH),"")</f>
        <v>11.95</v>
      </c>
      <c r="G16" s="118">
        <f>IFERROR(_xlfn.XLOOKUP($A16,'Raw Data'!$G:$G,'Raw Data'!$S:$S)/1000,"")</f>
        <v>0</v>
      </c>
      <c r="H16" s="118"/>
      <c r="I16" s="118">
        <f>IFERROR(_xlfn.XLOOKUP($A16,'Raw Data'!$G:$G,'Raw Data'!$AF:$AF)/1000,"")</f>
        <v>7.4275000000000002</v>
      </c>
      <c r="J16" s="118"/>
      <c r="K16" s="118">
        <f>IFERROR(_xlfn.XLOOKUP($A16,'Raw Data'!$G:$G,'Raw Data'!W:W),"")</f>
        <v>23</v>
      </c>
      <c r="L16" s="118">
        <f>IFERROR(_xlfn.XLOOKUP($A16,'Raw Data'!$G:$G,'Raw Data'!X:X),"")</f>
        <v>44</v>
      </c>
      <c r="M16" s="118">
        <f>IFERROR(_xlfn.XLOOKUP($A16,'Raw Data'!$G:$G,'Raw Data'!Y:Y),"")</f>
        <v>8</v>
      </c>
      <c r="N16" s="118">
        <f>IFERROR(_xlfn.XLOOKUP($A16,'Raw Data'!$G:$G,'Raw Data'!Z:Z),"")</f>
        <v>11</v>
      </c>
      <c r="O16" s="145">
        <f>IFERROR(1-SUMIF('Plant BD'!$B:$B,$A16,'Plant BD'!$AM:$AM)/($AA16+SUMIF('Plant BD'!$B:$B,$A16,'Plant BD'!$AM:$AM)),"")</f>
        <v>1</v>
      </c>
      <c r="P16" s="145"/>
      <c r="Q16" s="146"/>
      <c r="R16" s="145">
        <f>IFERROR(1-SUMIF('Grid BD'!$B:$B,$A16,'Grid BD'!$AE:$AE)/($AA16+SUMIF('Grid BD'!$B:$B,$A16,'Grid BD'!$AE:$AE)),"")</f>
        <v>1</v>
      </c>
      <c r="T16" s="146">
        <f>IFERROR(1-SUMIF(Tracker_BD!$H:$H,$A16,Tracker_BD!AI:AI)/$F16,"")</f>
        <v>0.95427948508312088</v>
      </c>
      <c r="U16" s="147">
        <f t="shared" si="1"/>
        <v>0.70806648569845865</v>
      </c>
      <c r="V16" s="147"/>
      <c r="W16" s="148">
        <f t="shared" si="2"/>
        <v>0.21913182593855424</v>
      </c>
      <c r="X16" s="143">
        <f>IFERROR(_xlfn.XLOOKUP($A16,'Raw Data'!$G:$G,'Raw Data'!$AB:$AB),"")</f>
        <v>61789</v>
      </c>
      <c r="Y16" s="143">
        <f>IFERROR(_xlfn.XLOOKUP($A16,'Raw Data'!$G:$G,'Raw Data'!AC:AC),"")</f>
        <v>61777.499999996508</v>
      </c>
      <c r="Z16" s="143">
        <f>IFERROR(_xlfn.XLOOKUP($A16,'Raw Data'!$G:$G,'Raw Data'!AD:AD),"")</f>
        <v>140.09999999996126</v>
      </c>
      <c r="AA16" s="143">
        <f>IFERROR(_xlfn.XLOOKUP($A16,'Raw Data'!$G:$G,'Raw Data'!AE:AE)*(1+(_xlfn.XLOOKUP(Table13[[#This Row],[Month Year]],JMR!$A:$A,JMR!$J:$J))),"")</f>
        <v>61637.399999996545</v>
      </c>
      <c r="AB16" s="143">
        <f>IFERROR(_xlfn.XLOOKUP($A16,'Raw Data'!$G:$G,'Raw Data'!$H:$H),"")</f>
        <v>11.72</v>
      </c>
      <c r="AC16" s="149">
        <f>IFERROR(_xlfn.XLOOKUP($D16,'Modelling New'!$D:$D,'Modelling New'!$P:$P),"")</f>
        <v>7.6186700233333315</v>
      </c>
      <c r="AD16" s="143">
        <f>IFERROR(_xlfn.XLOOKUP($D16,'Modelling New'!$D:$D,'Modelling New'!$T:$T)*1000,"")</f>
        <v>63455.713653610728</v>
      </c>
      <c r="AE16" s="148">
        <f>IFERROR(_xlfn.XLOOKUP($D16,'Modelling New'!$D:$D,'Modelling New'!$O:$O),"")</f>
        <v>0.71066341265888178</v>
      </c>
      <c r="AF16" s="148">
        <f>IFERROR(_xlfn.XLOOKUP($D16,'Modelling New'!$D:$D,'Modelling New'!$W:$W),"")</f>
        <v>0.22559625161266611</v>
      </c>
      <c r="AG16" s="148">
        <f>IFERROR(_xlfn.XLOOKUP($D16,'Modelling New'!$D:$D,'Modelling New'!AE:AE),"")</f>
        <v>0.995</v>
      </c>
      <c r="AH16" s="148">
        <f>IFERROR(_xlfn.XLOOKUP($D16,'Modelling New'!$D:$D,'Modelling New'!AF:AF),"")</f>
        <v>0.98550000000000004</v>
      </c>
      <c r="AN16" s="145"/>
      <c r="AO16" s="148"/>
      <c r="AP16" s="148"/>
      <c r="AQ16" s="148"/>
      <c r="AR16" s="143">
        <f>IFERROR(_xlfn.XLOOKUP($D16,'Modelling New'!$D:$D,'Modelling New'!$N:$N),"")</f>
        <v>11.72</v>
      </c>
      <c r="AT16" s="143">
        <f>IFERROR(_xlfn.XLOOKUP(Table13[[#This Row],[Date]],'Raw Data'!$G:$G,'Raw Data'!$AJ:$AJ),"")</f>
        <v>0</v>
      </c>
      <c r="AU16" s="143">
        <f>IFERROR(_xlfn.XLOOKUP(Table13[[#This Row],[Month Year]],'Modelling New'!$D:$D,'Modelling New'!$AO:$AO),"")</f>
        <v>10</v>
      </c>
      <c r="AV16" s="143"/>
    </row>
    <row r="17" spans="1:48">
      <c r="A17" s="142">
        <f t="shared" si="3"/>
        <v>45760</v>
      </c>
      <c r="B17" s="143">
        <f>YEAR(Table13[[#This Row],[Date]])+IF(MONTH(Table13[[#This Row],[Date]])&gt;=4,1,0)</f>
        <v>2026</v>
      </c>
      <c r="C17" s="116">
        <f>YEAR(Table13[[#This Row],[Date]])</f>
        <v>2025</v>
      </c>
      <c r="D17" s="144">
        <f>Table13[[#This Row],[Date]]-DAY(Table13[[#This Row],[Date]])+1</f>
        <v>45748</v>
      </c>
      <c r="E17" s="116">
        <f t="shared" si="0"/>
        <v>30</v>
      </c>
      <c r="F17" s="117">
        <f>IFERROR(_xlfn.XLOOKUP($A17,'Raw Data'!$G:$G,'Raw Data'!$AH:$AH),"")</f>
        <v>12.066666666666666</v>
      </c>
      <c r="G17" s="118">
        <f>IFERROR(_xlfn.XLOOKUP($A17,'Raw Data'!$G:$G,'Raw Data'!$S:$S)/1000,"")</f>
        <v>0</v>
      </c>
      <c r="H17" s="118"/>
      <c r="I17" s="118">
        <f>IFERROR(_xlfn.XLOOKUP($A17,'Raw Data'!$G:$G,'Raw Data'!$AF:$AF)/1000,"")</f>
        <v>7.1675000000000004</v>
      </c>
      <c r="J17" s="118"/>
      <c r="K17" s="118">
        <f>IFERROR(_xlfn.XLOOKUP($A17,'Raw Data'!$G:$G,'Raw Data'!W:W),"")</f>
        <v>23</v>
      </c>
      <c r="L17" s="118">
        <f>IFERROR(_xlfn.XLOOKUP($A17,'Raw Data'!$G:$G,'Raw Data'!X:X),"")</f>
        <v>44</v>
      </c>
      <c r="M17" s="118">
        <f>IFERROR(_xlfn.XLOOKUP($A17,'Raw Data'!$G:$G,'Raw Data'!Y:Y),"")</f>
        <v>8</v>
      </c>
      <c r="N17" s="118">
        <f>IFERROR(_xlfn.XLOOKUP($A17,'Raw Data'!$G:$G,'Raw Data'!Z:Z),"")</f>
        <v>11</v>
      </c>
      <c r="O17" s="145">
        <f>IFERROR(1-SUMIF('Plant BD'!$B:$B,$A17,'Plant BD'!$AM:$AM)/($AA17+SUMIF('Plant BD'!$B:$B,$A17,'Plant BD'!$AM:$AM)),"")</f>
        <v>1</v>
      </c>
      <c r="P17" s="145"/>
      <c r="Q17" s="146"/>
      <c r="R17" s="145">
        <f>IFERROR(1-SUMIF('Grid BD'!$B:$B,$A17,'Grid BD'!$AE:$AE)/($AA17+SUMIF('Grid BD'!$B:$B,$A17,'Grid BD'!$AE:$AE)),"")</f>
        <v>1</v>
      </c>
      <c r="T17" s="146">
        <f>IFERROR(1-SUMIF(Tracker_BD!$H:$H,$A17,Tracker_BD!AI:AI)/$F17,"")</f>
        <v>0.95434050930335934</v>
      </c>
      <c r="U17" s="147">
        <f t="shared" si="1"/>
        <v>0.69957299194914324</v>
      </c>
      <c r="V17" s="147"/>
      <c r="W17" s="148">
        <f t="shared" si="2"/>
        <v>0.20892455915814512</v>
      </c>
      <c r="X17" s="143">
        <f>IFERROR(_xlfn.XLOOKUP($A17,'Raw Data'!$G:$G,'Raw Data'!$AB:$AB),"")</f>
        <v>58986</v>
      </c>
      <c r="Y17" s="143">
        <f>IFERROR(_xlfn.XLOOKUP($A17,'Raw Data'!$G:$G,'Raw Data'!AC:AC),"")</f>
        <v>58958.400000003166</v>
      </c>
      <c r="Z17" s="143">
        <f>IFERROR(_xlfn.XLOOKUP($A17,'Raw Data'!$G:$G,'Raw Data'!AD:AD),"")</f>
        <v>192.10000000009586</v>
      </c>
      <c r="AA17" s="143">
        <f>IFERROR(_xlfn.XLOOKUP($A17,'Raw Data'!$G:$G,'Raw Data'!AE:AE)*(1+(_xlfn.XLOOKUP(Table13[[#This Row],[Month Year]],JMR!$A:$A,JMR!$J:$J))),"")</f>
        <v>58766.300000003073</v>
      </c>
      <c r="AB17" s="143">
        <f>IFERROR(_xlfn.XLOOKUP($A17,'Raw Data'!$G:$G,'Raw Data'!$H:$H),"")</f>
        <v>11.72</v>
      </c>
      <c r="AC17" s="149">
        <f>IFERROR(_xlfn.XLOOKUP($D17,'Modelling New'!$D:$D,'Modelling New'!$P:$P),"")</f>
        <v>7.6186700233333315</v>
      </c>
      <c r="AD17" s="143">
        <f>IFERROR(_xlfn.XLOOKUP($D17,'Modelling New'!$D:$D,'Modelling New'!$T:$T)*1000,"")</f>
        <v>63455.713653610728</v>
      </c>
      <c r="AE17" s="148">
        <f>IFERROR(_xlfn.XLOOKUP($D17,'Modelling New'!$D:$D,'Modelling New'!$O:$O),"")</f>
        <v>0.71066341265888178</v>
      </c>
      <c r="AF17" s="148">
        <f>IFERROR(_xlfn.XLOOKUP($D17,'Modelling New'!$D:$D,'Modelling New'!$W:$W),"")</f>
        <v>0.22559625161266611</v>
      </c>
      <c r="AG17" s="148">
        <f>IFERROR(_xlfn.XLOOKUP($D17,'Modelling New'!$D:$D,'Modelling New'!AE:AE),"")</f>
        <v>0.995</v>
      </c>
      <c r="AH17" s="148">
        <f>IFERROR(_xlfn.XLOOKUP($D17,'Modelling New'!$D:$D,'Modelling New'!AF:AF),"")</f>
        <v>0.98550000000000004</v>
      </c>
      <c r="AN17" s="145"/>
      <c r="AO17" s="148"/>
      <c r="AP17" s="148"/>
      <c r="AQ17" s="148"/>
      <c r="AR17" s="143">
        <f>IFERROR(_xlfn.XLOOKUP($D17,'Modelling New'!$D:$D,'Modelling New'!$N:$N),"")</f>
        <v>11.72</v>
      </c>
      <c r="AT17" s="143">
        <f>IFERROR(_xlfn.XLOOKUP(Table13[[#This Row],[Date]],'Raw Data'!$G:$G,'Raw Data'!$AJ:$AJ),"")</f>
        <v>0</v>
      </c>
      <c r="AU17" s="143">
        <f>IFERROR(_xlfn.XLOOKUP(Table13[[#This Row],[Month Year]],'Modelling New'!$D:$D,'Modelling New'!$AO:$AO),"")</f>
        <v>10</v>
      </c>
      <c r="AV17" s="143"/>
    </row>
    <row r="18" spans="1:48">
      <c r="A18" s="142">
        <f t="shared" si="3"/>
        <v>45761</v>
      </c>
      <c r="B18" s="143">
        <f>YEAR(Table13[[#This Row],[Date]])+IF(MONTH(Table13[[#This Row],[Date]])&gt;=4,1,0)</f>
        <v>2026</v>
      </c>
      <c r="C18" s="116">
        <f>YEAR(Table13[[#This Row],[Date]])</f>
        <v>2025</v>
      </c>
      <c r="D18" s="144">
        <f>Table13[[#This Row],[Date]]-DAY(Table13[[#This Row],[Date]])+1</f>
        <v>45748</v>
      </c>
      <c r="E18" s="116">
        <f t="shared" si="0"/>
        <v>30</v>
      </c>
      <c r="F18" s="117">
        <f>IFERROR(_xlfn.XLOOKUP($A18,'Raw Data'!$G:$G,'Raw Data'!$AH:$AH),"")</f>
        <v>12.08333333333333</v>
      </c>
      <c r="G18" s="118">
        <f>IFERROR(_xlfn.XLOOKUP($A18,'Raw Data'!$G:$G,'Raw Data'!$S:$S)/1000,"")</f>
        <v>0</v>
      </c>
      <c r="H18" s="118"/>
      <c r="I18" s="118">
        <f>IFERROR(_xlfn.XLOOKUP($A18,'Raw Data'!$G:$G,'Raw Data'!$AF:$AF)/1000,"")</f>
        <v>7.6219999999999999</v>
      </c>
      <c r="J18" s="118"/>
      <c r="K18" s="118">
        <f>IFERROR(_xlfn.XLOOKUP($A18,'Raw Data'!$G:$G,'Raw Data'!W:W),"")</f>
        <v>23</v>
      </c>
      <c r="L18" s="118">
        <f>IFERROR(_xlfn.XLOOKUP($A18,'Raw Data'!$G:$G,'Raw Data'!X:X),"")</f>
        <v>48.8</v>
      </c>
      <c r="M18" s="118">
        <f>IFERROR(_xlfn.XLOOKUP($A18,'Raw Data'!$G:$G,'Raw Data'!Y:Y),"")</f>
        <v>4.7</v>
      </c>
      <c r="N18" s="118">
        <f>IFERROR(_xlfn.XLOOKUP($A18,'Raw Data'!$G:$G,'Raw Data'!Z:Z),"")</f>
        <v>11</v>
      </c>
      <c r="O18" s="145">
        <f>IFERROR(1-SUMIF('Plant BD'!$B:$B,$A18,'Plant BD'!$AM:$AM)/($AA18+SUMIF('Plant BD'!$B:$B,$A18,'Plant BD'!$AM:$AM)),"")</f>
        <v>1</v>
      </c>
      <c r="P18" s="145"/>
      <c r="Q18" s="146"/>
      <c r="R18" s="145">
        <f>IFERROR(1-SUMIF('Grid BD'!$B:$B,$A18,'Grid BD'!$AE:$AE)/($AA18+SUMIF('Grid BD'!$B:$B,$A18,'Grid BD'!$AE:$AE)),"")</f>
        <v>1</v>
      </c>
      <c r="T18" s="146">
        <f>IFERROR(1-SUMIF(Tracker_BD!$H:$H,$A18,Tracker_BD!AI:AI)/$F18,"")</f>
        <v>0.95434007134363852</v>
      </c>
      <c r="U18" s="147">
        <f t="shared" si="1"/>
        <v>0.70076471647093341</v>
      </c>
      <c r="V18" s="147"/>
      <c r="W18" s="148">
        <f t="shared" si="2"/>
        <v>0.22255119453922725</v>
      </c>
      <c r="X18" s="143">
        <f>IFERROR(_xlfn.XLOOKUP($A18,'Raw Data'!$G:$G,'Raw Data'!$AB:$AB),"")</f>
        <v>62850</v>
      </c>
      <c r="Y18" s="143">
        <f>IFERROR(_xlfn.XLOOKUP($A18,'Raw Data'!$G:$G,'Raw Data'!AC:AC),"")</f>
        <v>62808.99999999383</v>
      </c>
      <c r="Z18" s="143">
        <f>IFERROR(_xlfn.XLOOKUP($A18,'Raw Data'!$G:$G,'Raw Data'!AD:AD),"")</f>
        <v>209.7999999999729</v>
      </c>
      <c r="AA18" s="143">
        <f>IFERROR(_xlfn.XLOOKUP($A18,'Raw Data'!$G:$G,'Raw Data'!AE:AE)*(1+(_xlfn.XLOOKUP(Table13[[#This Row],[Month Year]],JMR!$A:$A,JMR!$J:$J))),"")</f>
        <v>62599.199999993856</v>
      </c>
      <c r="AB18" s="143">
        <f>IFERROR(_xlfn.XLOOKUP($A18,'Raw Data'!$G:$G,'Raw Data'!$H:$H),"")</f>
        <v>11.72</v>
      </c>
      <c r="AC18" s="149">
        <f>IFERROR(_xlfn.XLOOKUP($D18,'Modelling New'!$D:$D,'Modelling New'!$P:$P),"")</f>
        <v>7.6186700233333315</v>
      </c>
      <c r="AD18" s="143">
        <f>IFERROR(_xlfn.XLOOKUP($D18,'Modelling New'!$D:$D,'Modelling New'!$T:$T)*1000,"")</f>
        <v>63455.713653610728</v>
      </c>
      <c r="AE18" s="148">
        <f>IFERROR(_xlfn.XLOOKUP($D18,'Modelling New'!$D:$D,'Modelling New'!$O:$O),"")</f>
        <v>0.71066341265888178</v>
      </c>
      <c r="AF18" s="148">
        <f>IFERROR(_xlfn.XLOOKUP($D18,'Modelling New'!$D:$D,'Modelling New'!$W:$W),"")</f>
        <v>0.22559625161266611</v>
      </c>
      <c r="AG18" s="148">
        <f>IFERROR(_xlfn.XLOOKUP($D18,'Modelling New'!$D:$D,'Modelling New'!AE:AE),"")</f>
        <v>0.995</v>
      </c>
      <c r="AH18" s="148">
        <f>IFERROR(_xlfn.XLOOKUP($D18,'Modelling New'!$D:$D,'Modelling New'!AF:AF),"")</f>
        <v>0.98550000000000004</v>
      </c>
      <c r="AN18" s="145"/>
      <c r="AO18" s="148"/>
      <c r="AP18" s="148"/>
      <c r="AQ18" s="148"/>
      <c r="AR18" s="143">
        <f>IFERROR(_xlfn.XLOOKUP($D18,'Modelling New'!$D:$D,'Modelling New'!$N:$N),"")</f>
        <v>11.72</v>
      </c>
      <c r="AT18" s="143">
        <f>IFERROR(_xlfn.XLOOKUP(Table13[[#This Row],[Date]],'Raw Data'!$G:$G,'Raw Data'!$AJ:$AJ),"")</f>
        <v>0</v>
      </c>
      <c r="AU18" s="143">
        <f>IFERROR(_xlfn.XLOOKUP(Table13[[#This Row],[Month Year]],'Modelling New'!$D:$D,'Modelling New'!$AO:$AO),"")</f>
        <v>10</v>
      </c>
      <c r="AV18" s="143"/>
    </row>
    <row r="19" spans="1:48">
      <c r="A19" s="142">
        <f t="shared" si="3"/>
        <v>45762</v>
      </c>
      <c r="B19" s="143">
        <f>YEAR(Table13[[#This Row],[Date]])+IF(MONTH(Table13[[#This Row],[Date]])&gt;=4,1,0)</f>
        <v>2026</v>
      </c>
      <c r="C19" s="116">
        <f>YEAR(Table13[[#This Row],[Date]])</f>
        <v>2025</v>
      </c>
      <c r="D19" s="144">
        <f>Table13[[#This Row],[Date]]-DAY(Table13[[#This Row],[Date]])+1</f>
        <v>45748</v>
      </c>
      <c r="E19" s="116">
        <f t="shared" si="0"/>
        <v>30</v>
      </c>
      <c r="F19" s="117">
        <f>IFERROR(_xlfn.XLOOKUP($A19,'Raw Data'!$G:$G,'Raw Data'!$AH:$AH),"")</f>
        <v>12.216666666666669</v>
      </c>
      <c r="G19" s="118">
        <f>IFERROR(_xlfn.XLOOKUP($A19,'Raw Data'!$G:$G,'Raw Data'!$S:$S)/1000,"")</f>
        <v>0</v>
      </c>
      <c r="H19" s="118"/>
      <c r="I19" s="118">
        <f>IFERROR(_xlfn.XLOOKUP($A19,'Raw Data'!$G:$G,'Raw Data'!$AF:$AF)/1000,"")</f>
        <v>7.5395000000000003</v>
      </c>
      <c r="J19" s="118"/>
      <c r="K19" s="118">
        <f>IFERROR(_xlfn.XLOOKUP($A19,'Raw Data'!$G:$G,'Raw Data'!W:W),"")</f>
        <v>23</v>
      </c>
      <c r="L19" s="118">
        <f>IFERROR(_xlfn.XLOOKUP($A19,'Raw Data'!$G:$G,'Raw Data'!X:X),"")</f>
        <v>49.6</v>
      </c>
      <c r="M19" s="118">
        <f>IFERROR(_xlfn.XLOOKUP($A19,'Raw Data'!$G:$G,'Raw Data'!Y:Y),"")</f>
        <v>4.7</v>
      </c>
      <c r="N19" s="118">
        <f>IFERROR(_xlfn.XLOOKUP($A19,'Raw Data'!$G:$G,'Raw Data'!Z:Z),"")</f>
        <v>11</v>
      </c>
      <c r="O19" s="145">
        <f>IFERROR(1-SUMIF('Plant BD'!$B:$B,$A19,'Plant BD'!$AM:$AM)/($AA19+SUMIF('Plant BD'!$B:$B,$A19,'Plant BD'!$AM:$AM)),"")</f>
        <v>1</v>
      </c>
      <c r="P19" s="145"/>
      <c r="Q19" s="146"/>
      <c r="R19" s="145">
        <f>IFERROR(1-SUMIF('Grid BD'!$B:$B,$A19,'Grid BD'!$AE:$AE)/($AA19+SUMIF('Grid BD'!$B:$B,$A19,'Grid BD'!$AE:$AE)),"")</f>
        <v>1</v>
      </c>
      <c r="T19" s="146">
        <f>IFERROR(1-SUMIF(Tracker_BD!$H:$H,$A19,Tracker_BD!AI:AI)/$F19,"")</f>
        <v>0.95471295730034034</v>
      </c>
      <c r="U19" s="147">
        <f t="shared" si="1"/>
        <v>0.68813124597259656</v>
      </c>
      <c r="V19" s="147"/>
      <c r="W19" s="148">
        <f t="shared" si="2"/>
        <v>0.21617356370876634</v>
      </c>
      <c r="X19" s="143">
        <f>IFERROR(_xlfn.XLOOKUP($A19,'Raw Data'!$G:$G,'Raw Data'!$AB:$AB),"")</f>
        <v>61059</v>
      </c>
      <c r="Y19" s="143">
        <f>IFERROR(_xlfn.XLOOKUP($A19,'Raw Data'!$G:$G,'Raw Data'!AC:AC),"")</f>
        <v>60998.200000001816</v>
      </c>
      <c r="Z19" s="143">
        <f>IFERROR(_xlfn.XLOOKUP($A19,'Raw Data'!$G:$G,'Raw Data'!AD:AD),"")</f>
        <v>192.90000000000873</v>
      </c>
      <c r="AA19" s="143">
        <f>IFERROR(_xlfn.XLOOKUP($A19,'Raw Data'!$G:$G,'Raw Data'!AE:AE)*(1+(_xlfn.XLOOKUP(Table13[[#This Row],[Month Year]],JMR!$A:$A,JMR!$J:$J))),"")</f>
        <v>60805.300000001807</v>
      </c>
      <c r="AB19" s="143">
        <f>IFERROR(_xlfn.XLOOKUP($A19,'Raw Data'!$G:$G,'Raw Data'!$H:$H),"")</f>
        <v>11.72</v>
      </c>
      <c r="AC19" s="149">
        <f>IFERROR(_xlfn.XLOOKUP($D19,'Modelling New'!$D:$D,'Modelling New'!$P:$P),"")</f>
        <v>7.6186700233333315</v>
      </c>
      <c r="AD19" s="143">
        <f>IFERROR(_xlfn.XLOOKUP($D19,'Modelling New'!$D:$D,'Modelling New'!$T:$T)*1000,"")</f>
        <v>63455.713653610728</v>
      </c>
      <c r="AE19" s="148">
        <f>IFERROR(_xlfn.XLOOKUP($D19,'Modelling New'!$D:$D,'Modelling New'!$O:$O),"")</f>
        <v>0.71066341265888178</v>
      </c>
      <c r="AF19" s="148">
        <f>IFERROR(_xlfn.XLOOKUP($D19,'Modelling New'!$D:$D,'Modelling New'!$W:$W),"")</f>
        <v>0.22559625161266611</v>
      </c>
      <c r="AG19" s="148">
        <f>IFERROR(_xlfn.XLOOKUP($D19,'Modelling New'!$D:$D,'Modelling New'!AE:AE),"")</f>
        <v>0.995</v>
      </c>
      <c r="AH19" s="148">
        <f>IFERROR(_xlfn.XLOOKUP($D19,'Modelling New'!$D:$D,'Modelling New'!AF:AF),"")</f>
        <v>0.98550000000000004</v>
      </c>
      <c r="AN19" s="145"/>
      <c r="AO19" s="148"/>
      <c r="AP19" s="148"/>
      <c r="AQ19" s="148"/>
      <c r="AR19" s="143">
        <f>IFERROR(_xlfn.XLOOKUP($D19,'Modelling New'!$D:$D,'Modelling New'!$N:$N),"")</f>
        <v>11.72</v>
      </c>
      <c r="AT19" s="143">
        <f>IFERROR(_xlfn.XLOOKUP(Table13[[#This Row],[Date]],'Raw Data'!$G:$G,'Raw Data'!$AJ:$AJ),"")</f>
        <v>0</v>
      </c>
      <c r="AU19" s="143">
        <f>IFERROR(_xlfn.XLOOKUP(Table13[[#This Row],[Month Year]],'Modelling New'!$D:$D,'Modelling New'!$AO:$AO),"")</f>
        <v>10</v>
      </c>
      <c r="AV19" s="143"/>
    </row>
    <row r="20" spans="1:48">
      <c r="A20" s="142">
        <f t="shared" si="3"/>
        <v>45763</v>
      </c>
      <c r="B20" s="143">
        <f>YEAR(Table13[[#This Row],[Date]])+IF(MONTH(Table13[[#This Row],[Date]])&gt;=4,1,0)</f>
        <v>2026</v>
      </c>
      <c r="C20" s="116">
        <f>YEAR(Table13[[#This Row],[Date]])</f>
        <v>2025</v>
      </c>
      <c r="D20" s="144">
        <f>Table13[[#This Row],[Date]]-DAY(Table13[[#This Row],[Date]])+1</f>
        <v>45748</v>
      </c>
      <c r="E20" s="116">
        <f t="shared" si="0"/>
        <v>30</v>
      </c>
      <c r="F20" s="117">
        <f>IFERROR(_xlfn.XLOOKUP($A20,'Raw Data'!$G:$G,'Raw Data'!$AH:$AH),"")</f>
        <v>12.1</v>
      </c>
      <c r="G20" s="118">
        <f>IFERROR(_xlfn.XLOOKUP($A20,'Raw Data'!$G:$G,'Raw Data'!$S:$S)/1000,"")</f>
        <v>0</v>
      </c>
      <c r="H20" s="118"/>
      <c r="I20" s="118">
        <f>IFERROR(_xlfn.XLOOKUP($A20,'Raw Data'!$G:$G,'Raw Data'!$AF:$AF)/1000,"")</f>
        <v>6.3754999999999997</v>
      </c>
      <c r="J20" s="118"/>
      <c r="K20" s="118">
        <f>IFERROR(_xlfn.XLOOKUP($A20,'Raw Data'!$G:$G,'Raw Data'!W:W),"")</f>
        <v>23</v>
      </c>
      <c r="L20" s="118">
        <f>IFERROR(_xlfn.XLOOKUP($A20,'Raw Data'!$G:$G,'Raw Data'!X:X),"")</f>
        <v>48</v>
      </c>
      <c r="M20" s="118">
        <f>IFERROR(_xlfn.XLOOKUP($A20,'Raw Data'!$G:$G,'Raw Data'!Y:Y),"")</f>
        <v>4.7</v>
      </c>
      <c r="N20" s="118">
        <f>IFERROR(_xlfn.XLOOKUP($A20,'Raw Data'!$G:$G,'Raw Data'!Z:Z),"")</f>
        <v>11</v>
      </c>
      <c r="O20" s="145">
        <f>IFERROR(1-SUMIF('Plant BD'!$B:$B,$A20,'Plant BD'!$AM:$AM)/($AA20+SUMIF('Plant BD'!$B:$B,$A20,'Plant BD'!$AM:$AM)),"")</f>
        <v>1</v>
      </c>
      <c r="P20" s="145"/>
      <c r="Q20" s="146"/>
      <c r="R20" s="145">
        <f>IFERROR(1-SUMIF('Grid BD'!$B:$B,$A20,'Grid BD'!$AE:$AE)/($AA20+SUMIF('Grid BD'!$B:$B,$A20,'Grid BD'!$AE:$AE)),"")</f>
        <v>1</v>
      </c>
      <c r="T20" s="146">
        <f>IFERROR(1-SUMIF(Tracker_BD!$H:$H,$A20,Tracker_BD!AI:AI)/$F20,"")</f>
        <v>0.95440296380735257</v>
      </c>
      <c r="U20" s="147">
        <f t="shared" si="1"/>
        <v>0.71552174319191819</v>
      </c>
      <c r="V20" s="147"/>
      <c r="W20" s="148">
        <f t="shared" si="2"/>
        <v>0.19007536973833641</v>
      </c>
      <c r="X20" s="143">
        <f>IFERROR(_xlfn.XLOOKUP($A20,'Raw Data'!$G:$G,'Raw Data'!$AB:$AB),"")</f>
        <v>53729</v>
      </c>
      <c r="Y20" s="143">
        <f>IFERROR(_xlfn.XLOOKUP($A20,'Raw Data'!$G:$G,'Raw Data'!AC:AC),"")</f>
        <v>53649.799999999232</v>
      </c>
      <c r="Z20" s="143">
        <f>IFERROR(_xlfn.XLOOKUP($A20,'Raw Data'!$G:$G,'Raw Data'!AD:AD),"")</f>
        <v>185.39999999995871</v>
      </c>
      <c r="AA20" s="143">
        <f>IFERROR(_xlfn.XLOOKUP($A20,'Raw Data'!$G:$G,'Raw Data'!AE:AE)*(1+(_xlfn.XLOOKUP(Table13[[#This Row],[Month Year]],JMR!$A:$A,JMR!$J:$J))),"")</f>
        <v>53464.399999999274</v>
      </c>
      <c r="AB20" s="143">
        <f>IFERROR(_xlfn.XLOOKUP($A20,'Raw Data'!$G:$G,'Raw Data'!$H:$H),"")</f>
        <v>11.72</v>
      </c>
      <c r="AC20" s="149">
        <f>IFERROR(_xlfn.XLOOKUP($D20,'Modelling New'!$D:$D,'Modelling New'!$P:$P),"")</f>
        <v>7.6186700233333315</v>
      </c>
      <c r="AD20" s="143">
        <f>IFERROR(_xlfn.XLOOKUP($D20,'Modelling New'!$D:$D,'Modelling New'!$T:$T)*1000,"")</f>
        <v>63455.713653610728</v>
      </c>
      <c r="AE20" s="148">
        <f>IFERROR(_xlfn.XLOOKUP($D20,'Modelling New'!$D:$D,'Modelling New'!$O:$O),"")</f>
        <v>0.71066341265888178</v>
      </c>
      <c r="AF20" s="148">
        <f>IFERROR(_xlfn.XLOOKUP($D20,'Modelling New'!$D:$D,'Modelling New'!$W:$W),"")</f>
        <v>0.22559625161266611</v>
      </c>
      <c r="AG20" s="148">
        <f>IFERROR(_xlfn.XLOOKUP($D20,'Modelling New'!$D:$D,'Modelling New'!AE:AE),"")</f>
        <v>0.995</v>
      </c>
      <c r="AH20" s="148">
        <f>IFERROR(_xlfn.XLOOKUP($D20,'Modelling New'!$D:$D,'Modelling New'!AF:AF),"")</f>
        <v>0.98550000000000004</v>
      </c>
      <c r="AN20" s="145"/>
      <c r="AO20" s="148"/>
      <c r="AP20" s="148"/>
      <c r="AQ20" s="148"/>
      <c r="AR20" s="143">
        <f>IFERROR(_xlfn.XLOOKUP($D20,'Modelling New'!$D:$D,'Modelling New'!$N:$N),"")</f>
        <v>11.72</v>
      </c>
      <c r="AT20" s="143">
        <f>IFERROR(_xlfn.XLOOKUP(Table13[[#This Row],[Date]],'Raw Data'!$G:$G,'Raw Data'!$AJ:$AJ),"")</f>
        <v>0</v>
      </c>
      <c r="AU20" s="143">
        <f>IFERROR(_xlfn.XLOOKUP(Table13[[#This Row],[Month Year]],'Modelling New'!$D:$D,'Modelling New'!$AO:$AO),"")</f>
        <v>10</v>
      </c>
      <c r="AV20" s="143"/>
    </row>
    <row r="21" spans="1:48">
      <c r="A21" s="142">
        <f t="shared" si="3"/>
        <v>45764</v>
      </c>
      <c r="B21" s="143">
        <f>YEAR(Table13[[#This Row],[Date]])+IF(MONTH(Table13[[#This Row],[Date]])&gt;=4,1,0)</f>
        <v>2026</v>
      </c>
      <c r="C21" s="116">
        <f>YEAR(Table13[[#This Row],[Date]])</f>
        <v>2025</v>
      </c>
      <c r="D21" s="144">
        <f>Table13[[#This Row],[Date]]-DAY(Table13[[#This Row],[Date]])+1</f>
        <v>45748</v>
      </c>
      <c r="E21" s="116">
        <f t="shared" si="0"/>
        <v>30</v>
      </c>
      <c r="F21" s="117">
        <f>IFERROR(_xlfn.XLOOKUP($A21,'Raw Data'!$G:$G,'Raw Data'!$AH:$AH),"")</f>
        <v>12.166666666666666</v>
      </c>
      <c r="G21" s="118">
        <f>IFERROR(_xlfn.XLOOKUP($A21,'Raw Data'!$G:$G,'Raw Data'!$S:$S)/1000,"")</f>
        <v>0</v>
      </c>
      <c r="H21" s="118"/>
      <c r="I21" s="118">
        <f>IFERROR(_xlfn.XLOOKUP($A21,'Raw Data'!$G:$G,'Raw Data'!$AF:$AF)/1000,"")</f>
        <v>6.9729999999999999</v>
      </c>
      <c r="J21" s="118"/>
      <c r="K21" s="118">
        <f>IFERROR(_xlfn.XLOOKUP($A21,'Raw Data'!$G:$G,'Raw Data'!W:W),"")</f>
        <v>23</v>
      </c>
      <c r="L21" s="118">
        <f>IFERROR(_xlfn.XLOOKUP($A21,'Raw Data'!$G:$G,'Raw Data'!X:X),"")</f>
        <v>48</v>
      </c>
      <c r="M21" s="118">
        <f>IFERROR(_xlfn.XLOOKUP($A21,'Raw Data'!$G:$G,'Raw Data'!Y:Y),"")</f>
        <v>4.7</v>
      </c>
      <c r="N21" s="118">
        <f>IFERROR(_xlfn.XLOOKUP($A21,'Raw Data'!$G:$G,'Raw Data'!Z:Z),"")</f>
        <v>11</v>
      </c>
      <c r="O21" s="145">
        <f>IFERROR(1-SUMIF('Plant BD'!$B:$B,$A21,'Plant BD'!$AM:$AM)/($AA21+SUMIF('Plant BD'!$B:$B,$A21,'Plant BD'!$AM:$AM)),"")</f>
        <v>1</v>
      </c>
      <c r="P21" s="145"/>
      <c r="Q21" s="146"/>
      <c r="R21" s="145">
        <f>IFERROR(1-SUMIF('Grid BD'!$B:$B,$A21,'Grid BD'!$AE:$AE)/($AA21+SUMIF('Grid BD'!$B:$B,$A21,'Grid BD'!$AE:$AE)),"")</f>
        <v>1</v>
      </c>
      <c r="T21" s="146">
        <f>IFERROR(1-SUMIF(Tracker_BD!$H:$H,$A21,Tracker_BD!AI:AI)/$F21,"")</f>
        <v>0.95446386395843175</v>
      </c>
      <c r="U21" s="147">
        <f t="shared" si="1"/>
        <v>0.71912922050882611</v>
      </c>
      <c r="V21" s="147"/>
      <c r="W21" s="148">
        <f t="shared" si="2"/>
        <v>0.20893700227533515</v>
      </c>
      <c r="X21" s="143">
        <f>IFERROR(_xlfn.XLOOKUP($A21,'Raw Data'!$G:$G,'Raw Data'!$AB:$AB),"")</f>
        <v>59011</v>
      </c>
      <c r="Y21" s="143">
        <f>IFERROR(_xlfn.XLOOKUP($A21,'Raw Data'!$G:$G,'Raw Data'!AC:AC),"")</f>
        <v>58950.500000006286</v>
      </c>
      <c r="Z21" s="143">
        <f>IFERROR(_xlfn.XLOOKUP($A21,'Raw Data'!$G:$G,'Raw Data'!AD:AD),"")</f>
        <v>180.70000000000164</v>
      </c>
      <c r="AA21" s="143">
        <f>IFERROR(_xlfn.XLOOKUP($A21,'Raw Data'!$G:$G,'Raw Data'!AE:AE)*(1+(_xlfn.XLOOKUP(Table13[[#This Row],[Month Year]],JMR!$A:$A,JMR!$J:$J))),"")</f>
        <v>58769.800000006282</v>
      </c>
      <c r="AB21" s="143">
        <f>IFERROR(_xlfn.XLOOKUP($A21,'Raw Data'!$G:$G,'Raw Data'!$H:$H),"")</f>
        <v>11.72</v>
      </c>
      <c r="AC21" s="149">
        <f>IFERROR(_xlfn.XLOOKUP($D21,'Modelling New'!$D:$D,'Modelling New'!$P:$P),"")</f>
        <v>7.6186700233333315</v>
      </c>
      <c r="AD21" s="143">
        <f>IFERROR(_xlfn.XLOOKUP($D21,'Modelling New'!$D:$D,'Modelling New'!$T:$T)*1000,"")</f>
        <v>63455.713653610728</v>
      </c>
      <c r="AE21" s="148">
        <f>IFERROR(_xlfn.XLOOKUP($D21,'Modelling New'!$D:$D,'Modelling New'!$O:$O),"")</f>
        <v>0.71066341265888178</v>
      </c>
      <c r="AF21" s="148">
        <f>IFERROR(_xlfn.XLOOKUP($D21,'Modelling New'!$D:$D,'Modelling New'!$W:$W),"")</f>
        <v>0.22559625161266611</v>
      </c>
      <c r="AG21" s="148">
        <f>IFERROR(_xlfn.XLOOKUP($D21,'Modelling New'!$D:$D,'Modelling New'!AE:AE),"")</f>
        <v>0.995</v>
      </c>
      <c r="AH21" s="148">
        <f>IFERROR(_xlfn.XLOOKUP($D21,'Modelling New'!$D:$D,'Modelling New'!AF:AF),"")</f>
        <v>0.98550000000000004</v>
      </c>
      <c r="AN21" s="145"/>
      <c r="AO21" s="148"/>
      <c r="AP21" s="148"/>
      <c r="AQ21" s="148"/>
      <c r="AR21" s="143">
        <f>IFERROR(_xlfn.XLOOKUP($D21,'Modelling New'!$D:$D,'Modelling New'!$N:$N),"")</f>
        <v>11.72</v>
      </c>
      <c r="AT21" s="143">
        <f>IFERROR(_xlfn.XLOOKUP(Table13[[#This Row],[Date]],'Raw Data'!$G:$G,'Raw Data'!$AJ:$AJ),"")</f>
        <v>0</v>
      </c>
      <c r="AU21" s="143">
        <f>IFERROR(_xlfn.XLOOKUP(Table13[[#This Row],[Month Year]],'Modelling New'!$D:$D,'Modelling New'!$AO:$AO),"")</f>
        <v>10</v>
      </c>
      <c r="AV21" s="143"/>
    </row>
    <row r="22" spans="1:48">
      <c r="A22" s="142">
        <f t="shared" si="3"/>
        <v>45765</v>
      </c>
      <c r="B22" s="143">
        <f>YEAR(Table13[[#This Row],[Date]])+IF(MONTH(Table13[[#This Row],[Date]])&gt;=4,1,0)</f>
        <v>2026</v>
      </c>
      <c r="C22" s="116">
        <f>YEAR(Table13[[#This Row],[Date]])</f>
        <v>2025</v>
      </c>
      <c r="D22" s="144">
        <f>Table13[[#This Row],[Date]]-DAY(Table13[[#This Row],[Date]])+1</f>
        <v>45748</v>
      </c>
      <c r="E22" s="116">
        <f t="shared" si="0"/>
        <v>30</v>
      </c>
      <c r="F22" s="117">
        <f>IFERROR(_xlfn.XLOOKUP($A22,'Raw Data'!$G:$G,'Raw Data'!$AH:$AH),"")</f>
        <v>10.700000000000001</v>
      </c>
      <c r="G22" s="118">
        <f>IFERROR(_xlfn.XLOOKUP($A22,'Raw Data'!$G:$G,'Raw Data'!$S:$S)/1000,"")</f>
        <v>0</v>
      </c>
      <c r="H22" s="118"/>
      <c r="I22" s="118">
        <f>IFERROR(_xlfn.XLOOKUP($A22,'Raw Data'!$G:$G,'Raw Data'!$AF:$AF)/1000,"")</f>
        <v>4.6044999999999998</v>
      </c>
      <c r="J22" s="118"/>
      <c r="K22" s="118">
        <f>IFERROR(_xlfn.XLOOKUP($A22,'Raw Data'!$G:$G,'Raw Data'!W:W),"")</f>
        <v>23</v>
      </c>
      <c r="L22" s="118">
        <f>IFERROR(_xlfn.XLOOKUP($A22,'Raw Data'!$G:$G,'Raw Data'!X:X),"")</f>
        <v>39</v>
      </c>
      <c r="M22" s="118">
        <f>IFERROR(_xlfn.XLOOKUP($A22,'Raw Data'!$G:$G,'Raw Data'!Y:Y),"")</f>
        <v>6</v>
      </c>
      <c r="N22" s="118">
        <f>IFERROR(_xlfn.XLOOKUP($A22,'Raw Data'!$G:$G,'Raw Data'!Z:Z),"")</f>
        <v>16</v>
      </c>
      <c r="O22" s="145">
        <f>IFERROR(1-SUMIF('Plant BD'!$B:$B,$A22,'Plant BD'!$AM:$AM)/($AA22+SUMIF('Plant BD'!$B:$B,$A22,'Plant BD'!$AM:$AM)),"")</f>
        <v>1</v>
      </c>
      <c r="P22" s="145"/>
      <c r="Q22" s="146"/>
      <c r="R22" s="145">
        <f>IFERROR(1-SUMIF('Grid BD'!$B:$B,$A22,'Grid BD'!$AE:$AE)/($AA22+SUMIF('Grid BD'!$B:$B,$A22,'Grid BD'!$AE:$AE)),"")</f>
        <v>1</v>
      </c>
      <c r="T22" s="146">
        <f>IFERROR(1-SUMIF(Tracker_BD!$H:$H,$A22,Tracker_BD!AI:AI)/$F22,"")</f>
        <v>0.94865184230314747</v>
      </c>
      <c r="U22" s="147">
        <f t="shared" si="1"/>
        <v>0.71009700037466583</v>
      </c>
      <c r="V22" s="147"/>
      <c r="W22" s="148">
        <f t="shared" si="2"/>
        <v>0.13623506825938117</v>
      </c>
      <c r="X22" s="143">
        <f>IFERROR(_xlfn.XLOOKUP($A22,'Raw Data'!$G:$G,'Raw Data'!$AB:$AB),"")</f>
        <v>38584</v>
      </c>
      <c r="Y22" s="143">
        <f>IFERROR(_xlfn.XLOOKUP($A22,'Raw Data'!$G:$G,'Raw Data'!AC:AC),"")</f>
        <v>38520.499999998719</v>
      </c>
      <c r="Z22" s="143">
        <f>IFERROR(_xlfn.XLOOKUP($A22,'Raw Data'!$G:$G,'Raw Data'!AD:AD),"")</f>
        <v>200.29999999997017</v>
      </c>
      <c r="AA22" s="143">
        <f>IFERROR(_xlfn.XLOOKUP($A22,'Raw Data'!$G:$G,'Raw Data'!AE:AE)*(1+(_xlfn.XLOOKUP(Table13[[#This Row],[Month Year]],JMR!$A:$A,JMR!$J:$J))),"")</f>
        <v>38320.199999998746</v>
      </c>
      <c r="AB22" s="143">
        <f>IFERROR(_xlfn.XLOOKUP($A22,'Raw Data'!$G:$G,'Raw Data'!$H:$H),"")</f>
        <v>11.72</v>
      </c>
      <c r="AC22" s="149">
        <f>IFERROR(_xlfn.XLOOKUP($D22,'Modelling New'!$D:$D,'Modelling New'!$P:$P),"")</f>
        <v>7.6186700233333315</v>
      </c>
      <c r="AD22" s="143">
        <f>IFERROR(_xlfn.XLOOKUP($D22,'Modelling New'!$D:$D,'Modelling New'!$T:$T)*1000,"")</f>
        <v>63455.713653610728</v>
      </c>
      <c r="AE22" s="148">
        <f>IFERROR(_xlfn.XLOOKUP($D22,'Modelling New'!$D:$D,'Modelling New'!$O:$O),"")</f>
        <v>0.71066341265888178</v>
      </c>
      <c r="AF22" s="148">
        <f>IFERROR(_xlfn.XLOOKUP($D22,'Modelling New'!$D:$D,'Modelling New'!$W:$W),"")</f>
        <v>0.22559625161266611</v>
      </c>
      <c r="AG22" s="148">
        <f>IFERROR(_xlfn.XLOOKUP($D22,'Modelling New'!$D:$D,'Modelling New'!AE:AE),"")</f>
        <v>0.995</v>
      </c>
      <c r="AH22" s="148">
        <f>IFERROR(_xlfn.XLOOKUP($D22,'Modelling New'!$D:$D,'Modelling New'!AF:AF),"")</f>
        <v>0.98550000000000004</v>
      </c>
      <c r="AN22" s="145"/>
      <c r="AO22" s="148"/>
      <c r="AP22" s="148"/>
      <c r="AQ22" s="148"/>
      <c r="AR22" s="143">
        <f>IFERROR(_xlfn.XLOOKUP($D22,'Modelling New'!$D:$D,'Modelling New'!$N:$N),"")</f>
        <v>11.72</v>
      </c>
      <c r="AT22" s="143">
        <f>IFERROR(_xlfn.XLOOKUP(Table13[[#This Row],[Date]],'Raw Data'!$G:$G,'Raw Data'!$AJ:$AJ),"")</f>
        <v>0</v>
      </c>
      <c r="AU22" s="143">
        <f>IFERROR(_xlfn.XLOOKUP(Table13[[#This Row],[Month Year]],'Modelling New'!$D:$D,'Modelling New'!$AO:$AO),"")</f>
        <v>10</v>
      </c>
      <c r="AV22" s="143"/>
    </row>
    <row r="23" spans="1:48">
      <c r="A23" s="142">
        <f t="shared" si="3"/>
        <v>45766</v>
      </c>
      <c r="B23" s="143">
        <f>YEAR(Table13[[#This Row],[Date]])+IF(MONTH(Table13[[#This Row],[Date]])&gt;=4,1,0)</f>
        <v>2026</v>
      </c>
      <c r="C23" s="116">
        <f>YEAR(Table13[[#This Row],[Date]])</f>
        <v>2025</v>
      </c>
      <c r="D23" s="144">
        <f>Table13[[#This Row],[Date]]-DAY(Table13[[#This Row],[Date]])+1</f>
        <v>45748</v>
      </c>
      <c r="E23" s="116">
        <f t="shared" si="0"/>
        <v>30</v>
      </c>
      <c r="F23" s="117">
        <f>IFERROR(_xlfn.XLOOKUP($A23,'Raw Data'!$G:$G,'Raw Data'!$AH:$AH),"")</f>
        <v>12.116666666666669</v>
      </c>
      <c r="G23" s="118">
        <f>IFERROR(_xlfn.XLOOKUP($A23,'Raw Data'!$G:$G,'Raw Data'!$S:$S)/1000,"")</f>
        <v>0</v>
      </c>
      <c r="H23" s="118"/>
      <c r="I23" s="118">
        <f>IFERROR(_xlfn.XLOOKUP($A23,'Raw Data'!$G:$G,'Raw Data'!$AF:$AF)/1000,"")</f>
        <v>6.5659999999999998</v>
      </c>
      <c r="J23" s="118"/>
      <c r="K23" s="118">
        <f>IFERROR(_xlfn.XLOOKUP($A23,'Raw Data'!$G:$G,'Raw Data'!W:W),"")</f>
        <v>23</v>
      </c>
      <c r="L23" s="118">
        <f>IFERROR(_xlfn.XLOOKUP($A23,'Raw Data'!$G:$G,'Raw Data'!X:X),"")</f>
        <v>47</v>
      </c>
      <c r="M23" s="118">
        <f>IFERROR(_xlfn.XLOOKUP($A23,'Raw Data'!$G:$G,'Raw Data'!Y:Y),"")</f>
        <v>7</v>
      </c>
      <c r="N23" s="118">
        <f>IFERROR(_xlfn.XLOOKUP($A23,'Raw Data'!$G:$G,'Raw Data'!Z:Z),"")</f>
        <v>21</v>
      </c>
      <c r="O23" s="145">
        <f>IFERROR(1-SUMIF('Plant BD'!$B:$B,$A23,'Plant BD'!$AM:$AM)/($AA23+SUMIF('Plant BD'!$B:$B,$A23,'Plant BD'!$AM:$AM)),"")</f>
        <v>1</v>
      </c>
      <c r="P23" s="145"/>
      <c r="Q23" s="146"/>
      <c r="R23" s="145">
        <f>IFERROR(1-SUMIF('Grid BD'!$B:$B,$A23,'Grid BD'!$AE:$AE)/($AA23+SUMIF('Grid BD'!$B:$B,$A23,'Grid BD'!$AE:$AE)),"")</f>
        <v>1</v>
      </c>
      <c r="T23" s="146">
        <f>IFERROR(1-SUMIF(Tracker_BD!$H:$H,$A23,Tracker_BD!AI:AI)/$F23,"")</f>
        <v>0.95516134642444939</v>
      </c>
      <c r="U23" s="147">
        <f t="shared" si="1"/>
        <v>0.70023957318648455</v>
      </c>
      <c r="V23" s="147"/>
      <c r="W23" s="148">
        <f t="shared" si="2"/>
        <v>0.19157387656426905</v>
      </c>
      <c r="X23" s="143">
        <f>IFERROR(_xlfn.XLOOKUP($A23,'Raw Data'!$G:$G,'Raw Data'!$AB:$AB),"")</f>
        <v>54154</v>
      </c>
      <c r="Y23" s="143">
        <f>IFERROR(_xlfn.XLOOKUP($A23,'Raw Data'!$G:$G,'Raw Data'!AC:AC),"")</f>
        <v>54079.299999997602</v>
      </c>
      <c r="Z23" s="143">
        <f>IFERROR(_xlfn.XLOOKUP($A23,'Raw Data'!$G:$G,'Raw Data'!AD:AD),"")</f>
        <v>193.39999999999691</v>
      </c>
      <c r="AA23" s="143">
        <f>IFERROR(_xlfn.XLOOKUP($A23,'Raw Data'!$G:$G,'Raw Data'!AE:AE)*(1+(_xlfn.XLOOKUP(Table13[[#This Row],[Month Year]],JMR!$A:$A,JMR!$J:$J))),"")</f>
        <v>53885.899999997608</v>
      </c>
      <c r="AB23" s="143">
        <f>IFERROR(_xlfn.XLOOKUP($A23,'Raw Data'!$G:$G,'Raw Data'!$H:$H),"")</f>
        <v>11.72</v>
      </c>
      <c r="AC23" s="149">
        <f>IFERROR(_xlfn.XLOOKUP($D23,'Modelling New'!$D:$D,'Modelling New'!$P:$P),"")</f>
        <v>7.6186700233333315</v>
      </c>
      <c r="AD23" s="143">
        <f>IFERROR(_xlfn.XLOOKUP($D23,'Modelling New'!$D:$D,'Modelling New'!$T:$T)*1000,"")</f>
        <v>63455.713653610728</v>
      </c>
      <c r="AE23" s="148">
        <f>IFERROR(_xlfn.XLOOKUP($D23,'Modelling New'!$D:$D,'Modelling New'!$O:$O),"")</f>
        <v>0.71066341265888178</v>
      </c>
      <c r="AF23" s="148">
        <f>IFERROR(_xlfn.XLOOKUP($D23,'Modelling New'!$D:$D,'Modelling New'!$W:$W),"")</f>
        <v>0.22559625161266611</v>
      </c>
      <c r="AG23" s="148">
        <f>IFERROR(_xlfn.XLOOKUP($D23,'Modelling New'!$D:$D,'Modelling New'!AE:AE),"")</f>
        <v>0.995</v>
      </c>
      <c r="AH23" s="148">
        <f>IFERROR(_xlfn.XLOOKUP($D23,'Modelling New'!$D:$D,'Modelling New'!AF:AF),"")</f>
        <v>0.98550000000000004</v>
      </c>
      <c r="AN23" s="145"/>
      <c r="AO23" s="148"/>
      <c r="AP23" s="148"/>
      <c r="AQ23" s="148"/>
      <c r="AR23" s="143">
        <f>IFERROR(_xlfn.XLOOKUP($D23,'Modelling New'!$D:$D,'Modelling New'!$N:$N),"")</f>
        <v>11.72</v>
      </c>
      <c r="AT23" s="143">
        <f>IFERROR(_xlfn.XLOOKUP(Table13[[#This Row],[Date]],'Raw Data'!$G:$G,'Raw Data'!$AJ:$AJ),"")</f>
        <v>0</v>
      </c>
      <c r="AU23" s="143">
        <f>IFERROR(_xlfn.XLOOKUP(Table13[[#This Row],[Month Year]],'Modelling New'!$D:$D,'Modelling New'!$AO:$AO),"")</f>
        <v>10</v>
      </c>
      <c r="AV23" s="143"/>
    </row>
    <row r="24" spans="1:48">
      <c r="A24" s="142">
        <f t="shared" si="3"/>
        <v>45767</v>
      </c>
      <c r="B24" s="143">
        <f>YEAR(Table13[[#This Row],[Date]])+IF(MONTH(Table13[[#This Row],[Date]])&gt;=4,1,0)</f>
        <v>2026</v>
      </c>
      <c r="C24" s="116">
        <f>YEAR(Table13[[#This Row],[Date]])</f>
        <v>2025</v>
      </c>
      <c r="D24" s="144">
        <f>Table13[[#This Row],[Date]]-DAY(Table13[[#This Row],[Date]])+1</f>
        <v>45748</v>
      </c>
      <c r="E24" s="116">
        <f t="shared" si="0"/>
        <v>30</v>
      </c>
      <c r="F24" s="117">
        <f>IFERROR(_xlfn.XLOOKUP($A24,'Raw Data'!$G:$G,'Raw Data'!$AH:$AH),"")</f>
        <v>12.250000000000002</v>
      </c>
      <c r="G24" s="118">
        <f>IFERROR(_xlfn.XLOOKUP($A24,'Raw Data'!$G:$G,'Raw Data'!$S:$S)/1000,"")</f>
        <v>0</v>
      </c>
      <c r="H24" s="118"/>
      <c r="I24" s="118">
        <f>IFERROR(_xlfn.XLOOKUP($A24,'Raw Data'!$G:$G,'Raw Data'!$AF:$AF)/1000,"")</f>
        <v>7.7329999999999997</v>
      </c>
      <c r="J24" s="118"/>
      <c r="K24" s="118">
        <f>IFERROR(_xlfn.XLOOKUP($A24,'Raw Data'!$G:$G,'Raw Data'!W:W),"")</f>
        <v>23</v>
      </c>
      <c r="L24" s="118">
        <f>IFERROR(_xlfn.XLOOKUP($A24,'Raw Data'!$G:$G,'Raw Data'!X:X),"")</f>
        <v>47.8</v>
      </c>
      <c r="M24" s="118">
        <f>IFERROR(_xlfn.XLOOKUP($A24,'Raw Data'!$G:$G,'Raw Data'!Y:Y),"")</f>
        <v>6</v>
      </c>
      <c r="N24" s="118">
        <f>IFERROR(_xlfn.XLOOKUP($A24,'Raw Data'!$G:$G,'Raw Data'!Z:Z),"")</f>
        <v>10</v>
      </c>
      <c r="O24" s="145">
        <f>IFERROR(1-SUMIF('Plant BD'!$B:$B,$A24,'Plant BD'!$AM:$AM)/($AA24+SUMIF('Plant BD'!$B:$B,$A24,'Plant BD'!$AM:$AM)),"")</f>
        <v>1</v>
      </c>
      <c r="P24" s="145"/>
      <c r="Q24" s="146"/>
      <c r="R24" s="145">
        <f>IFERROR(1-SUMIF('Grid BD'!$B:$B,$A24,'Grid BD'!$AE:$AE)/($AA24+SUMIF('Grid BD'!$B:$B,$A24,'Grid BD'!$AE:$AE)),"")</f>
        <v>1</v>
      </c>
      <c r="T24" s="146">
        <f>IFERROR(1-SUMIF(Tracker_BD!$H:$H,$A24,Tracker_BD!AI:AI)/$F24,"")</f>
        <v>0.95477363359136758</v>
      </c>
      <c r="U24" s="147">
        <f t="shared" si="1"/>
        <v>0.6971926529138458</v>
      </c>
      <c r="V24" s="147"/>
      <c r="W24" s="148">
        <f t="shared" si="2"/>
        <v>0.22464128270761535</v>
      </c>
      <c r="X24" s="143">
        <f>IFERROR(_xlfn.XLOOKUP($A24,'Raw Data'!$G:$G,'Raw Data'!$AB:$AB),"")</f>
        <v>63391</v>
      </c>
      <c r="Y24" s="143">
        <f>IFERROR(_xlfn.XLOOKUP($A24,'Raw Data'!$G:$G,'Raw Data'!AC:AC),"")</f>
        <v>63367.299999998068</v>
      </c>
      <c r="Z24" s="143">
        <f>IFERROR(_xlfn.XLOOKUP($A24,'Raw Data'!$G:$G,'Raw Data'!AD:AD),"")</f>
        <v>180.20000000001346</v>
      </c>
      <c r="AA24" s="143">
        <f>IFERROR(_xlfn.XLOOKUP($A24,'Raw Data'!$G:$G,'Raw Data'!AE:AE)*(1+(_xlfn.XLOOKUP(Table13[[#This Row],[Month Year]],JMR!$A:$A,JMR!$J:$J))),"")</f>
        <v>63187.099999998056</v>
      </c>
      <c r="AB24" s="143">
        <f>IFERROR(_xlfn.XLOOKUP($A24,'Raw Data'!$G:$G,'Raw Data'!$H:$H),"")</f>
        <v>11.72</v>
      </c>
      <c r="AC24" s="149">
        <f>IFERROR(_xlfn.XLOOKUP($D24,'Modelling New'!$D:$D,'Modelling New'!$P:$P),"")</f>
        <v>7.6186700233333315</v>
      </c>
      <c r="AD24" s="143">
        <f>IFERROR(_xlfn.XLOOKUP($D24,'Modelling New'!$D:$D,'Modelling New'!$T:$T)*1000,"")</f>
        <v>63455.713653610728</v>
      </c>
      <c r="AE24" s="148">
        <f>IFERROR(_xlfn.XLOOKUP($D24,'Modelling New'!$D:$D,'Modelling New'!$O:$O),"")</f>
        <v>0.71066341265888178</v>
      </c>
      <c r="AF24" s="148">
        <f>IFERROR(_xlfn.XLOOKUP($D24,'Modelling New'!$D:$D,'Modelling New'!$W:$W),"")</f>
        <v>0.22559625161266611</v>
      </c>
      <c r="AG24" s="148">
        <f>IFERROR(_xlfn.XLOOKUP($D24,'Modelling New'!$D:$D,'Modelling New'!AE:AE),"")</f>
        <v>0.995</v>
      </c>
      <c r="AH24" s="148">
        <f>IFERROR(_xlfn.XLOOKUP($D24,'Modelling New'!$D:$D,'Modelling New'!AF:AF),"")</f>
        <v>0.98550000000000004</v>
      </c>
      <c r="AN24" s="145"/>
      <c r="AO24" s="148"/>
      <c r="AP24" s="148"/>
      <c r="AQ24" s="148"/>
      <c r="AR24" s="143">
        <f>IFERROR(_xlfn.XLOOKUP($D24,'Modelling New'!$D:$D,'Modelling New'!$N:$N),"")</f>
        <v>11.72</v>
      </c>
      <c r="AT24" s="143">
        <f>IFERROR(_xlfn.XLOOKUP(Table13[[#This Row],[Date]],'Raw Data'!$G:$G,'Raw Data'!$AJ:$AJ),"")</f>
        <v>0</v>
      </c>
      <c r="AU24" s="143">
        <f>IFERROR(_xlfn.XLOOKUP(Table13[[#This Row],[Month Year]],'Modelling New'!$D:$D,'Modelling New'!$AO:$AO),"")</f>
        <v>10</v>
      </c>
      <c r="AV24" s="143"/>
    </row>
    <row r="25" spans="1:48">
      <c r="A25" s="142">
        <f t="shared" si="3"/>
        <v>45768</v>
      </c>
      <c r="B25" s="143">
        <f>YEAR(Table13[[#This Row],[Date]])+IF(MONTH(Table13[[#This Row],[Date]])&gt;=4,1,0)</f>
        <v>2026</v>
      </c>
      <c r="C25" s="116">
        <f>YEAR(Table13[[#This Row],[Date]])</f>
        <v>2025</v>
      </c>
      <c r="D25" s="144">
        <f>Table13[[#This Row],[Date]]-DAY(Table13[[#This Row],[Date]])+1</f>
        <v>45748</v>
      </c>
      <c r="E25" s="116">
        <f t="shared" si="0"/>
        <v>30</v>
      </c>
      <c r="F25" s="117">
        <f>IFERROR(_xlfn.XLOOKUP($A25,'Raw Data'!$G:$G,'Raw Data'!$AH:$AH),"")</f>
        <v>12.033333333333333</v>
      </c>
      <c r="G25" s="118">
        <f>IFERROR(_xlfn.XLOOKUP($A25,'Raw Data'!$G:$G,'Raw Data'!$S:$S)/1000,"")</f>
        <v>0</v>
      </c>
      <c r="H25" s="118"/>
      <c r="I25" s="118">
        <f>IFERROR(_xlfn.XLOOKUP($A25,'Raw Data'!$G:$G,'Raw Data'!$AF:$AF)/1000,"")</f>
        <v>7.39</v>
      </c>
      <c r="J25" s="118"/>
      <c r="K25" s="118">
        <f>IFERROR(_xlfn.XLOOKUP($A25,'Raw Data'!$G:$G,'Raw Data'!W:W),"")</f>
        <v>23</v>
      </c>
      <c r="L25" s="118">
        <f>IFERROR(_xlfn.XLOOKUP($A25,'Raw Data'!$G:$G,'Raw Data'!X:X),"")</f>
        <v>47.8</v>
      </c>
      <c r="M25" s="118">
        <f>IFERROR(_xlfn.XLOOKUP($A25,'Raw Data'!$G:$G,'Raw Data'!Y:Y),"")</f>
        <v>6</v>
      </c>
      <c r="N25" s="118">
        <f>IFERROR(_xlfn.XLOOKUP($A25,'Raw Data'!$G:$G,'Raw Data'!Z:Z),"")</f>
        <v>10</v>
      </c>
      <c r="O25" s="145">
        <f>IFERROR(1-SUMIF('Plant BD'!$B:$B,$A25,'Plant BD'!$AM:$AM)/($AA25+SUMIF('Plant BD'!$B:$B,$A25,'Plant BD'!$AM:$AM)),"")</f>
        <v>1</v>
      </c>
      <c r="P25" s="145"/>
      <c r="Q25" s="146"/>
      <c r="R25" s="145">
        <f>IFERROR(1-SUMIF('Grid BD'!$B:$B,$A25,'Grid BD'!$AE:$AE)/($AA25+SUMIF('Grid BD'!$B:$B,$A25,'Grid BD'!$AE:$AE)),"")</f>
        <v>1</v>
      </c>
      <c r="T25" s="146">
        <f>IFERROR(1-SUMIF(Tracker_BD!$H:$H,$A25,Tracker_BD!AI:AI)/$F25,"")</f>
        <v>0.98553268379660586</v>
      </c>
      <c r="U25" s="147">
        <f t="shared" si="1"/>
        <v>0.7050044567189937</v>
      </c>
      <c r="V25" s="147"/>
      <c r="W25" s="148">
        <f t="shared" si="2"/>
        <v>0.21708262229805678</v>
      </c>
      <c r="X25" s="143">
        <f>IFERROR(_xlfn.XLOOKUP($A25,'Raw Data'!$G:$G,'Raw Data'!$AB:$AB),"")</f>
        <v>61251</v>
      </c>
      <c r="Y25" s="143">
        <f>IFERROR(_xlfn.XLOOKUP($A25,'Raw Data'!$G:$G,'Raw Data'!AC:AC),"")</f>
        <v>61242.899999997462</v>
      </c>
      <c r="Z25" s="143">
        <f>IFERROR(_xlfn.XLOOKUP($A25,'Raw Data'!$G:$G,'Raw Data'!AD:AD),"")</f>
        <v>181.90000000004147</v>
      </c>
      <c r="AA25" s="143">
        <f>IFERROR(_xlfn.XLOOKUP($A25,'Raw Data'!$G:$G,'Raw Data'!AE:AE)*(1+(_xlfn.XLOOKUP(Table13[[#This Row],[Month Year]],JMR!$A:$A,JMR!$J:$J))),"")</f>
        <v>61060.999999997424</v>
      </c>
      <c r="AB25" s="143">
        <f>IFERROR(_xlfn.XLOOKUP($A25,'Raw Data'!$G:$G,'Raw Data'!$H:$H),"")</f>
        <v>11.72</v>
      </c>
      <c r="AC25" s="149">
        <f>IFERROR(_xlfn.XLOOKUP($D25,'Modelling New'!$D:$D,'Modelling New'!$P:$P),"")</f>
        <v>7.6186700233333315</v>
      </c>
      <c r="AD25" s="143">
        <f>IFERROR(_xlfn.XLOOKUP($D25,'Modelling New'!$D:$D,'Modelling New'!$T:$T)*1000,"")</f>
        <v>63455.713653610728</v>
      </c>
      <c r="AE25" s="148">
        <f>IFERROR(_xlfn.XLOOKUP($D25,'Modelling New'!$D:$D,'Modelling New'!$O:$O),"")</f>
        <v>0.71066341265888178</v>
      </c>
      <c r="AF25" s="148">
        <f>IFERROR(_xlfn.XLOOKUP($D25,'Modelling New'!$D:$D,'Modelling New'!$W:$W),"")</f>
        <v>0.22559625161266611</v>
      </c>
      <c r="AG25" s="148">
        <f>IFERROR(_xlfn.XLOOKUP($D25,'Modelling New'!$D:$D,'Modelling New'!AE:AE),"")</f>
        <v>0.995</v>
      </c>
      <c r="AH25" s="148">
        <f>IFERROR(_xlfn.XLOOKUP($D25,'Modelling New'!$D:$D,'Modelling New'!AF:AF),"")</f>
        <v>0.98550000000000004</v>
      </c>
      <c r="AN25" s="145"/>
      <c r="AO25" s="148"/>
      <c r="AP25" s="148"/>
      <c r="AQ25" s="148"/>
      <c r="AR25" s="143">
        <f>IFERROR(_xlfn.XLOOKUP($D25,'Modelling New'!$D:$D,'Modelling New'!$N:$N),"")</f>
        <v>11.72</v>
      </c>
      <c r="AT25" s="143">
        <f>IFERROR(_xlfn.XLOOKUP(Table13[[#This Row],[Date]],'Raw Data'!$G:$G,'Raw Data'!$AJ:$AJ),"")</f>
        <v>0</v>
      </c>
      <c r="AU25" s="143">
        <f>IFERROR(_xlfn.XLOOKUP(Table13[[#This Row],[Month Year]],'Modelling New'!$D:$D,'Modelling New'!$AO:$AO),"")</f>
        <v>10</v>
      </c>
      <c r="AV25" s="143"/>
    </row>
    <row r="26" spans="1:48">
      <c r="A26" s="142">
        <f t="shared" si="3"/>
        <v>45769</v>
      </c>
      <c r="B26" s="143">
        <f>YEAR(Table13[[#This Row],[Date]])+IF(MONTH(Table13[[#This Row],[Date]])&gt;=4,1,0)</f>
        <v>2026</v>
      </c>
      <c r="C26" s="116">
        <f>YEAR(Table13[[#This Row],[Date]])</f>
        <v>2025</v>
      </c>
      <c r="D26" s="144">
        <f>Table13[[#This Row],[Date]]-DAY(Table13[[#This Row],[Date]])+1</f>
        <v>45748</v>
      </c>
      <c r="E26" s="116">
        <f t="shared" si="0"/>
        <v>30</v>
      </c>
      <c r="F26" s="117">
        <f>IFERROR(_xlfn.XLOOKUP($A26,'Raw Data'!$G:$G,'Raw Data'!$AH:$AH),"")</f>
        <v>12.1</v>
      </c>
      <c r="G26" s="118">
        <f>IFERROR(_xlfn.XLOOKUP($A26,'Raw Data'!$G:$G,'Raw Data'!$S:$S)/1000,"")</f>
        <v>0</v>
      </c>
      <c r="H26" s="118"/>
      <c r="I26" s="118">
        <f>IFERROR(_xlfn.XLOOKUP($A26,'Raw Data'!$G:$G,'Raw Data'!$AF:$AF)/1000,"")</f>
        <v>6.9349999999999996</v>
      </c>
      <c r="J26" s="118"/>
      <c r="K26" s="118">
        <f>IFERROR(_xlfn.XLOOKUP($A26,'Raw Data'!$G:$G,'Raw Data'!W:W),"")</f>
        <v>23</v>
      </c>
      <c r="L26" s="118">
        <f>IFERROR(_xlfn.XLOOKUP($A26,'Raw Data'!$G:$G,'Raw Data'!X:X),"")</f>
        <v>46</v>
      </c>
      <c r="M26" s="118">
        <f>IFERROR(_xlfn.XLOOKUP($A26,'Raw Data'!$G:$G,'Raw Data'!Y:Y),"")</f>
        <v>5</v>
      </c>
      <c r="N26" s="118">
        <f>IFERROR(_xlfn.XLOOKUP($A26,'Raw Data'!$G:$G,'Raw Data'!Z:Z),"")</f>
        <v>11</v>
      </c>
      <c r="O26" s="145">
        <f>IFERROR(1-SUMIF('Plant BD'!$B:$B,$A26,'Plant BD'!$AM:$AM)/($AA26+SUMIF('Plant BD'!$B:$B,$A26,'Plant BD'!$AM:$AM)),"")</f>
        <v>1</v>
      </c>
      <c r="P26" s="145"/>
      <c r="Q26" s="146"/>
      <c r="R26" s="145">
        <f>IFERROR(1-SUMIF('Grid BD'!$B:$B,$A26,'Grid BD'!$AE:$AE)/($AA26+SUMIF('Grid BD'!$B:$B,$A26,'Grid BD'!$AE:$AE)),"")</f>
        <v>0.86276190355631122</v>
      </c>
      <c r="T26" s="146">
        <f>IFERROR(1-SUMIF(Tracker_BD!$H:$H,$A26,Tracker_BD!AI:AI)/$F26,"")</f>
        <v>0.98584987809125746</v>
      </c>
      <c r="U26" s="147">
        <f t="shared" si="1"/>
        <v>0.60571592382700412</v>
      </c>
      <c r="V26" s="147"/>
      <c r="W26" s="148">
        <f t="shared" si="2"/>
        <v>0.17502666382251136</v>
      </c>
      <c r="X26" s="143">
        <f>IFERROR(_xlfn.XLOOKUP($A26,'Raw Data'!$G:$G,'Raw Data'!$AB:$AB),"")</f>
        <v>49439</v>
      </c>
      <c r="Y26" s="143">
        <f>IFERROR(_xlfn.XLOOKUP($A26,'Raw Data'!$G:$G,'Raw Data'!AC:AC),"")</f>
        <v>49426.999999996042</v>
      </c>
      <c r="Z26" s="143">
        <f>IFERROR(_xlfn.XLOOKUP($A26,'Raw Data'!$G:$G,'Raw Data'!AD:AD),"")</f>
        <v>195.5000000000382</v>
      </c>
      <c r="AA26" s="143">
        <f>IFERROR(_xlfn.XLOOKUP($A26,'Raw Data'!$G:$G,'Raw Data'!AE:AE)*(1+(_xlfn.XLOOKUP(Table13[[#This Row],[Month Year]],JMR!$A:$A,JMR!$J:$J))),"")</f>
        <v>49231.499999996005</v>
      </c>
      <c r="AB26" s="143">
        <f>IFERROR(_xlfn.XLOOKUP($A26,'Raw Data'!$G:$G,'Raw Data'!$H:$H),"")</f>
        <v>11.72</v>
      </c>
      <c r="AC26" s="149">
        <f>IFERROR(_xlfn.XLOOKUP($D26,'Modelling New'!$D:$D,'Modelling New'!$P:$P),"")</f>
        <v>7.6186700233333315</v>
      </c>
      <c r="AD26" s="143">
        <f>IFERROR(_xlfn.XLOOKUP($D26,'Modelling New'!$D:$D,'Modelling New'!$T:$T)*1000,"")</f>
        <v>63455.713653610728</v>
      </c>
      <c r="AE26" s="148">
        <f>IFERROR(_xlfn.XLOOKUP($D26,'Modelling New'!$D:$D,'Modelling New'!$O:$O),"")</f>
        <v>0.71066341265888178</v>
      </c>
      <c r="AF26" s="148">
        <f>IFERROR(_xlfn.XLOOKUP($D26,'Modelling New'!$D:$D,'Modelling New'!$W:$W),"")</f>
        <v>0.22559625161266611</v>
      </c>
      <c r="AG26" s="148">
        <f>IFERROR(_xlfn.XLOOKUP($D26,'Modelling New'!$D:$D,'Modelling New'!AE:AE),"")</f>
        <v>0.995</v>
      </c>
      <c r="AH26" s="148">
        <f>IFERROR(_xlfn.XLOOKUP($D26,'Modelling New'!$D:$D,'Modelling New'!AF:AF),"")</f>
        <v>0.98550000000000004</v>
      </c>
      <c r="AN26" s="145"/>
      <c r="AO26" s="148"/>
      <c r="AP26" s="148"/>
      <c r="AQ26" s="148"/>
      <c r="AR26" s="143">
        <f>IFERROR(_xlfn.XLOOKUP($D26,'Modelling New'!$D:$D,'Modelling New'!$N:$N),"")</f>
        <v>11.72</v>
      </c>
      <c r="AT26" s="143">
        <f>IFERROR(_xlfn.XLOOKUP(Table13[[#This Row],[Date]],'Raw Data'!$G:$G,'Raw Data'!$AJ:$AJ),"")</f>
        <v>0</v>
      </c>
      <c r="AU26" s="143">
        <f>IFERROR(_xlfn.XLOOKUP(Table13[[#This Row],[Month Year]],'Modelling New'!$D:$D,'Modelling New'!$AO:$AO),"")</f>
        <v>10</v>
      </c>
      <c r="AV26" s="143"/>
    </row>
    <row r="27" spans="1:48">
      <c r="A27" s="142">
        <f t="shared" si="3"/>
        <v>45770</v>
      </c>
      <c r="B27" s="143">
        <f>YEAR(Table13[[#This Row],[Date]])+IF(MONTH(Table13[[#This Row],[Date]])&gt;=4,1,0)</f>
        <v>2026</v>
      </c>
      <c r="C27" s="116">
        <f>YEAR(Table13[[#This Row],[Date]])</f>
        <v>2025</v>
      </c>
      <c r="D27" s="144">
        <f>Table13[[#This Row],[Date]]-DAY(Table13[[#This Row],[Date]])+1</f>
        <v>45748</v>
      </c>
      <c r="E27" s="116">
        <f t="shared" si="0"/>
        <v>30</v>
      </c>
      <c r="F27" s="117">
        <f>IFERROR(_xlfn.XLOOKUP($A27,'Raw Data'!$G:$G,'Raw Data'!$AH:$AH),"")</f>
        <v>12.066666666666666</v>
      </c>
      <c r="G27" s="118">
        <f>IFERROR(_xlfn.XLOOKUP($A27,'Raw Data'!$G:$G,'Raw Data'!$S:$S)/1000,"")</f>
        <v>0</v>
      </c>
      <c r="H27" s="118"/>
      <c r="I27" s="118">
        <f>IFERROR(_xlfn.XLOOKUP($A27,'Raw Data'!$G:$G,'Raw Data'!$AF:$AF)/1000,"")</f>
        <v>6.7004999999999999</v>
      </c>
      <c r="J27" s="118"/>
      <c r="K27" s="118">
        <f>IFERROR(_xlfn.XLOOKUP($A27,'Raw Data'!$G:$G,'Raw Data'!W:W),"")</f>
        <v>23</v>
      </c>
      <c r="L27" s="118">
        <f>IFERROR(_xlfn.XLOOKUP($A27,'Raw Data'!$G:$G,'Raw Data'!X:X),"")</f>
        <v>50</v>
      </c>
      <c r="M27" s="118">
        <f>IFERROR(_xlfn.XLOOKUP($A27,'Raw Data'!$G:$G,'Raw Data'!Y:Y),"")</f>
        <v>6</v>
      </c>
      <c r="N27" s="118">
        <f>IFERROR(_xlfn.XLOOKUP($A27,'Raw Data'!$G:$G,'Raw Data'!Z:Z),"")</f>
        <v>14</v>
      </c>
      <c r="O27" s="145">
        <f>IFERROR(1-SUMIF('Plant BD'!$B:$B,$A27,'Plant BD'!$AM:$AM)/($AA27+SUMIF('Plant BD'!$B:$B,$A27,'Plant BD'!$AM:$AM)),"")</f>
        <v>1</v>
      </c>
      <c r="P27" s="145"/>
      <c r="Q27" s="146"/>
      <c r="R27" s="145">
        <f>IFERROR(1-SUMIF('Grid BD'!$B:$B,$A27,'Grid BD'!$AE:$AE)/($AA27+SUMIF('Grid BD'!$B:$B,$A27,'Grid BD'!$AE:$AE)),"")</f>
        <v>1</v>
      </c>
      <c r="T27" s="146">
        <f>IFERROR(1-SUMIF(Tracker_BD!$H:$H,$A27,Tracker_BD!AI:AI)/$F27,"")</f>
        <v>0.98571156410744909</v>
      </c>
      <c r="U27" s="147">
        <f t="shared" si="1"/>
        <v>0.69447850792054355</v>
      </c>
      <c r="V27" s="147"/>
      <c r="W27" s="148">
        <f t="shared" si="2"/>
        <v>0.19388971843006669</v>
      </c>
      <c r="X27" s="143">
        <f>IFERROR(_xlfn.XLOOKUP($A27,'Raw Data'!$G:$G,'Raw Data'!$AB:$AB),"")</f>
        <v>54702</v>
      </c>
      <c r="Y27" s="143">
        <f>IFERROR(_xlfn.XLOOKUP($A27,'Raw Data'!$G:$G,'Raw Data'!AC:AC),"")</f>
        <v>54630.400000009104</v>
      </c>
      <c r="Z27" s="143">
        <f>IFERROR(_xlfn.XLOOKUP($A27,'Raw Data'!$G:$G,'Raw Data'!AD:AD),"")</f>
        <v>93.09999999993579</v>
      </c>
      <c r="AA27" s="143">
        <f>IFERROR(_xlfn.XLOOKUP($A27,'Raw Data'!$G:$G,'Raw Data'!AE:AE)*(1+(_xlfn.XLOOKUP(Table13[[#This Row],[Month Year]],JMR!$A:$A,JMR!$J:$J))),"")</f>
        <v>54537.300000009171</v>
      </c>
      <c r="AB27" s="143">
        <f>IFERROR(_xlfn.XLOOKUP($A27,'Raw Data'!$G:$G,'Raw Data'!$H:$H),"")</f>
        <v>11.72</v>
      </c>
      <c r="AC27" s="149">
        <f>IFERROR(_xlfn.XLOOKUP($D27,'Modelling New'!$D:$D,'Modelling New'!$P:$P),"")</f>
        <v>7.6186700233333315</v>
      </c>
      <c r="AD27" s="143">
        <f>IFERROR(_xlfn.XLOOKUP($D27,'Modelling New'!$D:$D,'Modelling New'!$T:$T)*1000,"")</f>
        <v>63455.713653610728</v>
      </c>
      <c r="AE27" s="148">
        <f>IFERROR(_xlfn.XLOOKUP($D27,'Modelling New'!$D:$D,'Modelling New'!$O:$O),"")</f>
        <v>0.71066341265888178</v>
      </c>
      <c r="AF27" s="148">
        <f>IFERROR(_xlfn.XLOOKUP($D27,'Modelling New'!$D:$D,'Modelling New'!$W:$W),"")</f>
        <v>0.22559625161266611</v>
      </c>
      <c r="AG27" s="148">
        <f>IFERROR(_xlfn.XLOOKUP($D27,'Modelling New'!$D:$D,'Modelling New'!AE:AE),"")</f>
        <v>0.995</v>
      </c>
      <c r="AH27" s="148">
        <f>IFERROR(_xlfn.XLOOKUP($D27,'Modelling New'!$D:$D,'Modelling New'!AF:AF),"")</f>
        <v>0.98550000000000004</v>
      </c>
      <c r="AN27" s="145"/>
      <c r="AO27" s="148"/>
      <c r="AP27" s="148"/>
      <c r="AQ27" s="148"/>
      <c r="AR27" s="143">
        <f>IFERROR(_xlfn.XLOOKUP($D27,'Modelling New'!$D:$D,'Modelling New'!$N:$N),"")</f>
        <v>11.72</v>
      </c>
      <c r="AT27" s="143">
        <f>IFERROR(_xlfn.XLOOKUP(Table13[[#This Row],[Date]],'Raw Data'!$G:$G,'Raw Data'!$AJ:$AJ),"")</f>
        <v>0</v>
      </c>
      <c r="AU27" s="143">
        <f>IFERROR(_xlfn.XLOOKUP(Table13[[#This Row],[Month Year]],'Modelling New'!$D:$D,'Modelling New'!$AO:$AO),"")</f>
        <v>10</v>
      </c>
      <c r="AV27" s="143"/>
    </row>
    <row r="28" spans="1:48">
      <c r="A28" s="142">
        <f t="shared" si="3"/>
        <v>45771</v>
      </c>
      <c r="B28" s="143">
        <f>YEAR(Table13[[#This Row],[Date]])+IF(MONTH(Table13[[#This Row],[Date]])&gt;=4,1,0)</f>
        <v>2026</v>
      </c>
      <c r="C28" s="116">
        <f>YEAR(Table13[[#This Row],[Date]])</f>
        <v>2025</v>
      </c>
      <c r="D28" s="144">
        <f>Table13[[#This Row],[Date]]-DAY(Table13[[#This Row],[Date]])+1</f>
        <v>45748</v>
      </c>
      <c r="E28" s="116">
        <f t="shared" si="0"/>
        <v>30</v>
      </c>
      <c r="F28" s="117">
        <f>IFERROR(_xlfn.XLOOKUP($A28,'Raw Data'!$G:$G,'Raw Data'!$AH:$AH),"")</f>
        <v>11.983333333333333</v>
      </c>
      <c r="G28" s="118">
        <f>IFERROR(_xlfn.XLOOKUP($A28,'Raw Data'!$G:$G,'Raw Data'!$S:$S)/1000,"")</f>
        <v>0</v>
      </c>
      <c r="H28" s="118"/>
      <c r="I28" s="118">
        <f>IFERROR(_xlfn.XLOOKUP($A28,'Raw Data'!$G:$G,'Raw Data'!$AF:$AF)/1000,"")</f>
        <v>6.5220000000000002</v>
      </c>
      <c r="J28" s="118"/>
      <c r="K28" s="118">
        <f>IFERROR(_xlfn.XLOOKUP($A28,'Raw Data'!$G:$G,'Raw Data'!W:W),"")</f>
        <v>23</v>
      </c>
      <c r="L28" s="118">
        <f>IFERROR(_xlfn.XLOOKUP($A28,'Raw Data'!$G:$G,'Raw Data'!X:X),"")</f>
        <v>48</v>
      </c>
      <c r="M28" s="118">
        <f>IFERROR(_xlfn.XLOOKUP($A28,'Raw Data'!$G:$G,'Raw Data'!Y:Y),"")</f>
        <v>6</v>
      </c>
      <c r="N28" s="118">
        <f>IFERROR(_xlfn.XLOOKUP($A28,'Raw Data'!$G:$G,'Raw Data'!Z:Z),"")</f>
        <v>14</v>
      </c>
      <c r="O28" s="145">
        <f>IFERROR(1-SUMIF('Plant BD'!$B:$B,$A28,'Plant BD'!$AM:$AM)/($AA28+SUMIF('Plant BD'!$B:$B,$A28,'Plant BD'!$AM:$AM)),"")</f>
        <v>1</v>
      </c>
      <c r="P28" s="145"/>
      <c r="Q28" s="146"/>
      <c r="R28" s="145">
        <f>IFERROR(1-SUMIF('Grid BD'!$B:$B,$A28,'Grid BD'!$AE:$AE)/($AA28+SUMIF('Grid BD'!$B:$B,$A28,'Grid BD'!$AE:$AE)),"")</f>
        <v>0.99237322909899972</v>
      </c>
      <c r="T28" s="146">
        <f>IFERROR(1-SUMIF(Tracker_BD!$H:$H,$A28,Tracker_BD!AI:AI)/$F28,"")</f>
        <v>0.98563218390804597</v>
      </c>
      <c r="U28" s="147">
        <f t="shared" si="1"/>
        <v>0.70832587629371235</v>
      </c>
      <c r="V28" s="147"/>
      <c r="W28" s="148">
        <f t="shared" si="2"/>
        <v>0.1924875568828163</v>
      </c>
      <c r="X28" s="143">
        <f>IFERROR(_xlfn.XLOOKUP($A28,'Raw Data'!$G:$G,'Raw Data'!$AB:$AB),"")</f>
        <v>54437</v>
      </c>
      <c r="Y28" s="143">
        <f>IFERROR(_xlfn.XLOOKUP($A28,'Raw Data'!$G:$G,'Raw Data'!AC:AC),"")</f>
        <v>54419.699999998556</v>
      </c>
      <c r="Z28" s="143">
        <f>IFERROR(_xlfn.XLOOKUP($A28,'Raw Data'!$G:$G,'Raw Data'!AD:AD),"")</f>
        <v>276.79999999998017</v>
      </c>
      <c r="AA28" s="143">
        <f>IFERROR(_xlfn.XLOOKUP($A28,'Raw Data'!$G:$G,'Raw Data'!AE:AE)*(1+(_xlfn.XLOOKUP(Table13[[#This Row],[Month Year]],JMR!$A:$A,JMR!$J:$J))),"")</f>
        <v>54142.899999998575</v>
      </c>
      <c r="AB28" s="143">
        <f>IFERROR(_xlfn.XLOOKUP($A28,'Raw Data'!$G:$G,'Raw Data'!$H:$H),"")</f>
        <v>11.72</v>
      </c>
      <c r="AC28" s="149">
        <f>IFERROR(_xlfn.XLOOKUP($D28,'Modelling New'!$D:$D,'Modelling New'!$P:$P),"")</f>
        <v>7.6186700233333315</v>
      </c>
      <c r="AD28" s="143">
        <f>IFERROR(_xlfn.XLOOKUP($D28,'Modelling New'!$D:$D,'Modelling New'!$T:$T)*1000,"")</f>
        <v>63455.713653610728</v>
      </c>
      <c r="AE28" s="148">
        <f>IFERROR(_xlfn.XLOOKUP($D28,'Modelling New'!$D:$D,'Modelling New'!$O:$O),"")</f>
        <v>0.71066341265888178</v>
      </c>
      <c r="AF28" s="148">
        <f>IFERROR(_xlfn.XLOOKUP($D28,'Modelling New'!$D:$D,'Modelling New'!$W:$W),"")</f>
        <v>0.22559625161266611</v>
      </c>
      <c r="AG28" s="148">
        <f>IFERROR(_xlfn.XLOOKUP($D28,'Modelling New'!$D:$D,'Modelling New'!AE:AE),"")</f>
        <v>0.995</v>
      </c>
      <c r="AH28" s="148">
        <f>IFERROR(_xlfn.XLOOKUP($D28,'Modelling New'!$D:$D,'Modelling New'!AF:AF),"")</f>
        <v>0.98550000000000004</v>
      </c>
      <c r="AN28" s="145"/>
      <c r="AO28" s="148"/>
      <c r="AP28" s="148"/>
      <c r="AQ28" s="148"/>
      <c r="AR28" s="143">
        <f>IFERROR(_xlfn.XLOOKUP($D28,'Modelling New'!$D:$D,'Modelling New'!$N:$N),"")</f>
        <v>11.72</v>
      </c>
      <c r="AT28" s="143">
        <f>IFERROR(_xlfn.XLOOKUP(Table13[[#This Row],[Date]],'Raw Data'!$G:$G,'Raw Data'!$AJ:$AJ),"")</f>
        <v>0</v>
      </c>
      <c r="AU28" s="143">
        <f>IFERROR(_xlfn.XLOOKUP(Table13[[#This Row],[Month Year]],'Modelling New'!$D:$D,'Modelling New'!$AO:$AO),"")</f>
        <v>10</v>
      </c>
      <c r="AV28" s="143"/>
    </row>
    <row r="29" spans="1:48">
      <c r="A29" s="142">
        <f t="shared" si="3"/>
        <v>45772</v>
      </c>
      <c r="B29" s="143">
        <f>YEAR(Table13[[#This Row],[Date]])+IF(MONTH(Table13[[#This Row],[Date]])&gt;=4,1,0)</f>
        <v>2026</v>
      </c>
      <c r="C29" s="116">
        <f>YEAR(Table13[[#This Row],[Date]])</f>
        <v>2025</v>
      </c>
      <c r="D29" s="144">
        <f>Table13[[#This Row],[Date]]-DAY(Table13[[#This Row],[Date]])+1</f>
        <v>45748</v>
      </c>
      <c r="E29" s="116">
        <f t="shared" si="0"/>
        <v>30</v>
      </c>
      <c r="F29" s="117">
        <f>IFERROR(_xlfn.XLOOKUP($A29,'Raw Data'!$G:$G,'Raw Data'!$AH:$AH),"")</f>
        <v>11.166666666666668</v>
      </c>
      <c r="G29" s="118">
        <f>IFERROR(_xlfn.XLOOKUP($A29,'Raw Data'!$G:$G,'Raw Data'!$S:$S)/1000,"")</f>
        <v>0</v>
      </c>
      <c r="H29" s="118"/>
      <c r="I29" s="118">
        <f>IFERROR(_xlfn.XLOOKUP($A29,'Raw Data'!$G:$G,'Raw Data'!$AF:$AF)/1000,"")</f>
        <v>5.7539999999999996</v>
      </c>
      <c r="J29" s="118"/>
      <c r="K29" s="118">
        <f>IFERROR(_xlfn.XLOOKUP($A29,'Raw Data'!$G:$G,'Raw Data'!W:W),"")</f>
        <v>23</v>
      </c>
      <c r="L29" s="118">
        <f>IFERROR(_xlfn.XLOOKUP($A29,'Raw Data'!$G:$G,'Raw Data'!X:X),"")</f>
        <v>51</v>
      </c>
      <c r="M29" s="118">
        <f>IFERROR(_xlfn.XLOOKUP($A29,'Raw Data'!$G:$G,'Raw Data'!Y:Y),"")</f>
        <v>7.9</v>
      </c>
      <c r="N29" s="118">
        <f>IFERROR(_xlfn.XLOOKUP($A29,'Raw Data'!$G:$G,'Raw Data'!Z:Z),"")</f>
        <v>22</v>
      </c>
      <c r="O29" s="145">
        <f>IFERROR(1-SUMIF('Plant BD'!$B:$B,$A29,'Plant BD'!$AM:$AM)/($AA29+SUMIF('Plant BD'!$B:$B,$A29,'Plant BD'!$AM:$AM)),"")</f>
        <v>1</v>
      </c>
      <c r="P29" s="145"/>
      <c r="Q29" s="146"/>
      <c r="R29" s="145">
        <f>IFERROR(1-SUMIF('Grid BD'!$B:$B,$A29,'Grid BD'!$AE:$AE)/($AA29+SUMIF('Grid BD'!$B:$B,$A29,'Grid BD'!$AE:$AE)),"")</f>
        <v>0.99383376082536468</v>
      </c>
      <c r="T29" s="146">
        <f>IFERROR(1-SUMIF(Tracker_BD!$H:$H,$A29,Tracker_BD!AI:AI)/$F29,"")</f>
        <v>0.98440984731514836</v>
      </c>
      <c r="U29" s="147">
        <f t="shared" si="1"/>
        <v>0.69614727134470256</v>
      </c>
      <c r="V29" s="147"/>
      <c r="W29" s="148">
        <f t="shared" si="2"/>
        <v>0.16690130830489239</v>
      </c>
      <c r="X29" s="143">
        <f>IFERROR(_xlfn.XLOOKUP($A29,'Raw Data'!$G:$G,'Raw Data'!$AB:$AB),"")</f>
        <v>47182</v>
      </c>
      <c r="Y29" s="143">
        <f>IFERROR(_xlfn.XLOOKUP($A29,'Raw Data'!$G:$G,'Raw Data'!AC:AC),"")</f>
        <v>47129.60000000021</v>
      </c>
      <c r="Z29" s="143">
        <f>IFERROR(_xlfn.XLOOKUP($A29,'Raw Data'!$G:$G,'Raw Data'!AD:AD),"")</f>
        <v>183.60000000006949</v>
      </c>
      <c r="AA29" s="143">
        <f>IFERROR(_xlfn.XLOOKUP($A29,'Raw Data'!$G:$G,'Raw Data'!AE:AE)*(1+(_xlfn.XLOOKUP(Table13[[#This Row],[Month Year]],JMR!$A:$A,JMR!$J:$J))),"")</f>
        <v>46946.000000000138</v>
      </c>
      <c r="AB29" s="143">
        <f>IFERROR(_xlfn.XLOOKUP($A29,'Raw Data'!$G:$G,'Raw Data'!$H:$H),"")</f>
        <v>11.72</v>
      </c>
      <c r="AC29" s="149">
        <f>IFERROR(_xlfn.XLOOKUP($D29,'Modelling New'!$D:$D,'Modelling New'!$P:$P),"")</f>
        <v>7.6186700233333315</v>
      </c>
      <c r="AD29" s="143">
        <f>IFERROR(_xlfn.XLOOKUP($D29,'Modelling New'!$D:$D,'Modelling New'!$T:$T)*1000,"")</f>
        <v>63455.713653610728</v>
      </c>
      <c r="AE29" s="148">
        <f>IFERROR(_xlfn.XLOOKUP($D29,'Modelling New'!$D:$D,'Modelling New'!$O:$O),"")</f>
        <v>0.71066341265888178</v>
      </c>
      <c r="AF29" s="148">
        <f>IFERROR(_xlfn.XLOOKUP($D29,'Modelling New'!$D:$D,'Modelling New'!$W:$W),"")</f>
        <v>0.22559625161266611</v>
      </c>
      <c r="AG29" s="148">
        <f>IFERROR(_xlfn.XLOOKUP($D29,'Modelling New'!$D:$D,'Modelling New'!AE:AE),"")</f>
        <v>0.995</v>
      </c>
      <c r="AH29" s="148">
        <f>IFERROR(_xlfn.XLOOKUP($D29,'Modelling New'!$D:$D,'Modelling New'!AF:AF),"")</f>
        <v>0.98550000000000004</v>
      </c>
      <c r="AN29" s="145"/>
      <c r="AO29" s="148"/>
      <c r="AP29" s="148"/>
      <c r="AQ29" s="148"/>
      <c r="AR29" s="143">
        <f>IFERROR(_xlfn.XLOOKUP($D29,'Modelling New'!$D:$D,'Modelling New'!$N:$N),"")</f>
        <v>11.72</v>
      </c>
      <c r="AT29" s="143">
        <f>IFERROR(_xlfn.XLOOKUP(Table13[[#This Row],[Date]],'Raw Data'!$G:$G,'Raw Data'!$AJ:$AJ),"")</f>
        <v>0</v>
      </c>
      <c r="AU29" s="143">
        <f>IFERROR(_xlfn.XLOOKUP(Table13[[#This Row],[Month Year]],'Modelling New'!$D:$D,'Modelling New'!$AO:$AO),"")</f>
        <v>10</v>
      </c>
      <c r="AV29" s="143"/>
    </row>
    <row r="30" spans="1:48">
      <c r="A30" s="142">
        <f t="shared" si="3"/>
        <v>45773</v>
      </c>
      <c r="B30" s="143">
        <f>YEAR(Table13[[#This Row],[Date]])+IF(MONTH(Table13[[#This Row],[Date]])&gt;=4,1,0)</f>
        <v>2026</v>
      </c>
      <c r="C30" s="116">
        <f>YEAR(Table13[[#This Row],[Date]])</f>
        <v>2025</v>
      </c>
      <c r="D30" s="144">
        <f>Table13[[#This Row],[Date]]-DAY(Table13[[#This Row],[Date]])+1</f>
        <v>45748</v>
      </c>
      <c r="E30" s="116">
        <f t="shared" si="0"/>
        <v>30</v>
      </c>
      <c r="F30" s="117">
        <f>IFERROR(_xlfn.XLOOKUP($A30,'Raw Data'!$G:$G,'Raw Data'!$AH:$AH),"")</f>
        <v>12.333333333333336</v>
      </c>
      <c r="G30" s="118">
        <f>IFERROR(_xlfn.XLOOKUP($A30,'Raw Data'!$G:$G,'Raw Data'!$S:$S)/1000,"")</f>
        <v>0</v>
      </c>
      <c r="H30" s="118"/>
      <c r="I30" s="118">
        <f>IFERROR(_xlfn.XLOOKUP($A30,'Raw Data'!$G:$G,'Raw Data'!$AF:$AF)/1000,"")</f>
        <v>7.1929999999999996</v>
      </c>
      <c r="J30" s="118"/>
      <c r="K30" s="118">
        <f>IFERROR(_xlfn.XLOOKUP($A30,'Raw Data'!$G:$G,'Raw Data'!W:W),"")</f>
        <v>24</v>
      </c>
      <c r="L30" s="118">
        <f>IFERROR(_xlfn.XLOOKUP($A30,'Raw Data'!$G:$G,'Raw Data'!X:X),"")</f>
        <v>47</v>
      </c>
      <c r="M30" s="118">
        <f>IFERROR(_xlfn.XLOOKUP($A30,'Raw Data'!$G:$G,'Raw Data'!Y:Y),"")</f>
        <v>1.7</v>
      </c>
      <c r="N30" s="118">
        <f>IFERROR(_xlfn.XLOOKUP($A30,'Raw Data'!$G:$G,'Raw Data'!Z:Z),"")</f>
        <v>7</v>
      </c>
      <c r="O30" s="145">
        <f>IFERROR(1-SUMIF('Plant BD'!$B:$B,$A30,'Plant BD'!$AM:$AM)/($AA30+SUMIF('Plant BD'!$B:$B,$A30,'Plant BD'!$AM:$AM)),"")</f>
        <v>1</v>
      </c>
      <c r="P30" s="145"/>
      <c r="Q30" s="146"/>
      <c r="R30" s="145">
        <f>IFERROR(1-SUMIF('Grid BD'!$B:$B,$A30,'Grid BD'!$AE:$AE)/($AA30+SUMIF('Grid BD'!$B:$B,$A30,'Grid BD'!$AE:$AE)),"")</f>
        <v>1</v>
      </c>
      <c r="T30" s="146">
        <f>IFERROR(1-SUMIF(Tracker_BD!$H:$H,$A30,Tracker_BD!AI:AI)/$F30,"")</f>
        <v>0.98582634358496424</v>
      </c>
      <c r="U30" s="147">
        <f t="shared" si="1"/>
        <v>0.68568987008134008</v>
      </c>
      <c r="V30" s="147"/>
      <c r="W30" s="148">
        <f t="shared" si="2"/>
        <v>0.20550696814562827</v>
      </c>
      <c r="X30" s="143">
        <f>IFERROR(_xlfn.XLOOKUP($A30,'Raw Data'!$G:$G,'Raw Data'!$AB:$AB),"")</f>
        <v>58030</v>
      </c>
      <c r="Y30" s="143">
        <f>IFERROR(_xlfn.XLOOKUP($A30,'Raw Data'!$G:$G,'Raw Data'!AC:AC),"")</f>
        <v>58002.500000002328</v>
      </c>
      <c r="Z30" s="143">
        <f>IFERROR(_xlfn.XLOOKUP($A30,'Raw Data'!$G:$G,'Raw Data'!AD:AD),"")</f>
        <v>197.49999999999091</v>
      </c>
      <c r="AA30" s="143">
        <f>IFERROR(_xlfn.XLOOKUP($A30,'Raw Data'!$G:$G,'Raw Data'!AE:AE)*(1+(_xlfn.XLOOKUP(Table13[[#This Row],[Month Year]],JMR!$A:$A,JMR!$J:$J))),"")</f>
        <v>57805.000000002336</v>
      </c>
      <c r="AB30" s="143">
        <f>IFERROR(_xlfn.XLOOKUP($A30,'Raw Data'!$G:$G,'Raw Data'!$H:$H),"")</f>
        <v>11.72</v>
      </c>
      <c r="AC30" s="149">
        <f>IFERROR(_xlfn.XLOOKUP($D30,'Modelling New'!$D:$D,'Modelling New'!$P:$P),"")</f>
        <v>7.6186700233333315</v>
      </c>
      <c r="AD30" s="143">
        <f>IFERROR(_xlfn.XLOOKUP($D30,'Modelling New'!$D:$D,'Modelling New'!$T:$T)*1000,"")</f>
        <v>63455.713653610728</v>
      </c>
      <c r="AE30" s="148">
        <f>IFERROR(_xlfn.XLOOKUP($D30,'Modelling New'!$D:$D,'Modelling New'!$O:$O),"")</f>
        <v>0.71066341265888178</v>
      </c>
      <c r="AF30" s="148">
        <f>IFERROR(_xlfn.XLOOKUP($D30,'Modelling New'!$D:$D,'Modelling New'!$W:$W),"")</f>
        <v>0.22559625161266611</v>
      </c>
      <c r="AG30" s="148">
        <f>IFERROR(_xlfn.XLOOKUP($D30,'Modelling New'!$D:$D,'Modelling New'!AE:AE),"")</f>
        <v>0.995</v>
      </c>
      <c r="AH30" s="148">
        <f>IFERROR(_xlfn.XLOOKUP($D30,'Modelling New'!$D:$D,'Modelling New'!AF:AF),"")</f>
        <v>0.98550000000000004</v>
      </c>
      <c r="AN30" s="145"/>
      <c r="AO30" s="148"/>
      <c r="AP30" s="148"/>
      <c r="AQ30" s="148"/>
      <c r="AR30" s="143">
        <f>IFERROR(_xlfn.XLOOKUP($D30,'Modelling New'!$D:$D,'Modelling New'!$N:$N),"")</f>
        <v>11.72</v>
      </c>
      <c r="AT30" s="143">
        <f>IFERROR(_xlfn.XLOOKUP(Table13[[#This Row],[Date]],'Raw Data'!$G:$G,'Raw Data'!$AJ:$AJ),"")</f>
        <v>0</v>
      </c>
      <c r="AU30" s="143">
        <f>IFERROR(_xlfn.XLOOKUP(Table13[[#This Row],[Month Year]],'Modelling New'!$D:$D,'Modelling New'!$AO:$AO),"")</f>
        <v>10</v>
      </c>
      <c r="AV30" s="143"/>
    </row>
    <row r="31" spans="1:48">
      <c r="A31" s="142">
        <f t="shared" si="3"/>
        <v>45774</v>
      </c>
      <c r="B31" s="143">
        <f>YEAR(Table13[[#This Row],[Date]])+IF(MONTH(Table13[[#This Row],[Date]])&gt;=4,1,0)</f>
        <v>2026</v>
      </c>
      <c r="C31" s="116">
        <f>YEAR(Table13[[#This Row],[Date]])</f>
        <v>2025</v>
      </c>
      <c r="D31" s="144">
        <f>Table13[[#This Row],[Date]]-DAY(Table13[[#This Row],[Date]])+1</f>
        <v>45748</v>
      </c>
      <c r="E31" s="116">
        <f t="shared" si="0"/>
        <v>30</v>
      </c>
      <c r="F31" s="117">
        <f>IFERROR(_xlfn.XLOOKUP($A31,'Raw Data'!$G:$G,'Raw Data'!$AH:$AH),"")</f>
        <v>11</v>
      </c>
      <c r="G31" s="118">
        <f>IFERROR(_xlfn.XLOOKUP($A31,'Raw Data'!$G:$G,'Raw Data'!$S:$S)/1000,"")</f>
        <v>0</v>
      </c>
      <c r="H31" s="118"/>
      <c r="I31" s="118">
        <f>IFERROR(_xlfn.XLOOKUP($A31,'Raw Data'!$G:$G,'Raw Data'!$AF:$AF)/1000,"")</f>
        <v>4.7859999999999996</v>
      </c>
      <c r="J31" s="118"/>
      <c r="K31" s="118">
        <f>IFERROR(_xlfn.XLOOKUP($A31,'Raw Data'!$G:$G,'Raw Data'!W:W),"")</f>
        <v>23</v>
      </c>
      <c r="L31" s="118">
        <f>IFERROR(_xlfn.XLOOKUP($A31,'Raw Data'!$G:$G,'Raw Data'!X:X),"")</f>
        <v>42</v>
      </c>
      <c r="M31" s="118">
        <f>IFERROR(_xlfn.XLOOKUP($A31,'Raw Data'!$G:$G,'Raw Data'!Y:Y),"")</f>
        <v>1.7</v>
      </c>
      <c r="N31" s="118">
        <f>IFERROR(_xlfn.XLOOKUP($A31,'Raw Data'!$G:$G,'Raw Data'!Z:Z),"")</f>
        <v>7</v>
      </c>
      <c r="O31" s="145">
        <f>IFERROR(1-SUMIF('Plant BD'!$B:$B,$A31,'Plant BD'!$AM:$AM)/($AA31+SUMIF('Plant BD'!$B:$B,$A31,'Plant BD'!$AM:$AM)),"")</f>
        <v>1</v>
      </c>
      <c r="P31" s="145"/>
      <c r="Q31" s="146"/>
      <c r="R31" s="145">
        <f>IFERROR(1-SUMIF('Grid BD'!$B:$B,$A31,'Grid BD'!$AE:$AE)/($AA31+SUMIF('Grid BD'!$B:$B,$A31,'Grid BD'!$AE:$AE)),"")</f>
        <v>1</v>
      </c>
      <c r="T31" s="146">
        <f>IFERROR(1-SUMIF(Tracker_BD!$H:$H,$A31,Tracker_BD!AI:AI)/$F31,"")</f>
        <v>0.98465256008359459</v>
      </c>
      <c r="U31" s="147">
        <f t="shared" si="1"/>
        <v>0.73165261592025899</v>
      </c>
      <c r="V31" s="147"/>
      <c r="W31" s="148">
        <f t="shared" si="2"/>
        <v>0.14590372582476496</v>
      </c>
      <c r="X31" s="143">
        <f>IFERROR(_xlfn.XLOOKUP($A31,'Raw Data'!$G:$G,'Raw Data'!$AB:$AB),"")</f>
        <v>41311</v>
      </c>
      <c r="Y31" s="143">
        <f>IFERROR(_xlfn.XLOOKUP($A31,'Raw Data'!$G:$G,'Raw Data'!AC:AC),"")</f>
        <v>41235.999999989872</v>
      </c>
      <c r="Z31" s="143">
        <f>IFERROR(_xlfn.XLOOKUP($A31,'Raw Data'!$G:$G,'Raw Data'!AD:AD),"")</f>
        <v>196.19999999997617</v>
      </c>
      <c r="AA31" s="143">
        <f>IFERROR(_xlfn.XLOOKUP($A31,'Raw Data'!$G:$G,'Raw Data'!AE:AE)*(1+(_xlfn.XLOOKUP(Table13[[#This Row],[Month Year]],JMR!$A:$A,JMR!$J:$J))),"")</f>
        <v>41039.799999989897</v>
      </c>
      <c r="AB31" s="143">
        <f>IFERROR(_xlfn.XLOOKUP($A31,'Raw Data'!$G:$G,'Raw Data'!$H:$H),"")</f>
        <v>11.72</v>
      </c>
      <c r="AC31" s="149">
        <f>IFERROR(_xlfn.XLOOKUP($D31,'Modelling New'!$D:$D,'Modelling New'!$P:$P),"")</f>
        <v>7.6186700233333315</v>
      </c>
      <c r="AD31" s="143">
        <f>IFERROR(_xlfn.XLOOKUP($D31,'Modelling New'!$D:$D,'Modelling New'!$T:$T)*1000,"")</f>
        <v>63455.713653610728</v>
      </c>
      <c r="AE31" s="148">
        <f>IFERROR(_xlfn.XLOOKUP($D31,'Modelling New'!$D:$D,'Modelling New'!$O:$O),"")</f>
        <v>0.71066341265888178</v>
      </c>
      <c r="AF31" s="148">
        <f>IFERROR(_xlfn.XLOOKUP($D31,'Modelling New'!$D:$D,'Modelling New'!$W:$W),"")</f>
        <v>0.22559625161266611</v>
      </c>
      <c r="AG31" s="148">
        <f>IFERROR(_xlfn.XLOOKUP($D31,'Modelling New'!$D:$D,'Modelling New'!AE:AE),"")</f>
        <v>0.995</v>
      </c>
      <c r="AH31" s="148">
        <f>IFERROR(_xlfn.XLOOKUP($D31,'Modelling New'!$D:$D,'Modelling New'!AF:AF),"")</f>
        <v>0.98550000000000004</v>
      </c>
      <c r="AN31" s="145"/>
      <c r="AO31" s="148"/>
      <c r="AP31" s="148"/>
      <c r="AQ31" s="148"/>
      <c r="AR31" s="143">
        <f>IFERROR(_xlfn.XLOOKUP($D31,'Modelling New'!$D:$D,'Modelling New'!$N:$N),"")</f>
        <v>11.72</v>
      </c>
      <c r="AT31" s="143">
        <f>IFERROR(_xlfn.XLOOKUP(Table13[[#This Row],[Date]],'Raw Data'!$G:$G,'Raw Data'!$AJ:$AJ),"")</f>
        <v>0</v>
      </c>
      <c r="AU31" s="143">
        <f>IFERROR(_xlfn.XLOOKUP(Table13[[#This Row],[Month Year]],'Modelling New'!$D:$D,'Modelling New'!$AO:$AO),"")</f>
        <v>10</v>
      </c>
      <c r="AV31" s="143"/>
    </row>
    <row r="32" spans="1:48">
      <c r="A32" s="142">
        <f t="shared" si="3"/>
        <v>45775</v>
      </c>
      <c r="B32" s="143">
        <f>YEAR(Table13[[#This Row],[Date]])+IF(MONTH(Table13[[#This Row],[Date]])&gt;=4,1,0)</f>
        <v>2026</v>
      </c>
      <c r="C32" s="116">
        <f>YEAR(Table13[[#This Row],[Date]])</f>
        <v>2025</v>
      </c>
      <c r="D32" s="144">
        <f>Table13[[#This Row],[Date]]-DAY(Table13[[#This Row],[Date]])+1</f>
        <v>45748</v>
      </c>
      <c r="E32" s="116">
        <f t="shared" si="0"/>
        <v>30</v>
      </c>
      <c r="F32" s="117">
        <f>IFERROR(_xlfn.XLOOKUP($A32,'Raw Data'!$G:$G,'Raw Data'!$AH:$AH),"")</f>
        <v>12.316666666666666</v>
      </c>
      <c r="G32" s="118">
        <f>IFERROR(_xlfn.XLOOKUP($A32,'Raw Data'!$G:$G,'Raw Data'!$S:$S)/1000,"")</f>
        <v>0</v>
      </c>
      <c r="H32" s="118"/>
      <c r="I32" s="118">
        <f>IFERROR(_xlfn.XLOOKUP($A32,'Raw Data'!$G:$G,'Raw Data'!$AF:$AF)/1000,"")</f>
        <v>7.4604999999999997</v>
      </c>
      <c r="J32" s="118"/>
      <c r="K32" s="118">
        <f>IFERROR(_xlfn.XLOOKUP($A32,'Raw Data'!$G:$G,'Raw Data'!W:W),"")</f>
        <v>24</v>
      </c>
      <c r="L32" s="118">
        <f>IFERROR(_xlfn.XLOOKUP($A32,'Raw Data'!$G:$G,'Raw Data'!X:X),"")</f>
        <v>48</v>
      </c>
      <c r="M32" s="118">
        <f>IFERROR(_xlfn.XLOOKUP($A32,'Raw Data'!$G:$G,'Raw Data'!Y:Y),"")</f>
        <v>1.7</v>
      </c>
      <c r="N32" s="118">
        <f>IFERROR(_xlfn.XLOOKUP($A32,'Raw Data'!$G:$G,'Raw Data'!Z:Z),"")</f>
        <v>7</v>
      </c>
      <c r="O32" s="145">
        <f>IFERROR(1-SUMIF('Plant BD'!$B:$B,$A32,'Plant BD'!$AM:$AM)/($AA32+SUMIF('Plant BD'!$B:$B,$A32,'Plant BD'!$AM:$AM)),"")</f>
        <v>1</v>
      </c>
      <c r="P32" s="145"/>
      <c r="Q32" s="146"/>
      <c r="R32" s="145">
        <f>IFERROR(1-SUMIF('Grid BD'!$B:$B,$A32,'Grid BD'!$AE:$AE)/($AA32+SUMIF('Grid BD'!$B:$B,$A32,'Grid BD'!$AE:$AE)),"")</f>
        <v>0.99698267397997709</v>
      </c>
      <c r="T32" s="146">
        <f>IFERROR(1-SUMIF(Tracker_BD!$H:$H,$A32,Tracker_BD!AI:AI)/$F32,"")</f>
        <v>0.98007559143297096</v>
      </c>
      <c r="U32" s="147">
        <f t="shared" si="1"/>
        <v>0.69187824933731068</v>
      </c>
      <c r="V32" s="147"/>
      <c r="W32" s="148">
        <f t="shared" si="2"/>
        <v>0.21507323663254188</v>
      </c>
      <c r="X32" s="143">
        <f>IFERROR(_xlfn.XLOOKUP($A32,'Raw Data'!$G:$G,'Raw Data'!$AB:$AB),"")</f>
        <v>60717</v>
      </c>
      <c r="Y32" s="143">
        <f>IFERROR(_xlfn.XLOOKUP($A32,'Raw Data'!$G:$G,'Raw Data'!AC:AC),"")</f>
        <v>60690.90000000142</v>
      </c>
      <c r="Z32" s="143">
        <f>IFERROR(_xlfn.XLOOKUP($A32,'Raw Data'!$G:$G,'Raw Data'!AD:AD),"")</f>
        <v>195.10000000002492</v>
      </c>
      <c r="AA32" s="143">
        <f>IFERROR(_xlfn.XLOOKUP($A32,'Raw Data'!$G:$G,'Raw Data'!AE:AE)*(1+(_xlfn.XLOOKUP(Table13[[#This Row],[Month Year]],JMR!$A:$A,JMR!$J:$J))),"")</f>
        <v>60495.800000001393</v>
      </c>
      <c r="AB32" s="143">
        <f>IFERROR(_xlfn.XLOOKUP($A32,'Raw Data'!$G:$G,'Raw Data'!$H:$H),"")</f>
        <v>11.72</v>
      </c>
      <c r="AC32" s="149">
        <f>IFERROR(_xlfn.XLOOKUP($D32,'Modelling New'!$D:$D,'Modelling New'!$P:$P),"")</f>
        <v>7.6186700233333315</v>
      </c>
      <c r="AD32" s="143">
        <f>IFERROR(_xlfn.XLOOKUP($D32,'Modelling New'!$D:$D,'Modelling New'!$T:$T)*1000,"")</f>
        <v>63455.713653610728</v>
      </c>
      <c r="AE32" s="148">
        <f>IFERROR(_xlfn.XLOOKUP($D32,'Modelling New'!$D:$D,'Modelling New'!$O:$O),"")</f>
        <v>0.71066341265888178</v>
      </c>
      <c r="AF32" s="148">
        <f>IFERROR(_xlfn.XLOOKUP($D32,'Modelling New'!$D:$D,'Modelling New'!$W:$W),"")</f>
        <v>0.22559625161266611</v>
      </c>
      <c r="AG32" s="148">
        <f>IFERROR(_xlfn.XLOOKUP($D32,'Modelling New'!$D:$D,'Modelling New'!AE:AE),"")</f>
        <v>0.995</v>
      </c>
      <c r="AH32" s="148">
        <f>IFERROR(_xlfn.XLOOKUP($D32,'Modelling New'!$D:$D,'Modelling New'!AF:AF),"")</f>
        <v>0.98550000000000004</v>
      </c>
      <c r="AN32" s="145"/>
      <c r="AO32" s="148"/>
      <c r="AP32" s="148"/>
      <c r="AQ32" s="148"/>
      <c r="AR32" s="143">
        <f>IFERROR(_xlfn.XLOOKUP($D32,'Modelling New'!$D:$D,'Modelling New'!$N:$N),"")</f>
        <v>11.72</v>
      </c>
      <c r="AT32" s="143">
        <f>IFERROR(_xlfn.XLOOKUP(Table13[[#This Row],[Date]],'Raw Data'!$G:$G,'Raw Data'!$AJ:$AJ),"")</f>
        <v>0</v>
      </c>
      <c r="AU32" s="143">
        <f>IFERROR(_xlfn.XLOOKUP(Table13[[#This Row],[Month Year]],'Modelling New'!$D:$D,'Modelling New'!$AO:$AO),"")</f>
        <v>10</v>
      </c>
      <c r="AV32" s="143"/>
    </row>
    <row r="33" spans="1:48">
      <c r="A33" s="142">
        <f t="shared" si="3"/>
        <v>45776</v>
      </c>
      <c r="B33" s="143">
        <f>YEAR(Table13[[#This Row],[Date]])+IF(MONTH(Table13[[#This Row],[Date]])&gt;=4,1,0)</f>
        <v>2026</v>
      </c>
      <c r="C33" s="116">
        <f>YEAR(Table13[[#This Row],[Date]])</f>
        <v>2025</v>
      </c>
      <c r="D33" s="144">
        <f>Table13[[#This Row],[Date]]-DAY(Table13[[#This Row],[Date]])+1</f>
        <v>45748</v>
      </c>
      <c r="E33" s="116">
        <f t="shared" si="0"/>
        <v>30</v>
      </c>
      <c r="F33" s="117">
        <f>IFERROR(_xlfn.XLOOKUP($A33,'Raw Data'!$G:$G,'Raw Data'!$AH:$AH),"")</f>
        <v>12.233333333333333</v>
      </c>
      <c r="G33" s="118">
        <f>IFERROR(_xlfn.XLOOKUP($A33,'Raw Data'!$G:$G,'Raw Data'!$S:$S)/1000,"")</f>
        <v>0</v>
      </c>
      <c r="H33" s="118"/>
      <c r="I33" s="118">
        <f>IFERROR(_xlfn.XLOOKUP($A33,'Raw Data'!$G:$G,'Raw Data'!$AF:$AF)/1000,"")</f>
        <v>6.3639999999999999</v>
      </c>
      <c r="J33" s="118"/>
      <c r="K33" s="118">
        <f>IFERROR(_xlfn.XLOOKUP($A33,'Raw Data'!$G:$G,'Raw Data'!W:W),"")</f>
        <v>23</v>
      </c>
      <c r="L33" s="118">
        <f>IFERROR(_xlfn.XLOOKUP($A33,'Raw Data'!$G:$G,'Raw Data'!X:X),"")</f>
        <v>44</v>
      </c>
      <c r="M33" s="118">
        <f>IFERROR(_xlfn.XLOOKUP($A33,'Raw Data'!$G:$G,'Raw Data'!Y:Y),"")</f>
        <v>1.7</v>
      </c>
      <c r="N33" s="118">
        <f>IFERROR(_xlfn.XLOOKUP($A33,'Raw Data'!$G:$G,'Raw Data'!Z:Z),"")</f>
        <v>13</v>
      </c>
      <c r="O33" s="145">
        <f>IFERROR(1-SUMIF('Plant BD'!$B:$B,$A33,'Plant BD'!$AM:$AM)/($AA33+SUMIF('Plant BD'!$B:$B,$A33,'Plant BD'!$AM:$AM)),"")</f>
        <v>1</v>
      </c>
      <c r="P33" s="145"/>
      <c r="Q33" s="146"/>
      <c r="R33" s="145">
        <f>IFERROR(1-SUMIF('Grid BD'!$B:$B,$A33,'Grid BD'!$AE:$AE)/($AA33+SUMIF('Grid BD'!$B:$B,$A33,'Grid BD'!$AE:$AE)),"")</f>
        <v>1</v>
      </c>
      <c r="T33" s="146">
        <f>IFERROR(1-SUMIF(Tracker_BD!$H:$H,$A33,Tracker_BD!AI:AI)/$F33,"")</f>
        <v>0.98007688934824144</v>
      </c>
      <c r="U33" s="147">
        <f t="shared" si="1"/>
        <v>0.69671043175891456</v>
      </c>
      <c r="V33" s="147"/>
      <c r="W33" s="148">
        <f t="shared" si="2"/>
        <v>0.18474438282140548</v>
      </c>
      <c r="X33" s="143">
        <f>IFERROR(_xlfn.XLOOKUP($A33,'Raw Data'!$G:$G,'Raw Data'!$AB:$AB),"")</f>
        <v>52297</v>
      </c>
      <c r="Y33" s="143">
        <f>IFERROR(_xlfn.XLOOKUP($A33,'Raw Data'!$G:$G,'Raw Data'!AC:AC),"")</f>
        <v>52134.600000004866</v>
      </c>
      <c r="Z33" s="143">
        <f>IFERROR(_xlfn.XLOOKUP($A33,'Raw Data'!$G:$G,'Raw Data'!AD:AD),"")</f>
        <v>169.69999999992069</v>
      </c>
      <c r="AA33" s="143">
        <f>IFERROR(_xlfn.XLOOKUP($A33,'Raw Data'!$G:$G,'Raw Data'!AE:AE)*(1+(_xlfn.XLOOKUP(Table13[[#This Row],[Month Year]],JMR!$A:$A,JMR!$J:$J))),"")</f>
        <v>51964.900000004942</v>
      </c>
      <c r="AB33" s="143">
        <f>IFERROR(_xlfn.XLOOKUP($A33,'Raw Data'!$G:$G,'Raw Data'!$H:$H),"")</f>
        <v>11.72</v>
      </c>
      <c r="AC33" s="149">
        <f>IFERROR(_xlfn.XLOOKUP($D33,'Modelling New'!$D:$D,'Modelling New'!$P:$P),"")</f>
        <v>7.6186700233333315</v>
      </c>
      <c r="AD33" s="143">
        <f>IFERROR(_xlfn.XLOOKUP($D33,'Modelling New'!$D:$D,'Modelling New'!$T:$T)*1000,"")</f>
        <v>63455.713653610728</v>
      </c>
      <c r="AE33" s="148">
        <f>IFERROR(_xlfn.XLOOKUP($D33,'Modelling New'!$D:$D,'Modelling New'!$O:$O),"")</f>
        <v>0.71066341265888178</v>
      </c>
      <c r="AF33" s="148">
        <f>IFERROR(_xlfn.XLOOKUP($D33,'Modelling New'!$D:$D,'Modelling New'!$W:$W),"")</f>
        <v>0.22559625161266611</v>
      </c>
      <c r="AG33" s="148">
        <f>IFERROR(_xlfn.XLOOKUP($D33,'Modelling New'!$D:$D,'Modelling New'!AE:AE),"")</f>
        <v>0.995</v>
      </c>
      <c r="AH33" s="148">
        <f>IFERROR(_xlfn.XLOOKUP($D33,'Modelling New'!$D:$D,'Modelling New'!AF:AF),"")</f>
        <v>0.98550000000000004</v>
      </c>
      <c r="AN33" s="145"/>
      <c r="AO33" s="148"/>
      <c r="AP33" s="148"/>
      <c r="AQ33" s="148"/>
      <c r="AR33" s="143">
        <f>IFERROR(_xlfn.XLOOKUP($D33,'Modelling New'!$D:$D,'Modelling New'!$N:$N),"")</f>
        <v>11.72</v>
      </c>
      <c r="AT33" s="143">
        <f>IFERROR(_xlfn.XLOOKUP(Table13[[#This Row],[Date]],'Raw Data'!$G:$G,'Raw Data'!$AJ:$AJ),"")</f>
        <v>0</v>
      </c>
      <c r="AU33" s="143">
        <f>IFERROR(_xlfn.XLOOKUP(Table13[[#This Row],[Month Year]],'Modelling New'!$D:$D,'Modelling New'!$AO:$AO),"")</f>
        <v>10</v>
      </c>
      <c r="AV33" s="143"/>
    </row>
    <row r="34" spans="1:48">
      <c r="A34" s="142">
        <f t="shared" si="3"/>
        <v>45777</v>
      </c>
      <c r="B34" s="143">
        <f>YEAR(Table13[[#This Row],[Date]])+IF(MONTH(Table13[[#This Row],[Date]])&gt;=4,1,0)</f>
        <v>2026</v>
      </c>
      <c r="C34" s="116">
        <f>YEAR(Table13[[#This Row],[Date]])</f>
        <v>2025</v>
      </c>
      <c r="D34" s="144">
        <f>Table13[[#This Row],[Date]]-DAY(Table13[[#This Row],[Date]])+1</f>
        <v>45748</v>
      </c>
      <c r="E34" s="116">
        <f t="shared" si="0"/>
        <v>30</v>
      </c>
      <c r="F34" s="117">
        <f>IFERROR(_xlfn.XLOOKUP($A34,'Raw Data'!$G:$G,'Raw Data'!$AH:$AH),"")</f>
        <v>12.400000000000002</v>
      </c>
      <c r="G34" s="118">
        <f>IFERROR(_xlfn.XLOOKUP($A34,'Raw Data'!$G:$G,'Raw Data'!$S:$S)/1000,"")</f>
        <v>0</v>
      </c>
      <c r="H34" s="118"/>
      <c r="I34" s="118">
        <f>IFERROR(_xlfn.XLOOKUP($A34,'Raw Data'!$G:$G,'Raw Data'!$AF:$AF)/1000,"")</f>
        <v>7.9364999999999997</v>
      </c>
      <c r="J34" s="118"/>
      <c r="K34" s="118">
        <f>IFERROR(_xlfn.XLOOKUP($A34,'Raw Data'!$G:$G,'Raw Data'!W:W),"")</f>
        <v>24</v>
      </c>
      <c r="L34" s="118">
        <f>IFERROR(_xlfn.XLOOKUP($A34,'Raw Data'!$G:$G,'Raw Data'!X:X),"")</f>
        <v>48</v>
      </c>
      <c r="M34" s="118">
        <f>IFERROR(_xlfn.XLOOKUP($A34,'Raw Data'!$G:$G,'Raw Data'!Y:Y),"")</f>
        <v>1.7</v>
      </c>
      <c r="N34" s="118">
        <f>IFERROR(_xlfn.XLOOKUP($A34,'Raw Data'!$G:$G,'Raw Data'!Z:Z),"")</f>
        <v>13</v>
      </c>
      <c r="O34" s="145">
        <f>IFERROR(1-SUMIF('Plant BD'!$B:$B,$A34,'Plant BD'!$AM:$AM)/($AA34+SUMIF('Plant BD'!$B:$B,$A34,'Plant BD'!$AM:$AM)),"")</f>
        <v>1</v>
      </c>
      <c r="P34" s="145"/>
      <c r="Q34" s="146"/>
      <c r="R34" s="145">
        <f>IFERROR(1-SUMIF('Grid BD'!$B:$B,$A34,'Grid BD'!$AE:$AE)/($AA34+SUMIF('Grid BD'!$B:$B,$A34,'Grid BD'!$AE:$AE)),"")</f>
        <v>0.99347338350048653</v>
      </c>
      <c r="T34" s="146">
        <f>IFERROR(1-SUMIF(Tracker_BD!$H:$H,$A34,Tracker_BD!AI:AI)/$F34,"")</f>
        <v>0.98023652824125573</v>
      </c>
      <c r="U34" s="147">
        <f t="shared" si="1"/>
        <v>0.68095542498274242</v>
      </c>
      <c r="V34" s="147"/>
      <c r="W34" s="148">
        <f t="shared" si="2"/>
        <v>0.22518344709898058</v>
      </c>
      <c r="X34" s="143">
        <f>IFERROR(_xlfn.XLOOKUP($A34,'Raw Data'!$G:$G,'Raw Data'!$AB:$AB),"")</f>
        <v>63373</v>
      </c>
      <c r="Y34" s="143">
        <f>IFERROR(_xlfn.XLOOKUP($A34,'Raw Data'!$G:$G,'Raw Data'!AC:AC),"")</f>
        <v>63522.70000000135</v>
      </c>
      <c r="Z34" s="143">
        <f>IFERROR(_xlfn.XLOOKUP($A34,'Raw Data'!$G:$G,'Raw Data'!AD:AD),"")</f>
        <v>183.10000000008131</v>
      </c>
      <c r="AA34" s="143">
        <f>IFERROR(_xlfn.XLOOKUP($A34,'Raw Data'!$G:$G,'Raw Data'!AE:AE)*(1+(_xlfn.XLOOKUP(Table13[[#This Row],[Month Year]],JMR!$A:$A,JMR!$J:$J))),"")</f>
        <v>63339.600000001272</v>
      </c>
      <c r="AB34" s="143">
        <f>IFERROR(_xlfn.XLOOKUP($A34,'Raw Data'!$G:$G,'Raw Data'!$H:$H),"")</f>
        <v>11.72</v>
      </c>
      <c r="AC34" s="149">
        <f>IFERROR(_xlfn.XLOOKUP($D34,'Modelling New'!$D:$D,'Modelling New'!$P:$P),"")</f>
        <v>7.6186700233333315</v>
      </c>
      <c r="AD34" s="143">
        <f>IFERROR(_xlfn.XLOOKUP($D34,'Modelling New'!$D:$D,'Modelling New'!$T:$T)*1000,"")</f>
        <v>63455.713653610728</v>
      </c>
      <c r="AE34" s="148">
        <f>IFERROR(_xlfn.XLOOKUP($D34,'Modelling New'!$D:$D,'Modelling New'!$O:$O),"")</f>
        <v>0.71066341265888178</v>
      </c>
      <c r="AF34" s="148">
        <f>IFERROR(_xlfn.XLOOKUP($D34,'Modelling New'!$D:$D,'Modelling New'!$W:$W),"")</f>
        <v>0.22559625161266611</v>
      </c>
      <c r="AG34" s="148">
        <f>IFERROR(_xlfn.XLOOKUP($D34,'Modelling New'!$D:$D,'Modelling New'!AE:AE),"")</f>
        <v>0.995</v>
      </c>
      <c r="AH34" s="148">
        <f>IFERROR(_xlfn.XLOOKUP($D34,'Modelling New'!$D:$D,'Modelling New'!AF:AF),"")</f>
        <v>0.98550000000000004</v>
      </c>
      <c r="AN34" s="145"/>
      <c r="AO34" s="148"/>
      <c r="AP34" s="148"/>
      <c r="AQ34" s="148"/>
      <c r="AR34" s="143">
        <f>IFERROR(_xlfn.XLOOKUP($D34,'Modelling New'!$D:$D,'Modelling New'!$N:$N),"")</f>
        <v>11.72</v>
      </c>
      <c r="AT34" s="143">
        <f>IFERROR(_xlfn.XLOOKUP(Table13[[#This Row],[Date]],'Raw Data'!$G:$G,'Raw Data'!$AJ:$AJ),"")</f>
        <v>0</v>
      </c>
      <c r="AU34" s="143">
        <f>IFERROR(_xlfn.XLOOKUP(Table13[[#This Row],[Month Year]],'Modelling New'!$D:$D,'Modelling New'!$AO:$AO),"")</f>
        <v>10</v>
      </c>
      <c r="AV34" s="143"/>
    </row>
    <row r="35" spans="1:48">
      <c r="A35" s="142">
        <f t="shared" si="3"/>
        <v>45778</v>
      </c>
      <c r="B35" s="143">
        <f>YEAR(Table13[[#This Row],[Date]])+IF(MONTH(Table13[[#This Row],[Date]])&gt;=4,1,0)</f>
        <v>2026</v>
      </c>
      <c r="C35" s="116">
        <f>YEAR(Table13[[#This Row],[Date]])</f>
        <v>2025</v>
      </c>
      <c r="D35" s="144">
        <f>Table13[[#This Row],[Date]]-DAY(Table13[[#This Row],[Date]])+1</f>
        <v>45778</v>
      </c>
      <c r="E35" s="116">
        <f t="shared" si="0"/>
        <v>31</v>
      </c>
      <c r="F35" s="117">
        <f>IFERROR(_xlfn.XLOOKUP($A35,'Raw Data'!$G:$G,'Raw Data'!$AH:$AH),"")</f>
        <v>12.350000000000001</v>
      </c>
      <c r="G35" s="118">
        <f>IFERROR(_xlfn.XLOOKUP($A35,'Raw Data'!$G:$G,'Raw Data'!$S:$S)/1000,"")</f>
        <v>0</v>
      </c>
      <c r="H35" s="118"/>
      <c r="I35" s="118">
        <f>IFERROR(_xlfn.XLOOKUP($A35,'Raw Data'!$G:$G,'Raw Data'!$AF:$AF)/1000,"")</f>
        <v>7.3975</v>
      </c>
      <c r="J35" s="118"/>
      <c r="K35" s="118">
        <f>IFERROR(_xlfn.XLOOKUP($A35,'Raw Data'!$G:$G,'Raw Data'!W:W),"")</f>
        <v>24</v>
      </c>
      <c r="L35" s="118">
        <f>IFERROR(_xlfn.XLOOKUP($A35,'Raw Data'!$G:$G,'Raw Data'!X:X),"")</f>
        <v>48</v>
      </c>
      <c r="M35" s="118">
        <f>IFERROR(_xlfn.XLOOKUP($A35,'Raw Data'!$G:$G,'Raw Data'!Y:Y),"")</f>
        <v>5</v>
      </c>
      <c r="N35" s="118">
        <f>IFERROR(_xlfn.XLOOKUP($A35,'Raw Data'!$G:$G,'Raw Data'!Z:Z),"")</f>
        <v>8</v>
      </c>
      <c r="O35" s="145">
        <f>IFERROR(1-SUMIF('Plant BD'!$B:$B,$A35,'Plant BD'!$AM:$AM)/($AA35+SUMIF('Plant BD'!$B:$B,$A35,'Plant BD'!$AM:$AM)),"")</f>
        <v>1</v>
      </c>
      <c r="P35" s="145"/>
      <c r="Q35" s="146"/>
      <c r="R35" s="145">
        <f>IFERROR(1-SUMIF('Grid BD'!$B:$B,$A35,'Grid BD'!$AE:$AE)/($AA35+SUMIF('Grid BD'!$B:$B,$A35,'Grid BD'!$AE:$AE)),"")</f>
        <v>1</v>
      </c>
      <c r="T35" s="146">
        <f>IFERROR(1-SUMIF(Tracker_BD!$H:$H,$A35,Tracker_BD!AI:AI)/$F35,"")</f>
        <v>0.9802379511998387</v>
      </c>
      <c r="U35" s="147">
        <f t="shared" si="1"/>
        <v>0.69094922991920715</v>
      </c>
      <c r="V35" s="147"/>
      <c r="W35" s="148">
        <f t="shared" si="2"/>
        <v>0.21297070534697227</v>
      </c>
      <c r="X35" s="143">
        <f>IFERROR(_xlfn.XLOOKUP($A35,'Raw Data'!$G:$G,'Raw Data'!$AB:$AB),"")</f>
        <v>60169</v>
      </c>
      <c r="Y35" s="143">
        <f>IFERROR(_xlfn.XLOOKUP($A35,'Raw Data'!$G:$G,'Raw Data'!AC:AC),"")</f>
        <v>60099.799999996321</v>
      </c>
      <c r="Z35" s="143">
        <f>IFERROR(_xlfn.XLOOKUP($A35,'Raw Data'!$G:$G,'Raw Data'!AD:AD),"")</f>
        <v>195.39999999994961</v>
      </c>
      <c r="AA35" s="143">
        <f>IFERROR(_xlfn.XLOOKUP($A35,'Raw Data'!$G:$G,'Raw Data'!AE:AE)*(1+(_xlfn.XLOOKUP(Table13[[#This Row],[Month Year]],JMR!$A:$A,JMR!$J:$J))),"")</f>
        <v>59904.399999996371</v>
      </c>
      <c r="AB35" s="143">
        <f>IFERROR(_xlfn.XLOOKUP($A35,'Raw Data'!$G:$G,'Raw Data'!$H:$H),"")</f>
        <v>11.72</v>
      </c>
      <c r="AC35" s="149">
        <f>IFERROR(_xlfn.XLOOKUP($D35,'Modelling New'!$D:$D,'Modelling New'!$P:$P),"")</f>
        <v>7.6437019903225805</v>
      </c>
      <c r="AD35" s="143">
        <f>IFERROR(_xlfn.XLOOKUP($D35,'Modelling New'!$D:$D,'Modelling New'!$T:$T)*1000,"")</f>
        <v>65538.17192485639</v>
      </c>
      <c r="AE35" s="148">
        <f>IFERROR(_xlfn.XLOOKUP($D35,'Modelling New'!$D:$D,'Modelling New'!$O:$O),"")</f>
        <v>0.73158192177304548</v>
      </c>
      <c r="AF35" s="148">
        <f>IFERROR(_xlfn.XLOOKUP($D35,'Modelling New'!$D:$D,'Modelling New'!$W:$W),"")</f>
        <v>0.23299975798086028</v>
      </c>
      <c r="AG35" s="148">
        <f>IFERROR(_xlfn.XLOOKUP($D35,'Modelling New'!$D:$D,'Modelling New'!AE:AE),"")</f>
        <v>0.995</v>
      </c>
      <c r="AH35" s="148">
        <f>IFERROR(_xlfn.XLOOKUP($D35,'Modelling New'!$D:$D,'Modelling New'!AF:AF),"")</f>
        <v>0.98550000000000004</v>
      </c>
      <c r="AN35" s="145"/>
      <c r="AO35" s="148"/>
      <c r="AP35" s="148"/>
      <c r="AQ35" s="148"/>
      <c r="AR35" s="143">
        <f>IFERROR(_xlfn.XLOOKUP($D35,'Modelling New'!$D:$D,'Modelling New'!$N:$N),"")</f>
        <v>11.72</v>
      </c>
      <c r="AT35" s="143">
        <f>IFERROR(_xlfn.XLOOKUP(Table13[[#This Row],[Date]],'Raw Data'!$G:$G,'Raw Data'!$AJ:$AJ),"")</f>
        <v>0</v>
      </c>
      <c r="AU35" s="143">
        <f>IFERROR(_xlfn.XLOOKUP(Table13[[#This Row],[Month Year]],'Modelling New'!$D:$D,'Modelling New'!$AO:$AO),"")</f>
        <v>10</v>
      </c>
      <c r="AV35" s="143"/>
    </row>
    <row r="36" spans="1:48">
      <c r="A36" s="142">
        <f t="shared" si="3"/>
        <v>45779</v>
      </c>
      <c r="B36" s="143">
        <f>YEAR(Table13[[#This Row],[Date]])+IF(MONTH(Table13[[#This Row],[Date]])&gt;=4,1,0)</f>
        <v>2026</v>
      </c>
      <c r="C36" s="116">
        <f>YEAR(Table13[[#This Row],[Date]])</f>
        <v>2025</v>
      </c>
      <c r="D36" s="144">
        <f>Table13[[#This Row],[Date]]-DAY(Table13[[#This Row],[Date]])+1</f>
        <v>45778</v>
      </c>
      <c r="E36" s="116">
        <f t="shared" si="0"/>
        <v>31</v>
      </c>
      <c r="F36" s="117">
        <f>IFERROR(_xlfn.XLOOKUP($A36,'Raw Data'!$G:$G,'Raw Data'!$AH:$AH),"")</f>
        <v>12.133333333333333</v>
      </c>
      <c r="G36" s="118">
        <f>IFERROR(_xlfn.XLOOKUP($A36,'Raw Data'!$G:$G,'Raw Data'!$S:$S)/1000,"")</f>
        <v>0</v>
      </c>
      <c r="H36" s="118"/>
      <c r="I36" s="118">
        <f>IFERROR(_xlfn.XLOOKUP($A36,'Raw Data'!$G:$G,'Raw Data'!$AF:$AF)/1000,"")</f>
        <v>7.258</v>
      </c>
      <c r="J36" s="118"/>
      <c r="K36" s="118">
        <f>IFERROR(_xlfn.XLOOKUP($A36,'Raw Data'!$G:$G,'Raw Data'!W:W),"")</f>
        <v>24</v>
      </c>
      <c r="L36" s="118">
        <f>IFERROR(_xlfn.XLOOKUP($A36,'Raw Data'!$G:$G,'Raw Data'!X:X),"")</f>
        <v>48</v>
      </c>
      <c r="M36" s="118">
        <f>IFERROR(_xlfn.XLOOKUP($A36,'Raw Data'!$G:$G,'Raw Data'!Y:Y),"")</f>
        <v>4</v>
      </c>
      <c r="N36" s="118">
        <f>IFERROR(_xlfn.XLOOKUP($A36,'Raw Data'!$G:$G,'Raw Data'!Z:Z),"")</f>
        <v>7</v>
      </c>
      <c r="O36" s="145">
        <f>IFERROR(1-SUMIF('Plant BD'!$B:$B,$A36,'Plant BD'!$AM:$AM)/($AA36+SUMIF('Plant BD'!$B:$B,$A36,'Plant BD'!$AM:$AM)),"")</f>
        <v>1</v>
      </c>
      <c r="P36" s="145"/>
      <c r="Q36" s="146"/>
      <c r="R36" s="145">
        <f>IFERROR(1-SUMIF('Grid BD'!$B:$B,$A36,'Grid BD'!$AE:$AE)/($AA36+SUMIF('Grid BD'!$B:$B,$A36,'Grid BD'!$AE:$AE)),"")</f>
        <v>1</v>
      </c>
      <c r="T36" s="146">
        <f>IFERROR(1-SUMIF(Tracker_BD!$H:$H,$A36,Tracker_BD!AI:AI)/$F36,"")</f>
        <v>0.98586901604142985</v>
      </c>
      <c r="U36" s="147">
        <f t="shared" si="1"/>
        <v>0.69621540359851197</v>
      </c>
      <c r="V36" s="147"/>
      <c r="W36" s="148">
        <f t="shared" si="2"/>
        <v>0.21054714163824997</v>
      </c>
      <c r="X36" s="143">
        <f>IFERROR(_xlfn.XLOOKUP($A36,'Raw Data'!$G:$G,'Raw Data'!$AB:$AB),"")</f>
        <v>59459</v>
      </c>
      <c r="Y36" s="143">
        <f>IFERROR(_xlfn.XLOOKUP($A36,'Raw Data'!$G:$G,'Raw Data'!AC:AC),"")</f>
        <v>59411.300000007031</v>
      </c>
      <c r="Z36" s="143">
        <f>IFERROR(_xlfn.XLOOKUP($A36,'Raw Data'!$G:$G,'Raw Data'!AD:AD),"")</f>
        <v>188.60000000006494</v>
      </c>
      <c r="AA36" s="143">
        <f>IFERROR(_xlfn.XLOOKUP($A36,'Raw Data'!$G:$G,'Raw Data'!AE:AE)*(1+(_xlfn.XLOOKUP(Table13[[#This Row],[Month Year]],JMR!$A:$A,JMR!$J:$J))),"")</f>
        <v>59222.700000006967</v>
      </c>
      <c r="AB36" s="143">
        <f>IFERROR(_xlfn.XLOOKUP($A36,'Raw Data'!$G:$G,'Raw Data'!$H:$H),"")</f>
        <v>11.72</v>
      </c>
      <c r="AC36" s="149">
        <f>IFERROR(_xlfn.XLOOKUP($D36,'Modelling New'!$D:$D,'Modelling New'!$P:$P),"")</f>
        <v>7.6437019903225805</v>
      </c>
      <c r="AD36" s="143">
        <f>IFERROR(_xlfn.XLOOKUP($D36,'Modelling New'!$D:$D,'Modelling New'!$T:$T)*1000,"")</f>
        <v>65538.17192485639</v>
      </c>
      <c r="AE36" s="148">
        <f>IFERROR(_xlfn.XLOOKUP($D36,'Modelling New'!$D:$D,'Modelling New'!$O:$O),"")</f>
        <v>0.73158192177304548</v>
      </c>
      <c r="AF36" s="148">
        <f>IFERROR(_xlfn.XLOOKUP($D36,'Modelling New'!$D:$D,'Modelling New'!$W:$W),"")</f>
        <v>0.23299975798086028</v>
      </c>
      <c r="AG36" s="148">
        <f>IFERROR(_xlfn.XLOOKUP($D36,'Modelling New'!$D:$D,'Modelling New'!AE:AE),"")</f>
        <v>0.995</v>
      </c>
      <c r="AH36" s="148">
        <f>IFERROR(_xlfn.XLOOKUP($D36,'Modelling New'!$D:$D,'Modelling New'!AF:AF),"")</f>
        <v>0.98550000000000004</v>
      </c>
      <c r="AN36" s="145"/>
      <c r="AO36" s="148"/>
      <c r="AP36" s="148"/>
      <c r="AQ36" s="148"/>
      <c r="AR36" s="143">
        <f>IFERROR(_xlfn.XLOOKUP($D36,'Modelling New'!$D:$D,'Modelling New'!$N:$N),"")</f>
        <v>11.72</v>
      </c>
      <c r="AT36" s="143">
        <f>IFERROR(_xlfn.XLOOKUP(Table13[[#This Row],[Date]],'Raw Data'!$G:$G,'Raw Data'!$AJ:$AJ),"")</f>
        <v>0</v>
      </c>
      <c r="AU36" s="143">
        <f>IFERROR(_xlfn.XLOOKUP(Table13[[#This Row],[Month Year]],'Modelling New'!$D:$D,'Modelling New'!$AO:$AO),"")</f>
        <v>10</v>
      </c>
      <c r="AV36" s="143"/>
    </row>
    <row r="37" spans="1:48">
      <c r="A37" s="142">
        <f t="shared" si="3"/>
        <v>45780</v>
      </c>
      <c r="B37" s="143">
        <f>YEAR(Table13[[#This Row],[Date]])+IF(MONTH(Table13[[#This Row],[Date]])&gt;=4,1,0)</f>
        <v>2026</v>
      </c>
      <c r="C37" s="116">
        <f>YEAR(Table13[[#This Row],[Date]])</f>
        <v>2025</v>
      </c>
      <c r="D37" s="144">
        <f>Table13[[#This Row],[Date]]-DAY(Table13[[#This Row],[Date]])+1</f>
        <v>45778</v>
      </c>
      <c r="E37" s="116">
        <f t="shared" si="0"/>
        <v>31</v>
      </c>
      <c r="F37" s="117">
        <f>IFERROR(_xlfn.XLOOKUP($A37,'Raw Data'!$G:$G,'Raw Data'!$AH:$AH),"")</f>
        <v>12.366666666666667</v>
      </c>
      <c r="G37" s="118">
        <f>IFERROR(_xlfn.XLOOKUP($A37,'Raw Data'!$G:$G,'Raw Data'!$S:$S)/1000,"")</f>
        <v>0</v>
      </c>
      <c r="H37" s="118"/>
      <c r="I37" s="118">
        <f>IFERROR(_xlfn.XLOOKUP($A37,'Raw Data'!$G:$G,'Raw Data'!$AF:$AF)/1000,"")</f>
        <v>7.8479999999999999</v>
      </c>
      <c r="J37" s="118"/>
      <c r="K37" s="118">
        <f>IFERROR(_xlfn.XLOOKUP($A37,'Raw Data'!$G:$G,'Raw Data'!W:W),"")</f>
        <v>24</v>
      </c>
      <c r="L37" s="118">
        <f>IFERROR(_xlfn.XLOOKUP($A37,'Raw Data'!$G:$G,'Raw Data'!X:X),"")</f>
        <v>48.7</v>
      </c>
      <c r="M37" s="118">
        <f>IFERROR(_xlfn.XLOOKUP($A37,'Raw Data'!$G:$G,'Raw Data'!Y:Y),"")</f>
        <v>4.7</v>
      </c>
      <c r="N37" s="118">
        <f>IFERROR(_xlfn.XLOOKUP($A37,'Raw Data'!$G:$G,'Raw Data'!Z:Z),"")</f>
        <v>7</v>
      </c>
      <c r="O37" s="145">
        <f>IFERROR(1-SUMIF('Plant BD'!$B:$B,$A37,'Plant BD'!$AM:$AM)/($AA37+SUMIF('Plant BD'!$B:$B,$A37,'Plant BD'!$AM:$AM)),"")</f>
        <v>1</v>
      </c>
      <c r="P37" s="145"/>
      <c r="Q37" s="146"/>
      <c r="R37" s="145">
        <f>IFERROR(1-SUMIF('Grid BD'!$B:$B,$A37,'Grid BD'!$AE:$AE)/($AA37+SUMIF('Grid BD'!$B:$B,$A37,'Grid BD'!$AE:$AE)),"")</f>
        <v>1</v>
      </c>
      <c r="T37" s="146">
        <f>IFERROR(1-SUMIF(Tracker_BD!$H:$H,$A37,Tracker_BD!AI:AI)/$F37,"")</f>
        <v>0.98588391114415841</v>
      </c>
      <c r="U37" s="147">
        <f t="shared" si="1"/>
        <v>0.69607199764807914</v>
      </c>
      <c r="V37" s="147"/>
      <c r="W37" s="148">
        <f t="shared" si="2"/>
        <v>0.22761554323092184</v>
      </c>
      <c r="X37" s="143">
        <f>IFERROR(_xlfn.XLOOKUP($A37,'Raw Data'!$G:$G,'Raw Data'!$AB:$AB),"")</f>
        <v>64273</v>
      </c>
      <c r="Y37" s="143">
        <f>IFERROR(_xlfn.XLOOKUP($A37,'Raw Data'!$G:$G,'Raw Data'!AC:AC),"")</f>
        <v>64193.799999993644</v>
      </c>
      <c r="Z37" s="143">
        <f>IFERROR(_xlfn.XLOOKUP($A37,'Raw Data'!$G:$G,'Raw Data'!AD:AD),"")</f>
        <v>170.09999999993397</v>
      </c>
      <c r="AA37" s="143">
        <f>IFERROR(_xlfn.XLOOKUP($A37,'Raw Data'!$G:$G,'Raw Data'!AE:AE)*(1+(_xlfn.XLOOKUP(Table13[[#This Row],[Month Year]],JMR!$A:$A,JMR!$J:$J))),"")</f>
        <v>64023.699999993711</v>
      </c>
      <c r="AB37" s="143">
        <f>IFERROR(_xlfn.XLOOKUP($A37,'Raw Data'!$G:$G,'Raw Data'!$H:$H),"")</f>
        <v>11.72</v>
      </c>
      <c r="AC37" s="149">
        <f>IFERROR(_xlfn.XLOOKUP($D37,'Modelling New'!$D:$D,'Modelling New'!$P:$P),"")</f>
        <v>7.6437019903225805</v>
      </c>
      <c r="AD37" s="143">
        <f>IFERROR(_xlfn.XLOOKUP($D37,'Modelling New'!$D:$D,'Modelling New'!$T:$T)*1000,"")</f>
        <v>65538.17192485639</v>
      </c>
      <c r="AE37" s="148">
        <f>IFERROR(_xlfn.XLOOKUP($D37,'Modelling New'!$D:$D,'Modelling New'!$O:$O),"")</f>
        <v>0.73158192177304548</v>
      </c>
      <c r="AF37" s="148">
        <f>IFERROR(_xlfn.XLOOKUP($D37,'Modelling New'!$D:$D,'Modelling New'!$W:$W),"")</f>
        <v>0.23299975798086028</v>
      </c>
      <c r="AG37" s="148">
        <f>IFERROR(_xlfn.XLOOKUP($D37,'Modelling New'!$D:$D,'Modelling New'!AE:AE),"")</f>
        <v>0.995</v>
      </c>
      <c r="AH37" s="148">
        <f>IFERROR(_xlfn.XLOOKUP($D37,'Modelling New'!$D:$D,'Modelling New'!AF:AF),"")</f>
        <v>0.98550000000000004</v>
      </c>
      <c r="AN37" s="145"/>
      <c r="AO37" s="148"/>
      <c r="AP37" s="148"/>
      <c r="AQ37" s="148"/>
      <c r="AR37" s="143">
        <f>IFERROR(_xlfn.XLOOKUP($D37,'Modelling New'!$D:$D,'Modelling New'!$N:$N),"")</f>
        <v>11.72</v>
      </c>
      <c r="AT37" s="143">
        <f>IFERROR(_xlfn.XLOOKUP(Table13[[#This Row],[Date]],'Raw Data'!$G:$G,'Raw Data'!$AJ:$AJ),"")</f>
        <v>0</v>
      </c>
      <c r="AU37" s="143">
        <f>IFERROR(_xlfn.XLOOKUP(Table13[[#This Row],[Month Year]],'Modelling New'!$D:$D,'Modelling New'!$AO:$AO),"")</f>
        <v>10</v>
      </c>
      <c r="AV37" s="143"/>
    </row>
    <row r="38" spans="1:48">
      <c r="A38" s="142">
        <f t="shared" si="3"/>
        <v>45781</v>
      </c>
      <c r="B38" s="143">
        <f>YEAR(Table13[[#This Row],[Date]])+IF(MONTH(Table13[[#This Row],[Date]])&gt;=4,1,0)</f>
        <v>2026</v>
      </c>
      <c r="C38" s="116">
        <f>YEAR(Table13[[#This Row],[Date]])</f>
        <v>2025</v>
      </c>
      <c r="D38" s="144">
        <f>Table13[[#This Row],[Date]]-DAY(Table13[[#This Row],[Date]])+1</f>
        <v>45778</v>
      </c>
      <c r="E38" s="116">
        <f t="shared" si="0"/>
        <v>31</v>
      </c>
      <c r="F38" s="117">
        <f>IFERROR(_xlfn.XLOOKUP($A38,'Raw Data'!$G:$G,'Raw Data'!$AH:$AH),"")</f>
        <v>12.433333333333334</v>
      </c>
      <c r="G38" s="118">
        <f>IFERROR(_xlfn.XLOOKUP($A38,'Raw Data'!$G:$G,'Raw Data'!$S:$S)/1000,"")</f>
        <v>0</v>
      </c>
      <c r="H38" s="118"/>
      <c r="I38" s="118">
        <f>IFERROR(_xlfn.XLOOKUP($A38,'Raw Data'!$G:$G,'Raw Data'!$AF:$AF)/1000,"")</f>
        <v>8.3239999999999998</v>
      </c>
      <c r="J38" s="118"/>
      <c r="K38" s="118">
        <f>IFERROR(_xlfn.XLOOKUP($A38,'Raw Data'!$G:$G,'Raw Data'!W:W),"")</f>
        <v>24</v>
      </c>
      <c r="L38" s="118">
        <f>IFERROR(_xlfn.XLOOKUP($A38,'Raw Data'!$G:$G,'Raw Data'!X:X),"")</f>
        <v>49</v>
      </c>
      <c r="M38" s="118">
        <f>IFERROR(_xlfn.XLOOKUP($A38,'Raw Data'!$G:$G,'Raw Data'!Y:Y),"")</f>
        <v>2</v>
      </c>
      <c r="N38" s="118">
        <f>IFERROR(_xlfn.XLOOKUP($A38,'Raw Data'!$G:$G,'Raw Data'!Z:Z),"")</f>
        <v>4</v>
      </c>
      <c r="O38" s="145">
        <f>IFERROR(1-SUMIF('Plant BD'!$B:$B,$A38,'Plant BD'!$AM:$AM)/($AA38+SUMIF('Plant BD'!$B:$B,$A38,'Plant BD'!$AM:$AM)),"")</f>
        <v>1</v>
      </c>
      <c r="P38" s="145"/>
      <c r="Q38" s="146"/>
      <c r="R38" s="145">
        <f>IFERROR(1-SUMIF('Grid BD'!$B:$B,$A38,'Grid BD'!$AE:$AE)/($AA38+SUMIF('Grid BD'!$B:$B,$A38,'Grid BD'!$AE:$AE)),"")</f>
        <v>1</v>
      </c>
      <c r="T38" s="146">
        <f>IFERROR(1-SUMIF(Tracker_BD!$H:$H,$A38,Tracker_BD!AI:AI)/$F38,"")</f>
        <v>0.98595960062864008</v>
      </c>
      <c r="U38" s="147">
        <f t="shared" si="1"/>
        <v>0.6824708519958973</v>
      </c>
      <c r="V38" s="147"/>
      <c r="W38" s="148">
        <f t="shared" si="2"/>
        <v>0.23670364050057702</v>
      </c>
      <c r="X38" s="143">
        <f>IFERROR(_xlfn.XLOOKUP($A38,'Raw Data'!$G:$G,'Raw Data'!$AB:$AB),"")</f>
        <v>66804</v>
      </c>
      <c r="Y38" s="143">
        <f>IFERROR(_xlfn.XLOOKUP($A38,'Raw Data'!$G:$G,'Raw Data'!AC:AC),"")</f>
        <v>66766.900000002352</v>
      </c>
      <c r="Z38" s="143">
        <f>IFERROR(_xlfn.XLOOKUP($A38,'Raw Data'!$G:$G,'Raw Data'!AD:AD),"")</f>
        <v>186.90000000003693</v>
      </c>
      <c r="AA38" s="143">
        <f>IFERROR(_xlfn.XLOOKUP($A38,'Raw Data'!$G:$G,'Raw Data'!AE:AE)*(1+(_xlfn.XLOOKUP(Table13[[#This Row],[Month Year]],JMR!$A:$A,JMR!$J:$J))),"")</f>
        <v>66580.000000002314</v>
      </c>
      <c r="AB38" s="143">
        <f>IFERROR(_xlfn.XLOOKUP($A38,'Raw Data'!$G:$G,'Raw Data'!$H:$H),"")</f>
        <v>11.72</v>
      </c>
      <c r="AC38" s="149">
        <f>IFERROR(_xlfn.XLOOKUP($D38,'Modelling New'!$D:$D,'Modelling New'!$P:$P),"")</f>
        <v>7.6437019903225805</v>
      </c>
      <c r="AD38" s="143">
        <f>IFERROR(_xlfn.XLOOKUP($D38,'Modelling New'!$D:$D,'Modelling New'!$T:$T)*1000,"")</f>
        <v>65538.17192485639</v>
      </c>
      <c r="AE38" s="148">
        <f>IFERROR(_xlfn.XLOOKUP($D38,'Modelling New'!$D:$D,'Modelling New'!$O:$O),"")</f>
        <v>0.73158192177304548</v>
      </c>
      <c r="AF38" s="148">
        <f>IFERROR(_xlfn.XLOOKUP($D38,'Modelling New'!$D:$D,'Modelling New'!$W:$W),"")</f>
        <v>0.23299975798086028</v>
      </c>
      <c r="AG38" s="148">
        <f>IFERROR(_xlfn.XLOOKUP($D38,'Modelling New'!$D:$D,'Modelling New'!AE:AE),"")</f>
        <v>0.995</v>
      </c>
      <c r="AH38" s="148">
        <f>IFERROR(_xlfn.XLOOKUP($D38,'Modelling New'!$D:$D,'Modelling New'!AF:AF),"")</f>
        <v>0.98550000000000004</v>
      </c>
      <c r="AN38" s="145"/>
      <c r="AO38" s="148"/>
      <c r="AP38" s="148"/>
      <c r="AQ38" s="148"/>
      <c r="AR38" s="143">
        <f>IFERROR(_xlfn.XLOOKUP($D38,'Modelling New'!$D:$D,'Modelling New'!$N:$N),"")</f>
        <v>11.72</v>
      </c>
      <c r="AT38" s="143">
        <f>IFERROR(_xlfn.XLOOKUP(Table13[[#This Row],[Date]],'Raw Data'!$G:$G,'Raw Data'!$AJ:$AJ),"")</f>
        <v>0</v>
      </c>
      <c r="AU38" s="143">
        <f>IFERROR(_xlfn.XLOOKUP(Table13[[#This Row],[Month Year]],'Modelling New'!$D:$D,'Modelling New'!$AO:$AO),"")</f>
        <v>10</v>
      </c>
      <c r="AV38" s="143"/>
    </row>
    <row r="39" spans="1:48">
      <c r="A39" s="142">
        <f t="shared" si="3"/>
        <v>45782</v>
      </c>
      <c r="B39" s="143">
        <f>YEAR(Table13[[#This Row],[Date]])+IF(MONTH(Table13[[#This Row],[Date]])&gt;=4,1,0)</f>
        <v>2026</v>
      </c>
      <c r="C39" s="116">
        <f>YEAR(Table13[[#This Row],[Date]])</f>
        <v>2025</v>
      </c>
      <c r="D39" s="144">
        <f>Table13[[#This Row],[Date]]-DAY(Table13[[#This Row],[Date]])+1</f>
        <v>45778</v>
      </c>
      <c r="E39" s="116">
        <f t="shared" si="0"/>
        <v>31</v>
      </c>
      <c r="F39" s="117">
        <f>IFERROR(_xlfn.XLOOKUP($A39,'Raw Data'!$G:$G,'Raw Data'!$AH:$AH),"")</f>
        <v>12.466666666666669</v>
      </c>
      <c r="G39" s="118">
        <f>IFERROR(_xlfn.XLOOKUP($A39,'Raw Data'!$G:$G,'Raw Data'!$S:$S)/1000,"")</f>
        <v>0</v>
      </c>
      <c r="H39" s="118"/>
      <c r="I39" s="118">
        <f>IFERROR(_xlfn.XLOOKUP($A39,'Raw Data'!$G:$G,'Raw Data'!$AF:$AF)/1000,"")</f>
        <v>8.1690000000000005</v>
      </c>
      <c r="J39" s="118"/>
      <c r="K39" s="118">
        <f>IFERROR(_xlfn.XLOOKUP($A39,'Raw Data'!$G:$G,'Raw Data'!W:W),"")</f>
        <v>24</v>
      </c>
      <c r="L39" s="118">
        <f>IFERROR(_xlfn.XLOOKUP($A39,'Raw Data'!$G:$G,'Raw Data'!X:X),"")</f>
        <v>53</v>
      </c>
      <c r="M39" s="118">
        <f>IFERROR(_xlfn.XLOOKUP($A39,'Raw Data'!$G:$G,'Raw Data'!Y:Y),"")</f>
        <v>2</v>
      </c>
      <c r="N39" s="118">
        <f>IFERROR(_xlfn.XLOOKUP($A39,'Raw Data'!$G:$G,'Raw Data'!Z:Z),"")</f>
        <v>7</v>
      </c>
      <c r="O39" s="145">
        <f>IFERROR(1-SUMIF('Plant BD'!$B:$B,$A39,'Plant BD'!$AM:$AM)/($AA39+SUMIF('Plant BD'!$B:$B,$A39,'Plant BD'!$AM:$AM)),"")</f>
        <v>1</v>
      </c>
      <c r="P39" s="145"/>
      <c r="Q39" s="146"/>
      <c r="R39" s="145">
        <f>IFERROR(1-SUMIF('Grid BD'!$B:$B,$A39,'Grid BD'!$AE:$AE)/($AA39+SUMIF('Grid BD'!$B:$B,$A39,'Grid BD'!$AE:$AE)),"")</f>
        <v>0.99143114853303138</v>
      </c>
      <c r="T39" s="146">
        <f>IFERROR(1-SUMIF(Tracker_BD!$H:$H,$A39,Tracker_BD!AI:AI)/$F39,"")</f>
        <v>0.96783145860224962</v>
      </c>
      <c r="U39" s="147">
        <f t="shared" si="1"/>
        <v>0.67296576544055831</v>
      </c>
      <c r="V39" s="147"/>
      <c r="W39" s="148">
        <f t="shared" si="2"/>
        <v>0.22906072241183001</v>
      </c>
      <c r="X39" s="143">
        <f>IFERROR(_xlfn.XLOOKUP($A39,'Raw Data'!$G:$G,'Raw Data'!$AB:$AB),"")</f>
        <v>64581</v>
      </c>
      <c r="Y39" s="143">
        <f>IFERROR(_xlfn.XLOOKUP($A39,'Raw Data'!$G:$G,'Raw Data'!AC:AC),"")</f>
        <v>64601.399999999558</v>
      </c>
      <c r="Z39" s="143">
        <f>IFERROR(_xlfn.XLOOKUP($A39,'Raw Data'!$G:$G,'Raw Data'!AD:AD),"")</f>
        <v>171.19999999999891</v>
      </c>
      <c r="AA39" s="143">
        <f>IFERROR(_xlfn.XLOOKUP($A39,'Raw Data'!$G:$G,'Raw Data'!AE:AE)*(1+(_xlfn.XLOOKUP(Table13[[#This Row],[Month Year]],JMR!$A:$A,JMR!$J:$J))),"")</f>
        <v>64430.199999999561</v>
      </c>
      <c r="AB39" s="143">
        <f>IFERROR(_xlfn.XLOOKUP($A39,'Raw Data'!$G:$G,'Raw Data'!$H:$H),"")</f>
        <v>11.72</v>
      </c>
      <c r="AC39" s="149">
        <f>IFERROR(_xlfn.XLOOKUP($D39,'Modelling New'!$D:$D,'Modelling New'!$P:$P),"")</f>
        <v>7.6437019903225805</v>
      </c>
      <c r="AD39" s="143">
        <f>IFERROR(_xlfn.XLOOKUP($D39,'Modelling New'!$D:$D,'Modelling New'!$T:$T)*1000,"")</f>
        <v>65538.17192485639</v>
      </c>
      <c r="AE39" s="148">
        <f>IFERROR(_xlfn.XLOOKUP($D39,'Modelling New'!$D:$D,'Modelling New'!$O:$O),"")</f>
        <v>0.73158192177304548</v>
      </c>
      <c r="AF39" s="148">
        <f>IFERROR(_xlfn.XLOOKUP($D39,'Modelling New'!$D:$D,'Modelling New'!$W:$W),"")</f>
        <v>0.23299975798086028</v>
      </c>
      <c r="AG39" s="148">
        <f>IFERROR(_xlfn.XLOOKUP($D39,'Modelling New'!$D:$D,'Modelling New'!AE:AE),"")</f>
        <v>0.995</v>
      </c>
      <c r="AH39" s="148">
        <f>IFERROR(_xlfn.XLOOKUP($D39,'Modelling New'!$D:$D,'Modelling New'!AF:AF),"")</f>
        <v>0.98550000000000004</v>
      </c>
      <c r="AN39" s="145"/>
      <c r="AO39" s="148"/>
      <c r="AP39" s="148"/>
      <c r="AQ39" s="148"/>
      <c r="AR39" s="143">
        <f>IFERROR(_xlfn.XLOOKUP($D39,'Modelling New'!$D:$D,'Modelling New'!$N:$N),"")</f>
        <v>11.72</v>
      </c>
      <c r="AT39" s="143">
        <f>IFERROR(_xlfn.XLOOKUP(Table13[[#This Row],[Date]],'Raw Data'!$G:$G,'Raw Data'!$AJ:$AJ),"")</f>
        <v>0</v>
      </c>
      <c r="AU39" s="143">
        <f>IFERROR(_xlfn.XLOOKUP(Table13[[#This Row],[Month Year]],'Modelling New'!$D:$D,'Modelling New'!$AO:$AO),"")</f>
        <v>10</v>
      </c>
      <c r="AV39" s="143"/>
    </row>
    <row r="40" spans="1:48">
      <c r="A40" s="142">
        <f t="shared" si="3"/>
        <v>45783</v>
      </c>
      <c r="B40" s="143">
        <f>YEAR(Table13[[#This Row],[Date]])+IF(MONTH(Table13[[#This Row],[Date]])&gt;=4,1,0)</f>
        <v>2026</v>
      </c>
      <c r="C40" s="116">
        <f>YEAR(Table13[[#This Row],[Date]])</f>
        <v>2025</v>
      </c>
      <c r="D40" s="144">
        <f>Table13[[#This Row],[Date]]-DAY(Table13[[#This Row],[Date]])+1</f>
        <v>45778</v>
      </c>
      <c r="E40" s="116">
        <f t="shared" si="0"/>
        <v>31</v>
      </c>
      <c r="F40" s="117">
        <f>IFERROR(_xlfn.XLOOKUP($A40,'Raw Data'!$G:$G,'Raw Data'!$AH:$AH),"")</f>
        <v>12.133333333333333</v>
      </c>
      <c r="G40" s="118">
        <f>IFERROR(_xlfn.XLOOKUP($A40,'Raw Data'!$G:$G,'Raw Data'!$S:$S)/1000,"")</f>
        <v>0</v>
      </c>
      <c r="H40" s="118"/>
      <c r="I40" s="118">
        <f>IFERROR(_xlfn.XLOOKUP($A40,'Raw Data'!$G:$G,'Raw Data'!$AF:$AF)/1000,"")</f>
        <v>7.4390000000000001</v>
      </c>
      <c r="J40" s="118"/>
      <c r="K40" s="118">
        <f>IFERROR(_xlfn.XLOOKUP($A40,'Raw Data'!$G:$G,'Raw Data'!W:W),"")</f>
        <v>24</v>
      </c>
      <c r="L40" s="118">
        <f>IFERROR(_xlfn.XLOOKUP($A40,'Raw Data'!$G:$G,'Raw Data'!X:X),"")</f>
        <v>48</v>
      </c>
      <c r="M40" s="118">
        <f>IFERROR(_xlfn.XLOOKUP($A40,'Raw Data'!$G:$G,'Raw Data'!Y:Y),"")</f>
        <v>3</v>
      </c>
      <c r="N40" s="118">
        <f>IFERROR(_xlfn.XLOOKUP($A40,'Raw Data'!$G:$G,'Raw Data'!Z:Z),"")</f>
        <v>5</v>
      </c>
      <c r="O40" s="145">
        <f>IFERROR(1-SUMIF('Plant BD'!$B:$B,$A40,'Plant BD'!$AM:$AM)/($AA40+SUMIF('Plant BD'!$B:$B,$A40,'Plant BD'!$AM:$AM)),"")</f>
        <v>0.45275174104311566</v>
      </c>
      <c r="P40" s="145"/>
      <c r="Q40" s="146"/>
      <c r="R40" s="145">
        <f>IFERROR(1-SUMIF('Grid BD'!$B:$B,$A40,'Grid BD'!$AE:$AE)/($AA40+SUMIF('Grid BD'!$B:$B,$A40,'Grid BD'!$AE:$AE)),"")</f>
        <v>1</v>
      </c>
      <c r="T40" s="146">
        <f>IFERROR(1-SUMIF(Tracker_BD!$H:$H,$A40,Tracker_BD!AI:AI)/$F40,"")</f>
        <v>0.98588875205254511</v>
      </c>
      <c r="U40" s="147">
        <f t="shared" si="1"/>
        <v>0.70116125373741756</v>
      </c>
      <c r="V40" s="147"/>
      <c r="W40" s="148">
        <f t="shared" si="2"/>
        <v>0.21733077360636038</v>
      </c>
      <c r="X40" s="143">
        <f>IFERROR(_xlfn.XLOOKUP($A40,'Raw Data'!$G:$G,'Raw Data'!$AB:$AB),"")</f>
        <v>61433</v>
      </c>
      <c r="Y40" s="143">
        <f>IFERROR(_xlfn.XLOOKUP($A40,'Raw Data'!$G:$G,'Raw Data'!AC:AC),"")</f>
        <v>61329.899999996996</v>
      </c>
      <c r="Z40" s="143">
        <f>IFERROR(_xlfn.XLOOKUP($A40,'Raw Data'!$G:$G,'Raw Data'!AD:AD),"")</f>
        <v>199.09999999993033</v>
      </c>
      <c r="AA40" s="143">
        <f>IFERROR(_xlfn.XLOOKUP($A40,'Raw Data'!$G:$G,'Raw Data'!AE:AE)*(1+(_xlfn.XLOOKUP(Table13[[#This Row],[Month Year]],JMR!$A:$A,JMR!$J:$J))),"")</f>
        <v>61130.799999997063</v>
      </c>
      <c r="AB40" s="143">
        <f>IFERROR(_xlfn.XLOOKUP($A40,'Raw Data'!$G:$G,'Raw Data'!$H:$H),"")</f>
        <v>11.72</v>
      </c>
      <c r="AC40" s="149">
        <f>IFERROR(_xlfn.XLOOKUP($D40,'Modelling New'!$D:$D,'Modelling New'!$P:$P),"")</f>
        <v>7.6437019903225805</v>
      </c>
      <c r="AD40" s="143">
        <f>IFERROR(_xlfn.XLOOKUP($D40,'Modelling New'!$D:$D,'Modelling New'!$T:$T)*1000,"")</f>
        <v>65538.17192485639</v>
      </c>
      <c r="AE40" s="148">
        <f>IFERROR(_xlfn.XLOOKUP($D40,'Modelling New'!$D:$D,'Modelling New'!$O:$O),"")</f>
        <v>0.73158192177304548</v>
      </c>
      <c r="AF40" s="148">
        <f>IFERROR(_xlfn.XLOOKUP($D40,'Modelling New'!$D:$D,'Modelling New'!$W:$W),"")</f>
        <v>0.23299975798086028</v>
      </c>
      <c r="AG40" s="148">
        <f>IFERROR(_xlfn.XLOOKUP($D40,'Modelling New'!$D:$D,'Modelling New'!AE:AE),"")</f>
        <v>0.995</v>
      </c>
      <c r="AH40" s="148">
        <f>IFERROR(_xlfn.XLOOKUP($D40,'Modelling New'!$D:$D,'Modelling New'!AF:AF),"")</f>
        <v>0.98550000000000004</v>
      </c>
      <c r="AN40" s="145"/>
      <c r="AO40" s="148"/>
      <c r="AP40" s="148"/>
      <c r="AQ40" s="148"/>
      <c r="AR40" s="143">
        <f>IFERROR(_xlfn.XLOOKUP($D40,'Modelling New'!$D:$D,'Modelling New'!$N:$N),"")</f>
        <v>11.72</v>
      </c>
      <c r="AT40" s="143">
        <f>IFERROR(_xlfn.XLOOKUP(Table13[[#This Row],[Date]],'Raw Data'!$G:$G,'Raw Data'!$AJ:$AJ),"")</f>
        <v>0</v>
      </c>
      <c r="AU40" s="143">
        <f>IFERROR(_xlfn.XLOOKUP(Table13[[#This Row],[Month Year]],'Modelling New'!$D:$D,'Modelling New'!$AO:$AO),"")</f>
        <v>10</v>
      </c>
      <c r="AV40" s="143"/>
    </row>
    <row r="41" spans="1:48">
      <c r="A41" s="142">
        <f t="shared" si="3"/>
        <v>45784</v>
      </c>
      <c r="B41" s="143">
        <f>YEAR(Table13[[#This Row],[Date]])+IF(MONTH(Table13[[#This Row],[Date]])&gt;=4,1,0)</f>
        <v>2026</v>
      </c>
      <c r="C41" s="116">
        <f>YEAR(Table13[[#This Row],[Date]])</f>
        <v>2025</v>
      </c>
      <c r="D41" s="144">
        <f>Table13[[#This Row],[Date]]-DAY(Table13[[#This Row],[Date]])+1</f>
        <v>45778</v>
      </c>
      <c r="E41" s="116">
        <f t="shared" si="0"/>
        <v>31</v>
      </c>
      <c r="F41" s="117">
        <f>IFERROR(_xlfn.XLOOKUP($A41,'Raw Data'!$G:$G,'Raw Data'!$AH:$AH),"")</f>
        <v>12.416666666666668</v>
      </c>
      <c r="G41" s="118">
        <f>IFERROR(_xlfn.XLOOKUP($A41,'Raw Data'!$G:$G,'Raw Data'!$S:$S)/1000,"")</f>
        <v>0</v>
      </c>
      <c r="H41" s="118"/>
      <c r="I41" s="118">
        <f>IFERROR(_xlfn.XLOOKUP($A41,'Raw Data'!$G:$G,'Raw Data'!$AF:$AF)/1000,"")</f>
        <v>8.61</v>
      </c>
      <c r="J41" s="118"/>
      <c r="K41" s="118">
        <f>IFERROR(_xlfn.XLOOKUP($A41,'Raw Data'!$G:$G,'Raw Data'!W:W),"")</f>
        <v>24</v>
      </c>
      <c r="L41" s="118">
        <f>IFERROR(_xlfn.XLOOKUP($A41,'Raw Data'!$G:$G,'Raw Data'!X:X),"")</f>
        <v>50</v>
      </c>
      <c r="M41" s="118">
        <f>IFERROR(_xlfn.XLOOKUP($A41,'Raw Data'!$G:$G,'Raw Data'!Y:Y),"")</f>
        <v>5</v>
      </c>
      <c r="N41" s="118">
        <f>IFERROR(_xlfn.XLOOKUP($A41,'Raw Data'!$G:$G,'Raw Data'!Z:Z),"")</f>
        <v>7</v>
      </c>
      <c r="O41" s="145">
        <f>IFERROR(1-SUMIF('Plant BD'!$B:$B,$A41,'Plant BD'!$AM:$AM)/($AA41+SUMIF('Plant BD'!$B:$B,$A41,'Plant BD'!$AM:$AM)),"")</f>
        <v>1</v>
      </c>
      <c r="P41" s="145"/>
      <c r="Q41" s="146"/>
      <c r="R41" s="145">
        <f>IFERROR(1-SUMIF('Grid BD'!$B:$B,$A41,'Grid BD'!$AE:$AE)/($AA41+SUMIF('Grid BD'!$B:$B,$A41,'Grid BD'!$AE:$AE)),"")</f>
        <v>1</v>
      </c>
      <c r="T41" s="146">
        <f>IFERROR(1-SUMIF(Tracker_BD!$H:$H,$A41,Tracker_BD!AI:AI)/$F41,"")</f>
        <v>0.98588289747743574</v>
      </c>
      <c r="U41" s="147">
        <f t="shared" si="1"/>
        <v>0.68374935090166189</v>
      </c>
      <c r="V41" s="147"/>
      <c r="W41" s="148">
        <f t="shared" si="2"/>
        <v>0.24529507963597114</v>
      </c>
      <c r="X41" s="143">
        <f>IFERROR(_xlfn.XLOOKUP($A41,'Raw Data'!$G:$G,'Raw Data'!$AB:$AB),"")</f>
        <v>69499</v>
      </c>
      <c r="Y41" s="143">
        <f>IFERROR(_xlfn.XLOOKUP($A41,'Raw Data'!$G:$G,'Raw Data'!AC:AC),"")</f>
        <v>69167.10000000603</v>
      </c>
      <c r="Z41" s="143">
        <f>IFERROR(_xlfn.XLOOKUP($A41,'Raw Data'!$G:$G,'Raw Data'!AD:AD),"")</f>
        <v>170.50000000006094</v>
      </c>
      <c r="AA41" s="143">
        <f>IFERROR(_xlfn.XLOOKUP($A41,'Raw Data'!$G:$G,'Raw Data'!AE:AE)*(1+(_xlfn.XLOOKUP(Table13[[#This Row],[Month Year]],JMR!$A:$A,JMR!$J:$J))),"")</f>
        <v>68996.600000005972</v>
      </c>
      <c r="AB41" s="143">
        <f>IFERROR(_xlfn.XLOOKUP($A41,'Raw Data'!$G:$G,'Raw Data'!$H:$H),"")</f>
        <v>11.72</v>
      </c>
      <c r="AC41" s="149">
        <f>IFERROR(_xlfn.XLOOKUP($D41,'Modelling New'!$D:$D,'Modelling New'!$P:$P),"")</f>
        <v>7.6437019903225805</v>
      </c>
      <c r="AD41" s="143">
        <f>IFERROR(_xlfn.XLOOKUP($D41,'Modelling New'!$D:$D,'Modelling New'!$T:$T)*1000,"")</f>
        <v>65538.17192485639</v>
      </c>
      <c r="AE41" s="148">
        <f>IFERROR(_xlfn.XLOOKUP($D41,'Modelling New'!$D:$D,'Modelling New'!$O:$O),"")</f>
        <v>0.73158192177304548</v>
      </c>
      <c r="AF41" s="148">
        <f>IFERROR(_xlfn.XLOOKUP($D41,'Modelling New'!$D:$D,'Modelling New'!$W:$W),"")</f>
        <v>0.23299975798086028</v>
      </c>
      <c r="AG41" s="148">
        <f>IFERROR(_xlfn.XLOOKUP($D41,'Modelling New'!$D:$D,'Modelling New'!AE:AE),"")</f>
        <v>0.995</v>
      </c>
      <c r="AH41" s="148">
        <f>IFERROR(_xlfn.XLOOKUP($D41,'Modelling New'!$D:$D,'Modelling New'!AF:AF),"")</f>
        <v>0.98550000000000004</v>
      </c>
      <c r="AN41" s="145"/>
      <c r="AO41" s="148"/>
      <c r="AP41" s="148"/>
      <c r="AQ41" s="148"/>
      <c r="AR41" s="143">
        <f>IFERROR(_xlfn.XLOOKUP($D41,'Modelling New'!$D:$D,'Modelling New'!$N:$N),"")</f>
        <v>11.72</v>
      </c>
      <c r="AT41" s="143">
        <f>IFERROR(_xlfn.XLOOKUP(Table13[[#This Row],[Date]],'Raw Data'!$G:$G,'Raw Data'!$AJ:$AJ),"")</f>
        <v>0</v>
      </c>
      <c r="AU41" s="143">
        <f>IFERROR(_xlfn.XLOOKUP(Table13[[#This Row],[Month Year]],'Modelling New'!$D:$D,'Modelling New'!$AO:$AO),"")</f>
        <v>10</v>
      </c>
      <c r="AV41" s="143"/>
    </row>
    <row r="42" spans="1:48">
      <c r="A42" s="142">
        <f t="shared" si="3"/>
        <v>45785</v>
      </c>
      <c r="B42" s="143">
        <f>YEAR(Table13[[#This Row],[Date]])+IF(MONTH(Table13[[#This Row],[Date]])&gt;=4,1,0)</f>
        <v>2026</v>
      </c>
      <c r="C42" s="116">
        <f>YEAR(Table13[[#This Row],[Date]])</f>
        <v>2025</v>
      </c>
      <c r="D42" s="144">
        <f>Table13[[#This Row],[Date]]-DAY(Table13[[#This Row],[Date]])+1</f>
        <v>45778</v>
      </c>
      <c r="E42" s="116">
        <f t="shared" si="0"/>
        <v>31</v>
      </c>
      <c r="F42" s="117">
        <f>IFERROR(_xlfn.XLOOKUP($A42,'Raw Data'!$G:$G,'Raw Data'!$AH:$AH),"")</f>
        <v>12.483333333333334</v>
      </c>
      <c r="G42" s="118">
        <f>IFERROR(_xlfn.XLOOKUP($A42,'Raw Data'!$G:$G,'Raw Data'!$S:$S)/1000,"")</f>
        <v>0</v>
      </c>
      <c r="H42" s="118"/>
      <c r="I42" s="118">
        <f>IFERROR(_xlfn.XLOOKUP($A42,'Raw Data'!$G:$G,'Raw Data'!$AF:$AF)/1000,"")</f>
        <v>7.9480000000000004</v>
      </c>
      <c r="J42" s="118"/>
      <c r="K42" s="118">
        <f>IFERROR(_xlfn.XLOOKUP($A42,'Raw Data'!$G:$G,'Raw Data'!W:W),"")</f>
        <v>24</v>
      </c>
      <c r="L42" s="118">
        <f>IFERROR(_xlfn.XLOOKUP($A42,'Raw Data'!$G:$G,'Raw Data'!X:X),"")</f>
        <v>49</v>
      </c>
      <c r="M42" s="118">
        <f>IFERROR(_xlfn.XLOOKUP($A42,'Raw Data'!$G:$G,'Raw Data'!Y:Y),"")</f>
        <v>5</v>
      </c>
      <c r="N42" s="118">
        <f>IFERROR(_xlfn.XLOOKUP($A42,'Raw Data'!$G:$G,'Raw Data'!Z:Z),"")</f>
        <v>9</v>
      </c>
      <c r="O42" s="145">
        <f>IFERROR(1-SUMIF('Plant BD'!$B:$B,$A42,'Plant BD'!$AM:$AM)/($AA42+SUMIF('Plant BD'!$B:$B,$A42,'Plant BD'!$AM:$AM)),"")</f>
        <v>1</v>
      </c>
      <c r="P42" s="145"/>
      <c r="Q42" s="146"/>
      <c r="R42" s="145">
        <f>IFERROR(1-SUMIF('Grid BD'!$B:$B,$A42,'Grid BD'!$AE:$AE)/($AA42+SUMIF('Grid BD'!$B:$B,$A42,'Grid BD'!$AE:$AE)),"")</f>
        <v>1</v>
      </c>
      <c r="T42" s="146">
        <f>IFERROR(1-SUMIF(Tracker_BD!$H:$H,$A42,Tracker_BD!AI:AI)/$F42,"")</f>
        <v>0.98595828921320383</v>
      </c>
      <c r="U42" s="147">
        <f t="shared" si="1"/>
        <v>0.69118747112196877</v>
      </c>
      <c r="V42" s="147"/>
      <c r="W42" s="148">
        <f t="shared" si="2"/>
        <v>0.22889825085322529</v>
      </c>
      <c r="X42" s="143">
        <f>IFERROR(_xlfn.XLOOKUP($A42,'Raw Data'!$G:$G,'Raw Data'!$AB:$AB),"")</f>
        <v>64558</v>
      </c>
      <c r="Y42" s="143">
        <f>IFERROR(_xlfn.XLOOKUP($A42,'Raw Data'!$G:$G,'Raw Data'!AC:AC),"")</f>
        <v>64581.69999999518</v>
      </c>
      <c r="Z42" s="143">
        <f>IFERROR(_xlfn.XLOOKUP($A42,'Raw Data'!$G:$G,'Raw Data'!AD:AD),"")</f>
        <v>197.19999999995252</v>
      </c>
      <c r="AA42" s="143">
        <f>IFERROR(_xlfn.XLOOKUP($A42,'Raw Data'!$G:$G,'Raw Data'!AE:AE)*(1+(_xlfn.XLOOKUP(Table13[[#This Row],[Month Year]],JMR!$A:$A,JMR!$J:$J))),"")</f>
        <v>64384.499999995227</v>
      </c>
      <c r="AB42" s="143">
        <f>IFERROR(_xlfn.XLOOKUP($A42,'Raw Data'!$G:$G,'Raw Data'!$H:$H),"")</f>
        <v>11.72</v>
      </c>
      <c r="AC42" s="149">
        <f>IFERROR(_xlfn.XLOOKUP($D42,'Modelling New'!$D:$D,'Modelling New'!$P:$P),"")</f>
        <v>7.6437019903225805</v>
      </c>
      <c r="AD42" s="143">
        <f>IFERROR(_xlfn.XLOOKUP($D42,'Modelling New'!$D:$D,'Modelling New'!$T:$T)*1000,"")</f>
        <v>65538.17192485639</v>
      </c>
      <c r="AE42" s="148">
        <f>IFERROR(_xlfn.XLOOKUP($D42,'Modelling New'!$D:$D,'Modelling New'!$O:$O),"")</f>
        <v>0.73158192177304548</v>
      </c>
      <c r="AF42" s="148">
        <f>IFERROR(_xlfn.XLOOKUP($D42,'Modelling New'!$D:$D,'Modelling New'!$W:$W),"")</f>
        <v>0.23299975798086028</v>
      </c>
      <c r="AG42" s="148">
        <f>IFERROR(_xlfn.XLOOKUP($D42,'Modelling New'!$D:$D,'Modelling New'!AE:AE),"")</f>
        <v>0.995</v>
      </c>
      <c r="AH42" s="148">
        <f>IFERROR(_xlfn.XLOOKUP($D42,'Modelling New'!$D:$D,'Modelling New'!AF:AF),"")</f>
        <v>0.98550000000000004</v>
      </c>
      <c r="AN42" s="145"/>
      <c r="AO42" s="148"/>
      <c r="AP42" s="148"/>
      <c r="AQ42" s="148"/>
      <c r="AR42" s="143">
        <f>IFERROR(_xlfn.XLOOKUP($D42,'Modelling New'!$D:$D,'Modelling New'!$N:$N),"")</f>
        <v>11.72</v>
      </c>
      <c r="AT42" s="143">
        <f>IFERROR(_xlfn.XLOOKUP(Table13[[#This Row],[Date]],'Raw Data'!$G:$G,'Raw Data'!$AJ:$AJ),"")</f>
        <v>0</v>
      </c>
      <c r="AU42" s="143">
        <f>IFERROR(_xlfn.XLOOKUP(Table13[[#This Row],[Month Year]],'Modelling New'!$D:$D,'Modelling New'!$AO:$AO),"")</f>
        <v>10</v>
      </c>
      <c r="AV42" s="143"/>
    </row>
    <row r="43" spans="1:48">
      <c r="A43" s="142">
        <f t="shared" si="3"/>
        <v>45786</v>
      </c>
      <c r="B43" s="143">
        <f>YEAR(Table13[[#This Row],[Date]])+IF(MONTH(Table13[[#This Row],[Date]])&gt;=4,1,0)</f>
        <v>2026</v>
      </c>
      <c r="C43" s="116">
        <f>YEAR(Table13[[#This Row],[Date]])</f>
        <v>2025</v>
      </c>
      <c r="D43" s="144">
        <f>Table13[[#This Row],[Date]]-DAY(Table13[[#This Row],[Date]])+1</f>
        <v>45778</v>
      </c>
      <c r="E43" s="116">
        <f t="shared" si="0"/>
        <v>31</v>
      </c>
      <c r="F43" s="117">
        <f>IFERROR(_xlfn.XLOOKUP($A43,'Raw Data'!$G:$G,'Raw Data'!$AH:$AH),"")</f>
        <v>12.483333333333334</v>
      </c>
      <c r="G43" s="118">
        <f>IFERROR(_xlfn.XLOOKUP($A43,'Raw Data'!$G:$G,'Raw Data'!$S:$S)/1000,"")</f>
        <v>0</v>
      </c>
      <c r="H43" s="118"/>
      <c r="I43" s="118">
        <f>IFERROR(_xlfn.XLOOKUP($A43,'Raw Data'!$G:$G,'Raw Data'!$AF:$AF)/1000,"")</f>
        <v>7.5359999999999996</v>
      </c>
      <c r="J43" s="118"/>
      <c r="K43" s="118">
        <f>IFERROR(_xlfn.XLOOKUP($A43,'Raw Data'!$G:$G,'Raw Data'!W:W),"")</f>
        <v>24</v>
      </c>
      <c r="L43" s="118">
        <f>IFERROR(_xlfn.XLOOKUP($A43,'Raw Data'!$G:$G,'Raw Data'!X:X),"")</f>
        <v>48</v>
      </c>
      <c r="M43" s="118">
        <f>IFERROR(_xlfn.XLOOKUP($A43,'Raw Data'!$G:$G,'Raw Data'!Y:Y),"")</f>
        <v>5</v>
      </c>
      <c r="N43" s="118">
        <f>IFERROR(_xlfn.XLOOKUP($A43,'Raw Data'!$G:$G,'Raw Data'!Z:Z),"")</f>
        <v>7</v>
      </c>
      <c r="O43" s="145">
        <f>IFERROR(1-SUMIF('Plant BD'!$B:$B,$A43,'Plant BD'!$AM:$AM)/($AA43+SUMIF('Plant BD'!$B:$B,$A43,'Plant BD'!$AM:$AM)),"")</f>
        <v>1</v>
      </c>
      <c r="P43" s="145"/>
      <c r="Q43" s="146"/>
      <c r="R43" s="145">
        <f>IFERROR(1-SUMIF('Grid BD'!$B:$B,$A43,'Grid BD'!$AE:$AE)/($AA43+SUMIF('Grid BD'!$B:$B,$A43,'Grid BD'!$AE:$AE)),"")</f>
        <v>0.98619849827266048</v>
      </c>
      <c r="T43" s="146">
        <f>IFERROR(1-SUMIF(Tracker_BD!$H:$H,$A43,Tracker_BD!AI:AI)/$F43,"")</f>
        <v>0.98590074121817595</v>
      </c>
      <c r="U43" s="147">
        <f t="shared" si="1"/>
        <v>0.69311559350155361</v>
      </c>
      <c r="V43" s="147"/>
      <c r="W43" s="148">
        <f t="shared" si="2"/>
        <v>0.21763829635948775</v>
      </c>
      <c r="X43" s="143">
        <f>IFERROR(_xlfn.XLOOKUP($A43,'Raw Data'!$G:$G,'Raw Data'!$AB:$AB),"")</f>
        <v>61406</v>
      </c>
      <c r="Y43" s="143">
        <f>IFERROR(_xlfn.XLOOKUP($A43,'Raw Data'!$G:$G,'Raw Data'!AC:AC),"")</f>
        <v>61387.799999996787</v>
      </c>
      <c r="Z43" s="143">
        <f>IFERROR(_xlfn.XLOOKUP($A43,'Raw Data'!$G:$G,'Raw Data'!AD:AD),"")</f>
        <v>170.50000000006094</v>
      </c>
      <c r="AA43" s="143">
        <f>IFERROR(_xlfn.XLOOKUP($A43,'Raw Data'!$G:$G,'Raw Data'!AE:AE)*(1+(_xlfn.XLOOKUP(Table13[[#This Row],[Month Year]],JMR!$A:$A,JMR!$J:$J))),"")</f>
        <v>61217.299999996729</v>
      </c>
      <c r="AB43" s="143">
        <f>IFERROR(_xlfn.XLOOKUP($A43,'Raw Data'!$G:$G,'Raw Data'!$H:$H),"")</f>
        <v>11.72</v>
      </c>
      <c r="AC43" s="149">
        <f>IFERROR(_xlfn.XLOOKUP($D43,'Modelling New'!$D:$D,'Modelling New'!$P:$P),"")</f>
        <v>7.6437019903225805</v>
      </c>
      <c r="AD43" s="143">
        <f>IFERROR(_xlfn.XLOOKUP($D43,'Modelling New'!$D:$D,'Modelling New'!$T:$T)*1000,"")</f>
        <v>65538.17192485639</v>
      </c>
      <c r="AE43" s="148">
        <f>IFERROR(_xlfn.XLOOKUP($D43,'Modelling New'!$D:$D,'Modelling New'!$O:$O),"")</f>
        <v>0.73158192177304548</v>
      </c>
      <c r="AF43" s="148">
        <f>IFERROR(_xlfn.XLOOKUP($D43,'Modelling New'!$D:$D,'Modelling New'!$W:$W),"")</f>
        <v>0.23299975798086028</v>
      </c>
      <c r="AG43" s="148">
        <f>IFERROR(_xlfn.XLOOKUP($D43,'Modelling New'!$D:$D,'Modelling New'!AE:AE),"")</f>
        <v>0.995</v>
      </c>
      <c r="AH43" s="148">
        <f>IFERROR(_xlfn.XLOOKUP($D43,'Modelling New'!$D:$D,'Modelling New'!AF:AF),"")</f>
        <v>0.98550000000000004</v>
      </c>
      <c r="AN43" s="145"/>
      <c r="AO43" s="148"/>
      <c r="AP43" s="148"/>
      <c r="AQ43" s="148"/>
      <c r="AR43" s="143">
        <f>IFERROR(_xlfn.XLOOKUP($D43,'Modelling New'!$D:$D,'Modelling New'!$N:$N),"")</f>
        <v>11.72</v>
      </c>
      <c r="AT43" s="143">
        <f>IFERROR(_xlfn.XLOOKUP(Table13[[#This Row],[Date]],'Raw Data'!$G:$G,'Raw Data'!$AJ:$AJ),"")</f>
        <v>0</v>
      </c>
      <c r="AU43" s="143">
        <f>IFERROR(_xlfn.XLOOKUP(Table13[[#This Row],[Month Year]],'Modelling New'!$D:$D,'Modelling New'!$AO:$AO),"")</f>
        <v>10</v>
      </c>
      <c r="AV43" s="143"/>
    </row>
    <row r="44" spans="1:48">
      <c r="A44" s="142">
        <f t="shared" si="3"/>
        <v>45787</v>
      </c>
      <c r="B44" s="143">
        <f>YEAR(Table13[[#This Row],[Date]])+IF(MONTH(Table13[[#This Row],[Date]])&gt;=4,1,0)</f>
        <v>2026</v>
      </c>
      <c r="C44" s="116">
        <f>YEAR(Table13[[#This Row],[Date]])</f>
        <v>2025</v>
      </c>
      <c r="D44" s="144">
        <f>Table13[[#This Row],[Date]]-DAY(Table13[[#This Row],[Date]])+1</f>
        <v>45778</v>
      </c>
      <c r="E44" s="116">
        <f t="shared" si="0"/>
        <v>31</v>
      </c>
      <c r="F44" s="117">
        <f>IFERROR(_xlfn.XLOOKUP($A44,'Raw Data'!$G:$G,'Raw Data'!$AH:$AH),"")</f>
        <v>12.366666666666667</v>
      </c>
      <c r="G44" s="118">
        <f>IFERROR(_xlfn.XLOOKUP($A44,'Raw Data'!$G:$G,'Raw Data'!$S:$S)/1000,"")</f>
        <v>0</v>
      </c>
      <c r="H44" s="118"/>
      <c r="I44" s="118">
        <f>IFERROR(_xlfn.XLOOKUP($A44,'Raw Data'!$G:$G,'Raw Data'!$AF:$AF)/1000,"")</f>
        <v>6.4630000000000001</v>
      </c>
      <c r="J44" s="118"/>
      <c r="K44" s="118">
        <f>IFERROR(_xlfn.XLOOKUP($A44,'Raw Data'!$G:$G,'Raw Data'!W:W),"")</f>
        <v>24</v>
      </c>
      <c r="L44" s="118">
        <f>IFERROR(_xlfn.XLOOKUP($A44,'Raw Data'!$G:$G,'Raw Data'!X:X),"")</f>
        <v>46</v>
      </c>
      <c r="M44" s="118">
        <f>IFERROR(_xlfn.XLOOKUP($A44,'Raw Data'!$G:$G,'Raw Data'!Y:Y),"")</f>
        <v>5</v>
      </c>
      <c r="N44" s="118">
        <f>IFERROR(_xlfn.XLOOKUP($A44,'Raw Data'!$G:$G,'Raw Data'!Z:Z),"")</f>
        <v>7</v>
      </c>
      <c r="O44" s="145">
        <f>IFERROR(1-SUMIF('Plant BD'!$B:$B,$A44,'Plant BD'!$AM:$AM)/($AA44+SUMIF('Plant BD'!$B:$B,$A44,'Plant BD'!$AM:$AM)),"")</f>
        <v>1</v>
      </c>
      <c r="P44" s="145"/>
      <c r="Q44" s="146"/>
      <c r="R44" s="145">
        <f>IFERROR(1-SUMIF('Grid BD'!$B:$B,$A44,'Grid BD'!$AE:$AE)/($AA44+SUMIF('Grid BD'!$B:$B,$A44,'Grid BD'!$AE:$AE)),"")</f>
        <v>1</v>
      </c>
      <c r="T44" s="146">
        <f>IFERROR(1-SUMIF(Tracker_BD!$H:$H,$A44,Tracker_BD!AI:AI)/$F44,"")</f>
        <v>0.98582582024351706</v>
      </c>
      <c r="U44" s="147">
        <f t="shared" si="1"/>
        <v>0.70775282138967677</v>
      </c>
      <c r="V44" s="147"/>
      <c r="W44" s="148">
        <f t="shared" si="2"/>
        <v>0.19059193686006168</v>
      </c>
      <c r="X44" s="143">
        <f>IFERROR(_xlfn.XLOOKUP($A44,'Raw Data'!$G:$G,'Raw Data'!$AB:$AB),"")</f>
        <v>53872</v>
      </c>
      <c r="Y44" s="143">
        <f>IFERROR(_xlfn.XLOOKUP($A44,'Raw Data'!$G:$G,'Raw Data'!AC:AC),"")</f>
        <v>53814.299999998184</v>
      </c>
      <c r="Z44" s="143">
        <f>IFERROR(_xlfn.XLOOKUP($A44,'Raw Data'!$G:$G,'Raw Data'!AD:AD),"")</f>
        <v>204.60000000002765</v>
      </c>
      <c r="AA44" s="143">
        <f>IFERROR(_xlfn.XLOOKUP($A44,'Raw Data'!$G:$G,'Raw Data'!AE:AE)*(1+(_xlfn.XLOOKUP(Table13[[#This Row],[Month Year]],JMR!$A:$A,JMR!$J:$J))),"")</f>
        <v>53609.699999998156</v>
      </c>
      <c r="AB44" s="143">
        <f>IFERROR(_xlfn.XLOOKUP($A44,'Raw Data'!$G:$G,'Raw Data'!$H:$H),"")</f>
        <v>11.72</v>
      </c>
      <c r="AC44" s="149">
        <f>IFERROR(_xlfn.XLOOKUP($D44,'Modelling New'!$D:$D,'Modelling New'!$P:$P),"")</f>
        <v>7.6437019903225805</v>
      </c>
      <c r="AD44" s="143">
        <f>IFERROR(_xlfn.XLOOKUP($D44,'Modelling New'!$D:$D,'Modelling New'!$T:$T)*1000,"")</f>
        <v>65538.17192485639</v>
      </c>
      <c r="AE44" s="148">
        <f>IFERROR(_xlfn.XLOOKUP($D44,'Modelling New'!$D:$D,'Modelling New'!$O:$O),"")</f>
        <v>0.73158192177304548</v>
      </c>
      <c r="AF44" s="148">
        <f>IFERROR(_xlfn.XLOOKUP($D44,'Modelling New'!$D:$D,'Modelling New'!$W:$W),"")</f>
        <v>0.23299975798086028</v>
      </c>
      <c r="AG44" s="148">
        <f>IFERROR(_xlfn.XLOOKUP($D44,'Modelling New'!$D:$D,'Modelling New'!AE:AE),"")</f>
        <v>0.995</v>
      </c>
      <c r="AH44" s="148">
        <f>IFERROR(_xlfn.XLOOKUP($D44,'Modelling New'!$D:$D,'Modelling New'!AF:AF),"")</f>
        <v>0.98550000000000004</v>
      </c>
      <c r="AN44" s="145"/>
      <c r="AO44" s="148"/>
      <c r="AP44" s="148"/>
      <c r="AQ44" s="148"/>
      <c r="AR44" s="143">
        <f>IFERROR(_xlfn.XLOOKUP($D44,'Modelling New'!$D:$D,'Modelling New'!$N:$N),"")</f>
        <v>11.72</v>
      </c>
      <c r="AT44" s="143">
        <f>IFERROR(_xlfn.XLOOKUP(Table13[[#This Row],[Date]],'Raw Data'!$G:$G,'Raw Data'!$AJ:$AJ),"")</f>
        <v>0</v>
      </c>
      <c r="AU44" s="143">
        <f>IFERROR(_xlfn.XLOOKUP(Table13[[#This Row],[Month Year]],'Modelling New'!$D:$D,'Modelling New'!$AO:$AO),"")</f>
        <v>10</v>
      </c>
      <c r="AV44" s="143"/>
    </row>
    <row r="45" spans="1:48">
      <c r="A45" s="142">
        <f t="shared" si="3"/>
        <v>45788</v>
      </c>
      <c r="B45" s="143">
        <f>YEAR(Table13[[#This Row],[Date]])+IF(MONTH(Table13[[#This Row],[Date]])&gt;=4,1,0)</f>
        <v>2026</v>
      </c>
      <c r="C45" s="116">
        <f>YEAR(Table13[[#This Row],[Date]])</f>
        <v>2025</v>
      </c>
      <c r="D45" s="144">
        <f>Table13[[#This Row],[Date]]-DAY(Table13[[#This Row],[Date]])+1</f>
        <v>45778</v>
      </c>
      <c r="E45" s="116">
        <f t="shared" si="0"/>
        <v>31</v>
      </c>
      <c r="F45" s="117">
        <f>IFERROR(_xlfn.XLOOKUP($A45,'Raw Data'!$G:$G,'Raw Data'!$AH:$AH),"")</f>
        <v>12.116666666666667</v>
      </c>
      <c r="G45" s="118">
        <f>IFERROR(_xlfn.XLOOKUP($A45,'Raw Data'!$G:$G,'Raw Data'!$S:$S)/1000,"")</f>
        <v>0</v>
      </c>
      <c r="H45" s="118"/>
      <c r="I45" s="118">
        <f>IFERROR(_xlfn.XLOOKUP($A45,'Raw Data'!$G:$G,'Raw Data'!$AF:$AF)/1000,"")</f>
        <v>6.0730000000000004</v>
      </c>
      <c r="J45" s="118"/>
      <c r="K45" s="118">
        <f>IFERROR(_xlfn.XLOOKUP($A45,'Raw Data'!$G:$G,'Raw Data'!W:W),"")</f>
        <v>23</v>
      </c>
      <c r="L45" s="118">
        <f>IFERROR(_xlfn.XLOOKUP($A45,'Raw Data'!$G:$G,'Raw Data'!X:X),"")</f>
        <v>46</v>
      </c>
      <c r="M45" s="118">
        <f>IFERROR(_xlfn.XLOOKUP($A45,'Raw Data'!$G:$G,'Raw Data'!Y:Y),"")</f>
        <v>5</v>
      </c>
      <c r="N45" s="118">
        <f>IFERROR(_xlfn.XLOOKUP($A45,'Raw Data'!$G:$G,'Raw Data'!Z:Z),"")</f>
        <v>8</v>
      </c>
      <c r="O45" s="145">
        <f>IFERROR(1-SUMIF('Plant BD'!$B:$B,$A45,'Plant BD'!$AM:$AM)/($AA45+SUMIF('Plant BD'!$B:$B,$A45,'Plant BD'!$AM:$AM)),"")</f>
        <v>1</v>
      </c>
      <c r="P45" s="145"/>
      <c r="Q45" s="146"/>
      <c r="R45" s="145">
        <f>IFERROR(1-SUMIF('Grid BD'!$B:$B,$A45,'Grid BD'!$AE:$AE)/($AA45+SUMIF('Grid BD'!$B:$B,$A45,'Grid BD'!$AE:$AE)),"")</f>
        <v>1</v>
      </c>
      <c r="T45" s="146">
        <f>IFERROR(1-SUMIF(Tracker_BD!$H:$H,$A45,Tracker_BD!AI:AI)/$F45,"")</f>
        <v>0.98553336811649195</v>
      </c>
      <c r="U45" s="147">
        <f t="shared" si="1"/>
        <v>0.71384756228127355</v>
      </c>
      <c r="V45" s="147"/>
      <c r="W45" s="148">
        <f t="shared" si="2"/>
        <v>0.18063317690559058</v>
      </c>
      <c r="X45" s="143">
        <f>IFERROR(_xlfn.XLOOKUP($A45,'Raw Data'!$G:$G,'Raw Data'!$AB:$AB),"")</f>
        <v>51067</v>
      </c>
      <c r="Y45" s="143">
        <f>IFERROR(_xlfn.XLOOKUP($A45,'Raw Data'!$G:$G,'Raw Data'!AC:AC),"")</f>
        <v>50952.30000000447</v>
      </c>
      <c r="Z45" s="143">
        <f>IFERROR(_xlfn.XLOOKUP($A45,'Raw Data'!$G:$G,'Raw Data'!AD:AD),"")</f>
        <v>143.79999999994197</v>
      </c>
      <c r="AA45" s="143">
        <f>IFERROR(_xlfn.XLOOKUP($A45,'Raw Data'!$G:$G,'Raw Data'!AE:AE)*(1+(_xlfn.XLOOKUP(Table13[[#This Row],[Month Year]],JMR!$A:$A,JMR!$J:$J))),"")</f>
        <v>50808.500000004526</v>
      </c>
      <c r="AB45" s="143">
        <f>IFERROR(_xlfn.XLOOKUP($A45,'Raw Data'!$G:$G,'Raw Data'!$H:$H),"")</f>
        <v>11.72</v>
      </c>
      <c r="AC45" s="149">
        <f>IFERROR(_xlfn.XLOOKUP($D45,'Modelling New'!$D:$D,'Modelling New'!$P:$P),"")</f>
        <v>7.6437019903225805</v>
      </c>
      <c r="AD45" s="143">
        <f>IFERROR(_xlfn.XLOOKUP($D45,'Modelling New'!$D:$D,'Modelling New'!$T:$T)*1000,"")</f>
        <v>65538.17192485639</v>
      </c>
      <c r="AE45" s="148">
        <f>IFERROR(_xlfn.XLOOKUP($D45,'Modelling New'!$D:$D,'Modelling New'!$O:$O),"")</f>
        <v>0.73158192177304548</v>
      </c>
      <c r="AF45" s="148">
        <f>IFERROR(_xlfn.XLOOKUP($D45,'Modelling New'!$D:$D,'Modelling New'!$W:$W),"")</f>
        <v>0.23299975798086028</v>
      </c>
      <c r="AG45" s="148">
        <f>IFERROR(_xlfn.XLOOKUP($D45,'Modelling New'!$D:$D,'Modelling New'!AE:AE),"")</f>
        <v>0.995</v>
      </c>
      <c r="AH45" s="148">
        <f>IFERROR(_xlfn.XLOOKUP($D45,'Modelling New'!$D:$D,'Modelling New'!AF:AF),"")</f>
        <v>0.98550000000000004</v>
      </c>
      <c r="AN45" s="145"/>
      <c r="AO45" s="148"/>
      <c r="AP45" s="148"/>
      <c r="AQ45" s="148"/>
      <c r="AR45" s="143">
        <f>IFERROR(_xlfn.XLOOKUP($D45,'Modelling New'!$D:$D,'Modelling New'!$N:$N),"")</f>
        <v>11.72</v>
      </c>
      <c r="AT45" s="143">
        <f>IFERROR(_xlfn.XLOOKUP(Table13[[#This Row],[Date]],'Raw Data'!$G:$G,'Raw Data'!$AJ:$AJ),"")</f>
        <v>0</v>
      </c>
      <c r="AU45" s="143">
        <f>IFERROR(_xlfn.XLOOKUP(Table13[[#This Row],[Month Year]],'Modelling New'!$D:$D,'Modelling New'!$AO:$AO),"")</f>
        <v>10</v>
      </c>
      <c r="AV45" s="143"/>
    </row>
    <row r="46" spans="1:48">
      <c r="A46" s="142">
        <f t="shared" si="3"/>
        <v>45789</v>
      </c>
      <c r="B46" s="143">
        <f>YEAR(Table13[[#This Row],[Date]])+IF(MONTH(Table13[[#This Row],[Date]])&gt;=4,1,0)</f>
        <v>2026</v>
      </c>
      <c r="C46" s="116">
        <f>YEAR(Table13[[#This Row],[Date]])</f>
        <v>2025</v>
      </c>
      <c r="D46" s="144">
        <f>Table13[[#This Row],[Date]]-DAY(Table13[[#This Row],[Date]])+1</f>
        <v>45778</v>
      </c>
      <c r="E46" s="116">
        <f t="shared" ref="E46:E109" si="4">DAY(EOMONTH(A46,0))</f>
        <v>31</v>
      </c>
      <c r="F46" s="117">
        <f>IFERROR(_xlfn.XLOOKUP($A46,'Raw Data'!$G:$G,'Raw Data'!$AH:$AH),"")</f>
        <v>11.9</v>
      </c>
      <c r="G46" s="118">
        <f>IFERROR(_xlfn.XLOOKUP($A46,'Raw Data'!$G:$G,'Raw Data'!$S:$S)/1000,"")</f>
        <v>0</v>
      </c>
      <c r="H46" s="118"/>
      <c r="I46" s="118">
        <f>IFERROR(_xlfn.XLOOKUP($A46,'Raw Data'!$G:$G,'Raw Data'!$AF:$AF)/1000,"")</f>
        <v>5.75</v>
      </c>
      <c r="J46" s="118"/>
      <c r="K46" s="118">
        <f>IFERROR(_xlfn.XLOOKUP($A46,'Raw Data'!$G:$G,'Raw Data'!W:W),"")</f>
        <v>23</v>
      </c>
      <c r="L46" s="118">
        <f>IFERROR(_xlfn.XLOOKUP($A46,'Raw Data'!$G:$G,'Raw Data'!X:X),"")</f>
        <v>44</v>
      </c>
      <c r="M46" s="118">
        <f>IFERROR(_xlfn.XLOOKUP($A46,'Raw Data'!$G:$G,'Raw Data'!Y:Y),"")</f>
        <v>6</v>
      </c>
      <c r="N46" s="118">
        <f>IFERROR(_xlfn.XLOOKUP($A46,'Raw Data'!$G:$G,'Raw Data'!Z:Z),"")</f>
        <v>9</v>
      </c>
      <c r="O46" s="145">
        <f>IFERROR(1-SUMIF('Plant BD'!$B:$B,$A46,'Plant BD'!$AM:$AM)/($AA46+SUMIF('Plant BD'!$B:$B,$A46,'Plant BD'!$AM:$AM)),"")</f>
        <v>1</v>
      </c>
      <c r="P46" s="145"/>
      <c r="Q46" s="146"/>
      <c r="R46" s="145">
        <f>IFERROR(1-SUMIF('Grid BD'!$B:$B,$A46,'Grid BD'!$AE:$AE)/($AA46+SUMIF('Grid BD'!$B:$B,$A46,'Grid BD'!$AE:$AE)),"")</f>
        <v>1</v>
      </c>
      <c r="T46" s="146">
        <f>IFERROR(1-SUMIF(Tracker_BD!$H:$H,$A46,Tracker_BD!AI:AI)/$F46,"")</f>
        <v>0.9853303390321646</v>
      </c>
      <c r="U46" s="147">
        <f t="shared" si="1"/>
        <v>0.71523964979958643</v>
      </c>
      <c r="V46" s="147"/>
      <c r="W46" s="148">
        <f t="shared" si="2"/>
        <v>0.17135949943115089</v>
      </c>
      <c r="X46" s="143">
        <f>IFERROR(_xlfn.XLOOKUP($A46,'Raw Data'!$G:$G,'Raw Data'!$AB:$AB),"")</f>
        <v>48796</v>
      </c>
      <c r="Y46" s="143">
        <f>IFERROR(_xlfn.XLOOKUP($A46,'Raw Data'!$G:$G,'Raw Data'!AC:AC),"")</f>
        <v>48399.999999994179</v>
      </c>
      <c r="Z46" s="143">
        <f>IFERROR(_xlfn.XLOOKUP($A46,'Raw Data'!$G:$G,'Raw Data'!AD:AD),"")</f>
        <v>200.00000000004547</v>
      </c>
      <c r="AA46" s="143">
        <f>IFERROR(_xlfn.XLOOKUP($A46,'Raw Data'!$G:$G,'Raw Data'!AE:AE)*(1+(_xlfn.XLOOKUP(Table13[[#This Row],[Month Year]],JMR!$A:$A,JMR!$J:$J))),"")</f>
        <v>48199.999999994136</v>
      </c>
      <c r="AB46" s="143">
        <f>IFERROR(_xlfn.XLOOKUP($A46,'Raw Data'!$G:$G,'Raw Data'!$H:$H),"")</f>
        <v>11.72</v>
      </c>
      <c r="AC46" s="149">
        <f>IFERROR(_xlfn.XLOOKUP($D46,'Modelling New'!$D:$D,'Modelling New'!$P:$P),"")</f>
        <v>7.6437019903225805</v>
      </c>
      <c r="AD46" s="143">
        <f>IFERROR(_xlfn.XLOOKUP($D46,'Modelling New'!$D:$D,'Modelling New'!$T:$T)*1000,"")</f>
        <v>65538.17192485639</v>
      </c>
      <c r="AE46" s="148">
        <f>IFERROR(_xlfn.XLOOKUP($D46,'Modelling New'!$D:$D,'Modelling New'!$O:$O),"")</f>
        <v>0.73158192177304548</v>
      </c>
      <c r="AF46" s="148">
        <f>IFERROR(_xlfn.XLOOKUP($D46,'Modelling New'!$D:$D,'Modelling New'!$W:$W),"")</f>
        <v>0.23299975798086028</v>
      </c>
      <c r="AG46" s="148">
        <f>IFERROR(_xlfn.XLOOKUP($D46,'Modelling New'!$D:$D,'Modelling New'!AE:AE),"")</f>
        <v>0.995</v>
      </c>
      <c r="AH46" s="148">
        <f>IFERROR(_xlfn.XLOOKUP($D46,'Modelling New'!$D:$D,'Modelling New'!AF:AF),"")</f>
        <v>0.98550000000000004</v>
      </c>
      <c r="AN46" s="145"/>
      <c r="AO46" s="148"/>
      <c r="AP46" s="148"/>
      <c r="AQ46" s="148"/>
      <c r="AR46" s="143">
        <f>IFERROR(_xlfn.XLOOKUP($D46,'Modelling New'!$D:$D,'Modelling New'!$N:$N),"")</f>
        <v>11.72</v>
      </c>
      <c r="AT46" s="143">
        <f>IFERROR(_xlfn.XLOOKUP(Table13[[#This Row],[Date]],'Raw Data'!$G:$G,'Raw Data'!$AJ:$AJ),"")</f>
        <v>0</v>
      </c>
      <c r="AU46" s="143">
        <f>IFERROR(_xlfn.XLOOKUP(Table13[[#This Row],[Month Year]],'Modelling New'!$D:$D,'Modelling New'!$AO:$AO),"")</f>
        <v>10</v>
      </c>
      <c r="AV46" s="143"/>
    </row>
    <row r="47" spans="1:48">
      <c r="A47" s="142">
        <f t="shared" si="3"/>
        <v>45790</v>
      </c>
      <c r="B47" s="143">
        <f>YEAR(Table13[[#This Row],[Date]])+IF(MONTH(Table13[[#This Row],[Date]])&gt;=4,1,0)</f>
        <v>2026</v>
      </c>
      <c r="C47" s="116">
        <f>YEAR(Table13[[#This Row],[Date]])</f>
        <v>2025</v>
      </c>
      <c r="D47" s="144">
        <f>Table13[[#This Row],[Date]]-DAY(Table13[[#This Row],[Date]])+1</f>
        <v>45778</v>
      </c>
      <c r="E47" s="116">
        <f t="shared" si="4"/>
        <v>31</v>
      </c>
      <c r="F47" s="117">
        <f>IFERROR(_xlfn.XLOOKUP($A47,'Raw Data'!$G:$G,'Raw Data'!$AH:$AH),"")</f>
        <v>11.866666666666665</v>
      </c>
      <c r="G47" s="118">
        <f>IFERROR(_xlfn.XLOOKUP($A47,'Raw Data'!$G:$G,'Raw Data'!$S:$S)/1000,"")</f>
        <v>0</v>
      </c>
      <c r="H47" s="118"/>
      <c r="I47" s="118">
        <f>IFERROR(_xlfn.XLOOKUP($A47,'Raw Data'!$G:$G,'Raw Data'!$AF:$AF)/1000,"")</f>
        <v>6.2619999999999996</v>
      </c>
      <c r="J47" s="118"/>
      <c r="K47" s="118">
        <f>IFERROR(_xlfn.XLOOKUP($A47,'Raw Data'!$G:$G,'Raw Data'!W:W),"")</f>
        <v>23</v>
      </c>
      <c r="L47" s="118">
        <f>IFERROR(_xlfn.XLOOKUP($A47,'Raw Data'!$G:$G,'Raw Data'!X:X),"")</f>
        <v>44</v>
      </c>
      <c r="M47" s="118">
        <f>IFERROR(_xlfn.XLOOKUP($A47,'Raw Data'!$G:$G,'Raw Data'!Y:Y),"")</f>
        <v>6</v>
      </c>
      <c r="N47" s="118">
        <f>IFERROR(_xlfn.XLOOKUP($A47,'Raw Data'!$G:$G,'Raw Data'!Z:Z),"")</f>
        <v>9</v>
      </c>
      <c r="O47" s="145">
        <f>IFERROR(1-SUMIF('Plant BD'!$B:$B,$A47,'Plant BD'!$AM:$AM)/($AA47+SUMIF('Plant BD'!$B:$B,$A47,'Plant BD'!$AM:$AM)),"")</f>
        <v>1</v>
      </c>
      <c r="P47" s="145"/>
      <c r="Q47" s="146"/>
      <c r="R47" s="145">
        <f>IFERROR(1-SUMIF('Grid BD'!$B:$B,$A47,'Grid BD'!$AE:$AE)/($AA47+SUMIF('Grid BD'!$B:$B,$A47,'Grid BD'!$AE:$AE)),"")</f>
        <v>0.76881168396858923</v>
      </c>
      <c r="T47" s="146">
        <f>IFERROR(1-SUMIF(Tracker_BD!$H:$H,$A47,Tracker_BD!AI:AI)/$F47,"")</f>
        <v>0.98547074777218135</v>
      </c>
      <c r="U47" s="147">
        <f t="shared" si="1"/>
        <v>0.54347257361434187</v>
      </c>
      <c r="V47" s="147"/>
      <c r="W47" s="148">
        <f t="shared" si="2"/>
        <v>0.14180105233220863</v>
      </c>
      <c r="X47" s="143">
        <f>IFERROR(_xlfn.XLOOKUP($A47,'Raw Data'!$G:$G,'Raw Data'!$AB:$AB),"")</f>
        <v>39449</v>
      </c>
      <c r="Y47" s="143">
        <f>IFERROR(_xlfn.XLOOKUP($A47,'Raw Data'!$G:$G,'Raw Data'!AC:AC),"")</f>
        <v>39885.800000003655</v>
      </c>
      <c r="Z47" s="143">
        <f>IFERROR(_xlfn.XLOOKUP($A47,'Raw Data'!$G:$G,'Raw Data'!AD:AD),"")</f>
        <v>0</v>
      </c>
      <c r="AA47" s="143">
        <f>IFERROR(_xlfn.XLOOKUP($A47,'Raw Data'!$G:$G,'Raw Data'!AE:AE)*(1+(_xlfn.XLOOKUP(Table13[[#This Row],[Month Year]],JMR!$A:$A,JMR!$J:$J))),"")</f>
        <v>39885.800000003655</v>
      </c>
      <c r="AB47" s="143">
        <f>IFERROR(_xlfn.XLOOKUP($A47,'Raw Data'!$G:$G,'Raw Data'!$H:$H),"")</f>
        <v>11.72</v>
      </c>
      <c r="AC47" s="149">
        <f>IFERROR(_xlfn.XLOOKUP($D47,'Modelling New'!$D:$D,'Modelling New'!$P:$P),"")</f>
        <v>7.6437019903225805</v>
      </c>
      <c r="AD47" s="143">
        <f>IFERROR(_xlfn.XLOOKUP($D47,'Modelling New'!$D:$D,'Modelling New'!$T:$T)*1000,"")</f>
        <v>65538.17192485639</v>
      </c>
      <c r="AE47" s="148">
        <f>IFERROR(_xlfn.XLOOKUP($D47,'Modelling New'!$D:$D,'Modelling New'!$O:$O),"")</f>
        <v>0.73158192177304548</v>
      </c>
      <c r="AF47" s="148">
        <f>IFERROR(_xlfn.XLOOKUP($D47,'Modelling New'!$D:$D,'Modelling New'!$W:$W),"")</f>
        <v>0.23299975798086028</v>
      </c>
      <c r="AG47" s="148">
        <f>IFERROR(_xlfn.XLOOKUP($D47,'Modelling New'!$D:$D,'Modelling New'!AE:AE),"")</f>
        <v>0.995</v>
      </c>
      <c r="AH47" s="148">
        <f>IFERROR(_xlfn.XLOOKUP($D47,'Modelling New'!$D:$D,'Modelling New'!AF:AF),"")</f>
        <v>0.98550000000000004</v>
      </c>
      <c r="AN47" s="145"/>
      <c r="AO47" s="148"/>
      <c r="AP47" s="148"/>
      <c r="AQ47" s="148"/>
      <c r="AR47" s="143">
        <f>IFERROR(_xlfn.XLOOKUP($D47,'Modelling New'!$D:$D,'Modelling New'!$N:$N),"")</f>
        <v>11.72</v>
      </c>
      <c r="AT47" s="143">
        <f>IFERROR(_xlfn.XLOOKUP(Table13[[#This Row],[Date]],'Raw Data'!$G:$G,'Raw Data'!$AJ:$AJ),"")</f>
        <v>0</v>
      </c>
      <c r="AU47" s="143">
        <f>IFERROR(_xlfn.XLOOKUP(Table13[[#This Row],[Month Year]],'Modelling New'!$D:$D,'Modelling New'!$AO:$AO),"")</f>
        <v>10</v>
      </c>
      <c r="AV47" s="143"/>
    </row>
    <row r="48" spans="1:48">
      <c r="A48" s="142">
        <f t="shared" si="3"/>
        <v>45791</v>
      </c>
      <c r="B48" s="143">
        <f>YEAR(Table13[[#This Row],[Date]])+IF(MONTH(Table13[[#This Row],[Date]])&gt;=4,1,0)</f>
        <v>2026</v>
      </c>
      <c r="C48" s="116">
        <f>YEAR(Table13[[#This Row],[Date]])</f>
        <v>2025</v>
      </c>
      <c r="D48" s="144">
        <f>Table13[[#This Row],[Date]]-DAY(Table13[[#This Row],[Date]])+1</f>
        <v>45778</v>
      </c>
      <c r="E48" s="116">
        <f t="shared" si="4"/>
        <v>31</v>
      </c>
      <c r="F48" s="117">
        <f>IFERROR(_xlfn.XLOOKUP($A48,'Raw Data'!$G:$G,'Raw Data'!$AH:$AH),"")</f>
        <v>11.516666666666669</v>
      </c>
      <c r="G48" s="118">
        <f>IFERROR(_xlfn.XLOOKUP($A48,'Raw Data'!$G:$G,'Raw Data'!$S:$S)/1000,"")</f>
        <v>0</v>
      </c>
      <c r="H48" s="118"/>
      <c r="I48" s="118">
        <f>IFERROR(_xlfn.XLOOKUP($A48,'Raw Data'!$G:$G,'Raw Data'!$AF:$AF)/1000,"")</f>
        <v>6.5490000000000004</v>
      </c>
      <c r="J48" s="118"/>
      <c r="K48" s="118">
        <f>IFERROR(_xlfn.XLOOKUP($A48,'Raw Data'!$G:$G,'Raw Data'!W:W),"")</f>
        <v>23</v>
      </c>
      <c r="L48" s="118">
        <f>IFERROR(_xlfn.XLOOKUP($A48,'Raw Data'!$G:$G,'Raw Data'!X:X),"")</f>
        <v>43</v>
      </c>
      <c r="M48" s="118">
        <f>IFERROR(_xlfn.XLOOKUP($A48,'Raw Data'!$G:$G,'Raw Data'!Y:Y),"")</f>
        <v>5</v>
      </c>
      <c r="N48" s="118">
        <f>IFERROR(_xlfn.XLOOKUP($A48,'Raw Data'!$G:$G,'Raw Data'!Z:Z),"")</f>
        <v>11</v>
      </c>
      <c r="O48" s="145">
        <f>IFERROR(1-SUMIF('Plant BD'!$B:$B,$A48,'Plant BD'!$AM:$AM)/($AA48+SUMIF('Plant BD'!$B:$B,$A48,'Plant BD'!$AM:$AM)),"")</f>
        <v>1</v>
      </c>
      <c r="P48" s="145"/>
      <c r="Q48" s="146"/>
      <c r="R48" s="145">
        <f>IFERROR(1-SUMIF('Grid BD'!$B:$B,$A48,'Grid BD'!$AE:$AE)/($AA48+SUMIF('Grid BD'!$B:$B,$A48,'Grid BD'!$AE:$AE)),"")</f>
        <v>1</v>
      </c>
      <c r="T48" s="146">
        <f>IFERROR(1-SUMIF(Tracker_BD!$H:$H,$A48,Tracker_BD!AI:AI)/$F48,"")</f>
        <v>0.98486285077432345</v>
      </c>
      <c r="U48" s="147">
        <f t="shared" si="1"/>
        <v>0.70660294123017187</v>
      </c>
      <c r="V48" s="147"/>
      <c r="W48" s="148">
        <f t="shared" si="2"/>
        <v>0.19281427758818312</v>
      </c>
      <c r="X48" s="143">
        <f>IFERROR(_xlfn.XLOOKUP($A48,'Raw Data'!$G:$G,'Raw Data'!$AB:$AB),"")</f>
        <v>54465</v>
      </c>
      <c r="Y48" s="143">
        <f>IFERROR(_xlfn.XLOOKUP($A48,'Raw Data'!$G:$G,'Raw Data'!AC:AC),"")</f>
        <v>54423.800000004121</v>
      </c>
      <c r="Z48" s="143">
        <f>IFERROR(_xlfn.XLOOKUP($A48,'Raw Data'!$G:$G,'Raw Data'!AD:AD),"")</f>
        <v>188.99999999996453</v>
      </c>
      <c r="AA48" s="143">
        <f>IFERROR(_xlfn.XLOOKUP($A48,'Raw Data'!$G:$G,'Raw Data'!AE:AE)*(1+(_xlfn.XLOOKUP(Table13[[#This Row],[Month Year]],JMR!$A:$A,JMR!$J:$J))),"")</f>
        <v>54234.800000004157</v>
      </c>
      <c r="AB48" s="143">
        <f>IFERROR(_xlfn.XLOOKUP($A48,'Raw Data'!$G:$G,'Raw Data'!$H:$H),"")</f>
        <v>11.72</v>
      </c>
      <c r="AC48" s="149">
        <f>IFERROR(_xlfn.XLOOKUP($D48,'Modelling New'!$D:$D,'Modelling New'!$P:$P),"")</f>
        <v>7.6437019903225805</v>
      </c>
      <c r="AD48" s="143">
        <f>IFERROR(_xlfn.XLOOKUP($D48,'Modelling New'!$D:$D,'Modelling New'!$T:$T)*1000,"")</f>
        <v>65538.17192485639</v>
      </c>
      <c r="AE48" s="148">
        <f>IFERROR(_xlfn.XLOOKUP($D48,'Modelling New'!$D:$D,'Modelling New'!$O:$O),"")</f>
        <v>0.73158192177304548</v>
      </c>
      <c r="AF48" s="148">
        <f>IFERROR(_xlfn.XLOOKUP($D48,'Modelling New'!$D:$D,'Modelling New'!$W:$W),"")</f>
        <v>0.23299975798086028</v>
      </c>
      <c r="AG48" s="148">
        <f>IFERROR(_xlfn.XLOOKUP($D48,'Modelling New'!$D:$D,'Modelling New'!AE:AE),"")</f>
        <v>0.995</v>
      </c>
      <c r="AH48" s="148">
        <f>IFERROR(_xlfn.XLOOKUP($D48,'Modelling New'!$D:$D,'Modelling New'!AF:AF),"")</f>
        <v>0.98550000000000004</v>
      </c>
      <c r="AN48" s="145"/>
      <c r="AO48" s="148"/>
      <c r="AP48" s="148"/>
      <c r="AQ48" s="148"/>
      <c r="AR48" s="143">
        <f>IFERROR(_xlfn.XLOOKUP($D48,'Modelling New'!$D:$D,'Modelling New'!$N:$N),"")</f>
        <v>11.72</v>
      </c>
      <c r="AT48" s="143">
        <f>IFERROR(_xlfn.XLOOKUP(Table13[[#This Row],[Date]],'Raw Data'!$G:$G,'Raw Data'!$AJ:$AJ),"")</f>
        <v>0</v>
      </c>
      <c r="AU48" s="143">
        <f>IFERROR(_xlfn.XLOOKUP(Table13[[#This Row],[Month Year]],'Modelling New'!$D:$D,'Modelling New'!$AO:$AO),"")</f>
        <v>10</v>
      </c>
      <c r="AV48" s="143"/>
    </row>
    <row r="49" spans="1:48">
      <c r="A49" s="142">
        <f t="shared" si="3"/>
        <v>45792</v>
      </c>
      <c r="B49" s="143">
        <f>YEAR(Table13[[#This Row],[Date]])+IF(MONTH(Table13[[#This Row],[Date]])&gt;=4,1,0)</f>
        <v>2026</v>
      </c>
      <c r="C49" s="116">
        <f>YEAR(Table13[[#This Row],[Date]])</f>
        <v>2025</v>
      </c>
      <c r="D49" s="144">
        <f>Table13[[#This Row],[Date]]-DAY(Table13[[#This Row],[Date]])+1</f>
        <v>45778</v>
      </c>
      <c r="E49" s="116">
        <f t="shared" si="4"/>
        <v>31</v>
      </c>
      <c r="F49" s="117">
        <f>IFERROR(_xlfn.XLOOKUP($A49,'Raw Data'!$G:$G,'Raw Data'!$AH:$AH),"")</f>
        <v>11.116666666666667</v>
      </c>
      <c r="G49" s="118">
        <f>IFERROR(_xlfn.XLOOKUP($A49,'Raw Data'!$G:$G,'Raw Data'!$S:$S)/1000,"")</f>
        <v>0</v>
      </c>
      <c r="H49" s="118"/>
      <c r="I49" s="118">
        <f>IFERROR(_xlfn.XLOOKUP($A49,'Raw Data'!$G:$G,'Raw Data'!$AF:$AF)/1000,"")</f>
        <v>4.4690000000000003</v>
      </c>
      <c r="J49" s="118"/>
      <c r="K49" s="118">
        <f>IFERROR(_xlfn.XLOOKUP($A49,'Raw Data'!$G:$G,'Raw Data'!W:W),"")</f>
        <v>23</v>
      </c>
      <c r="L49" s="118">
        <f>IFERROR(_xlfn.XLOOKUP($A49,'Raw Data'!$G:$G,'Raw Data'!X:X),"")</f>
        <v>43</v>
      </c>
      <c r="M49" s="118">
        <f>IFERROR(_xlfn.XLOOKUP($A49,'Raw Data'!$G:$G,'Raw Data'!Y:Y),"")</f>
        <v>7</v>
      </c>
      <c r="N49" s="118">
        <f>IFERROR(_xlfn.XLOOKUP($A49,'Raw Data'!$G:$G,'Raw Data'!Z:Z),"")</f>
        <v>11</v>
      </c>
      <c r="O49" s="145">
        <f>IFERROR(1-SUMIF('Plant BD'!$B:$B,$A49,'Plant BD'!$AM:$AM)/($AA49+SUMIF('Plant BD'!$B:$B,$A49,'Plant BD'!$AM:$AM)),"")</f>
        <v>1</v>
      </c>
      <c r="P49" s="145"/>
      <c r="Q49" s="146"/>
      <c r="R49" s="145">
        <f>IFERROR(1-SUMIF('Grid BD'!$B:$B,$A49,'Grid BD'!$AE:$AE)/($AA49+SUMIF('Grid BD'!$B:$B,$A49,'Grid BD'!$AE:$AE)),"")</f>
        <v>1</v>
      </c>
      <c r="T49" s="146">
        <f>IFERROR(1-SUMIF(Tracker_BD!$H:$H,$A49,Tracker_BD!AI:AI)/$F49,"")</f>
        <v>0.9859122163056403</v>
      </c>
      <c r="U49" s="147">
        <f t="shared" si="1"/>
        <v>0.747846178871859</v>
      </c>
      <c r="V49" s="147"/>
      <c r="W49" s="148">
        <f t="shared" si="2"/>
        <v>0.13925519055743074</v>
      </c>
      <c r="X49" s="143">
        <f>IFERROR(_xlfn.XLOOKUP($A49,'Raw Data'!$G:$G,'Raw Data'!$AB:$AB),"")</f>
        <v>39471</v>
      </c>
      <c r="Y49" s="143">
        <f>IFERROR(_xlfn.XLOOKUP($A49,'Raw Data'!$G:$G,'Raw Data'!AC:AC),"")</f>
        <v>39404.899999994086</v>
      </c>
      <c r="Z49" s="143">
        <f>IFERROR(_xlfn.XLOOKUP($A49,'Raw Data'!$G:$G,'Raw Data'!AD:AD),"")</f>
        <v>235.19999999996344</v>
      </c>
      <c r="AA49" s="143">
        <f>IFERROR(_xlfn.XLOOKUP($A49,'Raw Data'!$G:$G,'Raw Data'!AE:AE)*(1+(_xlfn.XLOOKUP(Table13[[#This Row],[Month Year]],JMR!$A:$A,JMR!$J:$J))),"")</f>
        <v>39169.699999994125</v>
      </c>
      <c r="AB49" s="143">
        <f>IFERROR(_xlfn.XLOOKUP($A49,'Raw Data'!$G:$G,'Raw Data'!$H:$H),"")</f>
        <v>11.72</v>
      </c>
      <c r="AC49" s="149">
        <f>IFERROR(_xlfn.XLOOKUP($D49,'Modelling New'!$D:$D,'Modelling New'!$P:$P),"")</f>
        <v>7.6437019903225805</v>
      </c>
      <c r="AD49" s="143">
        <f>IFERROR(_xlfn.XLOOKUP($D49,'Modelling New'!$D:$D,'Modelling New'!$T:$T)*1000,"")</f>
        <v>65538.17192485639</v>
      </c>
      <c r="AE49" s="148">
        <f>IFERROR(_xlfn.XLOOKUP($D49,'Modelling New'!$D:$D,'Modelling New'!$O:$O),"")</f>
        <v>0.73158192177304548</v>
      </c>
      <c r="AF49" s="148">
        <f>IFERROR(_xlfn.XLOOKUP($D49,'Modelling New'!$D:$D,'Modelling New'!$W:$W),"")</f>
        <v>0.23299975798086028</v>
      </c>
      <c r="AG49" s="148">
        <f>IFERROR(_xlfn.XLOOKUP($D49,'Modelling New'!$D:$D,'Modelling New'!AE:AE),"")</f>
        <v>0.995</v>
      </c>
      <c r="AH49" s="148">
        <f>IFERROR(_xlfn.XLOOKUP($D49,'Modelling New'!$D:$D,'Modelling New'!AF:AF),"")</f>
        <v>0.98550000000000004</v>
      </c>
      <c r="AN49" s="145"/>
      <c r="AO49" s="148"/>
      <c r="AP49" s="148"/>
      <c r="AQ49" s="148"/>
      <c r="AR49" s="143">
        <f>IFERROR(_xlfn.XLOOKUP($D49,'Modelling New'!$D:$D,'Modelling New'!$N:$N),"")</f>
        <v>11.72</v>
      </c>
      <c r="AT49" s="143">
        <f>IFERROR(_xlfn.XLOOKUP(Table13[[#This Row],[Date]],'Raw Data'!$G:$G,'Raw Data'!$AJ:$AJ),"")</f>
        <v>0</v>
      </c>
      <c r="AU49" s="143">
        <f>IFERROR(_xlfn.XLOOKUP(Table13[[#This Row],[Month Year]],'Modelling New'!$D:$D,'Modelling New'!$AO:$AO),"")</f>
        <v>10</v>
      </c>
      <c r="AV49" s="143"/>
    </row>
    <row r="50" spans="1:48">
      <c r="A50" s="142">
        <f t="shared" si="3"/>
        <v>45793</v>
      </c>
      <c r="B50" s="143">
        <f>YEAR(Table13[[#This Row],[Date]])+IF(MONTH(Table13[[#This Row],[Date]])&gt;=4,1,0)</f>
        <v>2026</v>
      </c>
      <c r="C50" s="116">
        <f>YEAR(Table13[[#This Row],[Date]])</f>
        <v>2025</v>
      </c>
      <c r="D50" s="144">
        <f>Table13[[#This Row],[Date]]-DAY(Table13[[#This Row],[Date]])+1</f>
        <v>45778</v>
      </c>
      <c r="E50" s="116">
        <f t="shared" si="4"/>
        <v>31</v>
      </c>
      <c r="F50" s="117">
        <f>IFERROR(_xlfn.XLOOKUP($A50,'Raw Data'!$G:$G,'Raw Data'!$AH:$AH),"")</f>
        <v>12.5</v>
      </c>
      <c r="G50" s="118">
        <f>IFERROR(_xlfn.XLOOKUP($A50,'Raw Data'!$G:$G,'Raw Data'!$S:$S)/1000,"")</f>
        <v>0</v>
      </c>
      <c r="H50" s="118"/>
      <c r="I50" s="118">
        <f>IFERROR(_xlfn.XLOOKUP($A50,'Raw Data'!$G:$G,'Raw Data'!$AF:$AF)/1000,"")</f>
        <v>6.6369999999999996</v>
      </c>
      <c r="J50" s="118"/>
      <c r="K50" s="118">
        <f>IFERROR(_xlfn.XLOOKUP($A50,'Raw Data'!$G:$G,'Raw Data'!W:W),"")</f>
        <v>23</v>
      </c>
      <c r="L50" s="118">
        <f>IFERROR(_xlfn.XLOOKUP($A50,'Raw Data'!$G:$G,'Raw Data'!X:X),"")</f>
        <v>45</v>
      </c>
      <c r="M50" s="118">
        <f>IFERROR(_xlfn.XLOOKUP($A50,'Raw Data'!$G:$G,'Raw Data'!Y:Y),"")</f>
        <v>5</v>
      </c>
      <c r="N50" s="118">
        <f>IFERROR(_xlfn.XLOOKUP($A50,'Raw Data'!$G:$G,'Raw Data'!Z:Z),"")</f>
        <v>7</v>
      </c>
      <c r="O50" s="145">
        <f>IFERROR(1-SUMIF('Plant BD'!$B:$B,$A50,'Plant BD'!$AM:$AM)/($AA50+SUMIF('Plant BD'!$B:$B,$A50,'Plant BD'!$AM:$AM)),"")</f>
        <v>1</v>
      </c>
      <c r="P50" s="145"/>
      <c r="Q50" s="146"/>
      <c r="R50" s="145">
        <f>IFERROR(1-SUMIF('Grid BD'!$B:$B,$A50,'Grid BD'!$AE:$AE)/($AA50+SUMIF('Grid BD'!$B:$B,$A50,'Grid BD'!$AE:$AE)),"")</f>
        <v>0.96081416050677382</v>
      </c>
      <c r="T50" s="146">
        <f>IFERROR(1-SUMIF(Tracker_BD!$H:$H,$A50,Tracker_BD!AI:AI)/$F50,"")</f>
        <v>0.98595785440613026</v>
      </c>
      <c r="U50" s="147">
        <f t="shared" si="1"/>
        <v>0.69403298603705876</v>
      </c>
      <c r="V50" s="147"/>
      <c r="W50" s="148">
        <f t="shared" si="2"/>
        <v>0.19192903868033157</v>
      </c>
      <c r="X50" s="143">
        <f>IFERROR(_xlfn.XLOOKUP($A50,'Raw Data'!$G:$G,'Raw Data'!$AB:$AB),"")</f>
        <v>54066</v>
      </c>
      <c r="Y50" s="143">
        <f>IFERROR(_xlfn.XLOOKUP($A50,'Raw Data'!$G:$G,'Raw Data'!AC:AC),"")</f>
        <v>54164.600000003702</v>
      </c>
      <c r="Z50" s="143">
        <f>IFERROR(_xlfn.XLOOKUP($A50,'Raw Data'!$G:$G,'Raw Data'!AD:AD),"")</f>
        <v>178.80000000002383</v>
      </c>
      <c r="AA50" s="143">
        <f>IFERROR(_xlfn.XLOOKUP($A50,'Raw Data'!$G:$G,'Raw Data'!AE:AE)*(1+(_xlfn.XLOOKUP(Table13[[#This Row],[Month Year]],JMR!$A:$A,JMR!$J:$J))),"")</f>
        <v>53985.800000003677</v>
      </c>
      <c r="AB50" s="143">
        <f>IFERROR(_xlfn.XLOOKUP($A50,'Raw Data'!$G:$G,'Raw Data'!$H:$H),"")</f>
        <v>11.72</v>
      </c>
      <c r="AC50" s="149">
        <f>IFERROR(_xlfn.XLOOKUP($D50,'Modelling New'!$D:$D,'Modelling New'!$P:$P),"")</f>
        <v>7.6437019903225805</v>
      </c>
      <c r="AD50" s="143">
        <f>IFERROR(_xlfn.XLOOKUP($D50,'Modelling New'!$D:$D,'Modelling New'!$T:$T)*1000,"")</f>
        <v>65538.17192485639</v>
      </c>
      <c r="AE50" s="148">
        <f>IFERROR(_xlfn.XLOOKUP($D50,'Modelling New'!$D:$D,'Modelling New'!$O:$O),"")</f>
        <v>0.73158192177304548</v>
      </c>
      <c r="AF50" s="148">
        <f>IFERROR(_xlfn.XLOOKUP($D50,'Modelling New'!$D:$D,'Modelling New'!$W:$W),"")</f>
        <v>0.23299975798086028</v>
      </c>
      <c r="AG50" s="148">
        <f>IFERROR(_xlfn.XLOOKUP($D50,'Modelling New'!$D:$D,'Modelling New'!AE:AE),"")</f>
        <v>0.995</v>
      </c>
      <c r="AH50" s="148">
        <f>IFERROR(_xlfn.XLOOKUP($D50,'Modelling New'!$D:$D,'Modelling New'!AF:AF),"")</f>
        <v>0.98550000000000004</v>
      </c>
      <c r="AN50" s="145"/>
      <c r="AO50" s="148"/>
      <c r="AP50" s="148"/>
      <c r="AQ50" s="148"/>
      <c r="AR50" s="143">
        <f>IFERROR(_xlfn.XLOOKUP($D50,'Modelling New'!$D:$D,'Modelling New'!$N:$N),"")</f>
        <v>11.72</v>
      </c>
      <c r="AT50" s="143">
        <f>IFERROR(_xlfn.XLOOKUP(Table13[[#This Row],[Date]],'Raw Data'!$G:$G,'Raw Data'!$AJ:$AJ),"")</f>
        <v>0</v>
      </c>
      <c r="AU50" s="143">
        <f>IFERROR(_xlfn.XLOOKUP(Table13[[#This Row],[Month Year]],'Modelling New'!$D:$D,'Modelling New'!$AO:$AO),"")</f>
        <v>10</v>
      </c>
      <c r="AV50" s="143"/>
    </row>
    <row r="51" spans="1:48">
      <c r="A51" s="142">
        <f t="shared" si="3"/>
        <v>45794</v>
      </c>
      <c r="B51" s="143">
        <f>YEAR(Table13[[#This Row],[Date]])+IF(MONTH(Table13[[#This Row],[Date]])&gt;=4,1,0)</f>
        <v>2026</v>
      </c>
      <c r="C51" s="116">
        <f>YEAR(Table13[[#This Row],[Date]])</f>
        <v>2025</v>
      </c>
      <c r="D51" s="144">
        <f>Table13[[#This Row],[Date]]-DAY(Table13[[#This Row],[Date]])+1</f>
        <v>45778</v>
      </c>
      <c r="E51" s="116">
        <f t="shared" si="4"/>
        <v>31</v>
      </c>
      <c r="F51" s="117">
        <f>IFERROR(_xlfn.XLOOKUP($A51,'Raw Data'!$G:$G,'Raw Data'!$AH:$AH),"")</f>
        <v>12.216666666666665</v>
      </c>
      <c r="G51" s="118">
        <f>IFERROR(_xlfn.XLOOKUP($A51,'Raw Data'!$G:$G,'Raw Data'!$S:$S)/1000,"")</f>
        <v>0</v>
      </c>
      <c r="H51" s="118"/>
      <c r="I51" s="118">
        <f>IFERROR(_xlfn.XLOOKUP($A51,'Raw Data'!$G:$G,'Raw Data'!$AF:$AF)/1000,"")</f>
        <v>6.8869999999999996</v>
      </c>
      <c r="J51" s="118"/>
      <c r="K51" s="118">
        <f>IFERROR(_xlfn.XLOOKUP($A51,'Raw Data'!$G:$G,'Raw Data'!W:W),"")</f>
        <v>23</v>
      </c>
      <c r="L51" s="118">
        <f>IFERROR(_xlfn.XLOOKUP($A51,'Raw Data'!$G:$G,'Raw Data'!X:X),"")</f>
        <v>46.6</v>
      </c>
      <c r="M51" s="118">
        <f>IFERROR(_xlfn.XLOOKUP($A51,'Raw Data'!$G:$G,'Raw Data'!Y:Y),"")</f>
        <v>2.4</v>
      </c>
      <c r="N51" s="118">
        <f>IFERROR(_xlfn.XLOOKUP($A51,'Raw Data'!$G:$G,'Raw Data'!Z:Z),"")</f>
        <v>6</v>
      </c>
      <c r="O51" s="145">
        <f>IFERROR(1-SUMIF('Plant BD'!$B:$B,$A51,'Plant BD'!$AM:$AM)/($AA51+SUMIF('Plant BD'!$B:$B,$A51,'Plant BD'!$AM:$AM)),"")</f>
        <v>1</v>
      </c>
      <c r="P51" s="145"/>
      <c r="Q51" s="146"/>
      <c r="R51" s="145">
        <f>IFERROR(1-SUMIF('Grid BD'!$B:$B,$A51,'Grid BD'!$AE:$AE)/($AA51+SUMIF('Grid BD'!$B:$B,$A51,'Grid BD'!$AE:$AE)),"")</f>
        <v>0.93199530367627548</v>
      </c>
      <c r="T51" s="146">
        <f>IFERROR(1-SUMIF(Tracker_BD!$H:$H,$A51,Tracker_BD!AI:AI)/$F51,"")</f>
        <v>0.98563218390804597</v>
      </c>
      <c r="U51" s="147">
        <f t="shared" si="1"/>
        <v>0.66476707612064401</v>
      </c>
      <c r="V51" s="147"/>
      <c r="W51" s="148">
        <f t="shared" si="2"/>
        <v>0.19076045221845309</v>
      </c>
      <c r="X51" s="143">
        <f>IFERROR(_xlfn.XLOOKUP($A51,'Raw Data'!$G:$G,'Raw Data'!$AB:$AB),"")</f>
        <v>53945</v>
      </c>
      <c r="Y51" s="143">
        <f>IFERROR(_xlfn.XLOOKUP($A51,'Raw Data'!$G:$G,'Raw Data'!AC:AC),"")</f>
        <v>53878.200000006473</v>
      </c>
      <c r="Z51" s="143">
        <f>IFERROR(_xlfn.XLOOKUP($A51,'Raw Data'!$G:$G,'Raw Data'!AD:AD),"")</f>
        <v>221.09999999997854</v>
      </c>
      <c r="AA51" s="143">
        <f>IFERROR(_xlfn.XLOOKUP($A51,'Raw Data'!$G:$G,'Raw Data'!AE:AE)*(1+(_xlfn.XLOOKUP(Table13[[#This Row],[Month Year]],JMR!$A:$A,JMR!$J:$J))),"")</f>
        <v>53657.100000006496</v>
      </c>
      <c r="AB51" s="143">
        <f>IFERROR(_xlfn.XLOOKUP($A51,'Raw Data'!$G:$G,'Raw Data'!$H:$H),"")</f>
        <v>11.72</v>
      </c>
      <c r="AC51" s="149">
        <f>IFERROR(_xlfn.XLOOKUP($D51,'Modelling New'!$D:$D,'Modelling New'!$P:$P),"")</f>
        <v>7.6437019903225805</v>
      </c>
      <c r="AD51" s="143">
        <f>IFERROR(_xlfn.XLOOKUP($D51,'Modelling New'!$D:$D,'Modelling New'!$T:$T)*1000,"")</f>
        <v>65538.17192485639</v>
      </c>
      <c r="AE51" s="148">
        <f>IFERROR(_xlfn.XLOOKUP($D51,'Modelling New'!$D:$D,'Modelling New'!$O:$O),"")</f>
        <v>0.73158192177304548</v>
      </c>
      <c r="AF51" s="148">
        <f>IFERROR(_xlfn.XLOOKUP($D51,'Modelling New'!$D:$D,'Modelling New'!$W:$W),"")</f>
        <v>0.23299975798086028</v>
      </c>
      <c r="AG51" s="148">
        <f>IFERROR(_xlfn.XLOOKUP($D51,'Modelling New'!$D:$D,'Modelling New'!AE:AE),"")</f>
        <v>0.995</v>
      </c>
      <c r="AH51" s="148">
        <f>IFERROR(_xlfn.XLOOKUP($D51,'Modelling New'!$D:$D,'Modelling New'!AF:AF),"")</f>
        <v>0.98550000000000004</v>
      </c>
      <c r="AN51" s="145"/>
      <c r="AO51" s="148"/>
      <c r="AP51" s="148"/>
      <c r="AQ51" s="148"/>
      <c r="AR51" s="143">
        <f>IFERROR(_xlfn.XLOOKUP($D51,'Modelling New'!$D:$D,'Modelling New'!$N:$N),"")</f>
        <v>11.72</v>
      </c>
      <c r="AT51" s="143">
        <f>IFERROR(_xlfn.XLOOKUP(Table13[[#This Row],[Date]],'Raw Data'!$G:$G,'Raw Data'!$AJ:$AJ),"")</f>
        <v>0</v>
      </c>
      <c r="AU51" s="143">
        <f>IFERROR(_xlfn.XLOOKUP(Table13[[#This Row],[Month Year]],'Modelling New'!$D:$D,'Modelling New'!$AO:$AO),"")</f>
        <v>10</v>
      </c>
      <c r="AV51" s="143"/>
    </row>
    <row r="52" spans="1:48">
      <c r="A52" s="142">
        <f t="shared" si="3"/>
        <v>45795</v>
      </c>
      <c r="B52" s="143">
        <f>YEAR(Table13[[#This Row],[Date]])+IF(MONTH(Table13[[#This Row],[Date]])&gt;=4,1,0)</f>
        <v>2026</v>
      </c>
      <c r="C52" s="116">
        <f>YEAR(Table13[[#This Row],[Date]])</f>
        <v>2025</v>
      </c>
      <c r="D52" s="144">
        <f>Table13[[#This Row],[Date]]-DAY(Table13[[#This Row],[Date]])+1</f>
        <v>45778</v>
      </c>
      <c r="E52" s="116">
        <f t="shared" si="4"/>
        <v>31</v>
      </c>
      <c r="F52" s="117">
        <f>IFERROR(_xlfn.XLOOKUP($A52,'Raw Data'!$G:$G,'Raw Data'!$AH:$AH),"")</f>
        <v>12.5</v>
      </c>
      <c r="G52" s="118">
        <f>IFERROR(_xlfn.XLOOKUP($A52,'Raw Data'!$G:$G,'Raw Data'!$S:$S)/1000,"")</f>
        <v>0</v>
      </c>
      <c r="H52" s="118"/>
      <c r="I52" s="118">
        <f>IFERROR(_xlfn.XLOOKUP($A52,'Raw Data'!$G:$G,'Raw Data'!$AF:$AF)/1000,"")</f>
        <v>5.1920000000000002</v>
      </c>
      <c r="J52" s="118"/>
      <c r="K52" s="118">
        <f>IFERROR(_xlfn.XLOOKUP($A52,'Raw Data'!$G:$G,'Raw Data'!W:W),"")</f>
        <v>23</v>
      </c>
      <c r="L52" s="118">
        <f>IFERROR(_xlfn.XLOOKUP($A52,'Raw Data'!$G:$G,'Raw Data'!X:X),"")</f>
        <v>40</v>
      </c>
      <c r="M52" s="118">
        <f>IFERROR(_xlfn.XLOOKUP($A52,'Raw Data'!$G:$G,'Raw Data'!Y:Y),"")</f>
        <v>5</v>
      </c>
      <c r="N52" s="118">
        <f>IFERROR(_xlfn.XLOOKUP($A52,'Raw Data'!$G:$G,'Raw Data'!Z:Z),"")</f>
        <v>10</v>
      </c>
      <c r="O52" s="145">
        <f>IFERROR(1-SUMIF('Plant BD'!$B:$B,$A52,'Plant BD'!$AM:$AM)/($AA52+SUMIF('Plant BD'!$B:$B,$A52,'Plant BD'!$AM:$AM)),"")</f>
        <v>1</v>
      </c>
      <c r="P52" s="145"/>
      <c r="Q52" s="146"/>
      <c r="R52" s="145">
        <f>IFERROR(1-SUMIF('Grid BD'!$B:$B,$A52,'Grid BD'!$AE:$AE)/($AA52+SUMIF('Grid BD'!$B:$B,$A52,'Grid BD'!$AE:$AE)),"")</f>
        <v>1</v>
      </c>
      <c r="T52" s="146">
        <f>IFERROR(1-SUMIF(Tracker_BD!$H:$H,$A52,Tracker_BD!AI:AI)/$F52,"")</f>
        <v>0.98597701149425288</v>
      </c>
      <c r="U52" s="147">
        <f t="shared" si="1"/>
        <v>0.73463802279155865</v>
      </c>
      <c r="V52" s="147"/>
      <c r="W52" s="148">
        <f t="shared" si="2"/>
        <v>0.15892669226390715</v>
      </c>
      <c r="X52" s="143">
        <f>IFERROR(_xlfn.XLOOKUP($A52,'Raw Data'!$G:$G,'Raw Data'!$AB:$AB),"")</f>
        <v>44734</v>
      </c>
      <c r="Y52" s="143">
        <f>IFERROR(_xlfn.XLOOKUP($A52,'Raw Data'!$G:$G,'Raw Data'!AC:AC),"")</f>
        <v>44791.799999991781</v>
      </c>
      <c r="Z52" s="143">
        <f>IFERROR(_xlfn.XLOOKUP($A52,'Raw Data'!$G:$G,'Raw Data'!AD:AD),"")</f>
        <v>88.899999999966894</v>
      </c>
      <c r="AA52" s="143">
        <f>IFERROR(_xlfn.XLOOKUP($A52,'Raw Data'!$G:$G,'Raw Data'!AE:AE)*(1+(_xlfn.XLOOKUP(Table13[[#This Row],[Month Year]],JMR!$A:$A,JMR!$J:$J))),"")</f>
        <v>44702.899999991816</v>
      </c>
      <c r="AB52" s="143">
        <f>IFERROR(_xlfn.XLOOKUP($A52,'Raw Data'!$G:$G,'Raw Data'!$H:$H),"")</f>
        <v>11.72</v>
      </c>
      <c r="AC52" s="149">
        <f>IFERROR(_xlfn.XLOOKUP($D52,'Modelling New'!$D:$D,'Modelling New'!$P:$P),"")</f>
        <v>7.6437019903225805</v>
      </c>
      <c r="AD52" s="143">
        <f>IFERROR(_xlfn.XLOOKUP($D52,'Modelling New'!$D:$D,'Modelling New'!$T:$T)*1000,"")</f>
        <v>65538.17192485639</v>
      </c>
      <c r="AE52" s="148">
        <f>IFERROR(_xlfn.XLOOKUP($D52,'Modelling New'!$D:$D,'Modelling New'!$O:$O),"")</f>
        <v>0.73158192177304548</v>
      </c>
      <c r="AF52" s="148">
        <f>IFERROR(_xlfn.XLOOKUP($D52,'Modelling New'!$D:$D,'Modelling New'!$W:$W),"")</f>
        <v>0.23299975798086028</v>
      </c>
      <c r="AG52" s="148">
        <f>IFERROR(_xlfn.XLOOKUP($D52,'Modelling New'!$D:$D,'Modelling New'!AE:AE),"")</f>
        <v>0.995</v>
      </c>
      <c r="AH52" s="148">
        <f>IFERROR(_xlfn.XLOOKUP($D52,'Modelling New'!$D:$D,'Modelling New'!AF:AF),"")</f>
        <v>0.98550000000000004</v>
      </c>
      <c r="AN52" s="145"/>
      <c r="AO52" s="148"/>
      <c r="AP52" s="148"/>
      <c r="AQ52" s="148"/>
      <c r="AR52" s="143">
        <f>IFERROR(_xlfn.XLOOKUP($D52,'Modelling New'!$D:$D,'Modelling New'!$N:$N),"")</f>
        <v>11.72</v>
      </c>
      <c r="AT52" s="143">
        <f>IFERROR(_xlfn.XLOOKUP(Table13[[#This Row],[Date]],'Raw Data'!$G:$G,'Raw Data'!$AJ:$AJ),"")</f>
        <v>0</v>
      </c>
      <c r="AU52" s="143">
        <f>IFERROR(_xlfn.XLOOKUP(Table13[[#This Row],[Month Year]],'Modelling New'!$D:$D,'Modelling New'!$AO:$AO),"")</f>
        <v>10</v>
      </c>
      <c r="AV52" s="143"/>
    </row>
    <row r="53" spans="1:48">
      <c r="A53" s="142">
        <f t="shared" si="3"/>
        <v>45796</v>
      </c>
      <c r="B53" s="143">
        <f>YEAR(Table13[[#This Row],[Date]])+IF(MONTH(Table13[[#This Row],[Date]])&gt;=4,1,0)</f>
        <v>2026</v>
      </c>
      <c r="C53" s="116">
        <f>YEAR(Table13[[#This Row],[Date]])</f>
        <v>2025</v>
      </c>
      <c r="D53" s="144">
        <f>Table13[[#This Row],[Date]]-DAY(Table13[[#This Row],[Date]])+1</f>
        <v>45778</v>
      </c>
      <c r="E53" s="116">
        <f t="shared" si="4"/>
        <v>31</v>
      </c>
      <c r="F53" s="117">
        <f>IFERROR(_xlfn.XLOOKUP($A53,'Raw Data'!$G:$G,'Raw Data'!$AH:$AH),"")</f>
        <v>12.450000000000001</v>
      </c>
      <c r="G53" s="118">
        <f>IFERROR(_xlfn.XLOOKUP($A53,'Raw Data'!$G:$G,'Raw Data'!$S:$S)/1000,"")</f>
        <v>0</v>
      </c>
      <c r="H53" s="118"/>
      <c r="I53" s="118">
        <f>IFERROR(_xlfn.XLOOKUP($A53,'Raw Data'!$G:$G,'Raw Data'!$AF:$AF)/1000,"")</f>
        <v>4.7190000000000003</v>
      </c>
      <c r="J53" s="118"/>
      <c r="K53" s="118">
        <f>IFERROR(_xlfn.XLOOKUP($A53,'Raw Data'!$G:$G,'Raw Data'!W:W),"")</f>
        <v>23</v>
      </c>
      <c r="L53" s="118">
        <f>IFERROR(_xlfn.XLOOKUP($A53,'Raw Data'!$G:$G,'Raw Data'!X:X),"")</f>
        <v>42</v>
      </c>
      <c r="M53" s="118">
        <f>IFERROR(_xlfn.XLOOKUP($A53,'Raw Data'!$G:$G,'Raw Data'!Y:Y),"")</f>
        <v>5</v>
      </c>
      <c r="N53" s="118">
        <f>IFERROR(_xlfn.XLOOKUP($A53,'Raw Data'!$G:$G,'Raw Data'!Z:Z),"")</f>
        <v>7</v>
      </c>
      <c r="O53" s="145">
        <f>IFERROR(1-SUMIF('Plant BD'!$B:$B,$A53,'Plant BD'!$AM:$AM)/($AA53+SUMIF('Plant BD'!$B:$B,$A53,'Plant BD'!$AM:$AM)),"")</f>
        <v>1</v>
      </c>
      <c r="P53" s="145"/>
      <c r="Q53" s="146"/>
      <c r="R53" s="145">
        <f>IFERROR(1-SUMIF('Grid BD'!$B:$B,$A53,'Grid BD'!$AE:$AE)/($AA53+SUMIF('Grid BD'!$B:$B,$A53,'Grid BD'!$AE:$AE)),"")</f>
        <v>0.67019458453793213</v>
      </c>
      <c r="T53" s="146">
        <f>IFERROR(1-SUMIF(Tracker_BD!$H:$H,$A53,Tracker_BD!AI:AI)/$F53,"")</f>
        <v>0.98165997322623832</v>
      </c>
      <c r="U53" s="147">
        <f t="shared" si="1"/>
        <v>0.48821769811534443</v>
      </c>
      <c r="V53" s="147"/>
      <c r="W53" s="148">
        <f t="shared" si="2"/>
        <v>9.599580489192959E-2</v>
      </c>
      <c r="X53" s="143">
        <f>IFERROR(_xlfn.XLOOKUP($A53,'Raw Data'!$G:$G,'Raw Data'!$AB:$AB),"")</f>
        <v>27131</v>
      </c>
      <c r="Y53" s="143">
        <f>IFERROR(_xlfn.XLOOKUP($A53,'Raw Data'!$G:$G,'Raw Data'!AC:AC),"")</f>
        <v>27050.900000002002</v>
      </c>
      <c r="Z53" s="143">
        <f>IFERROR(_xlfn.XLOOKUP($A53,'Raw Data'!$G:$G,'Raw Data'!AD:AD),"")</f>
        <v>49.200000000041655</v>
      </c>
      <c r="AA53" s="143">
        <f>IFERROR(_xlfn.XLOOKUP($A53,'Raw Data'!$G:$G,'Raw Data'!AE:AE)*(1+(_xlfn.XLOOKUP(Table13[[#This Row],[Month Year]],JMR!$A:$A,JMR!$J:$J))),"")</f>
        <v>27001.700000001962</v>
      </c>
      <c r="AB53" s="143">
        <f>IFERROR(_xlfn.XLOOKUP($A53,'Raw Data'!$G:$G,'Raw Data'!$H:$H),"")</f>
        <v>11.72</v>
      </c>
      <c r="AC53" s="149">
        <f>IFERROR(_xlfn.XLOOKUP($D53,'Modelling New'!$D:$D,'Modelling New'!$P:$P),"")</f>
        <v>7.6437019903225805</v>
      </c>
      <c r="AD53" s="143">
        <f>IFERROR(_xlfn.XLOOKUP($D53,'Modelling New'!$D:$D,'Modelling New'!$T:$T)*1000,"")</f>
        <v>65538.17192485639</v>
      </c>
      <c r="AE53" s="148">
        <f>IFERROR(_xlfn.XLOOKUP($D53,'Modelling New'!$D:$D,'Modelling New'!$O:$O),"")</f>
        <v>0.73158192177304548</v>
      </c>
      <c r="AF53" s="148">
        <f>IFERROR(_xlfn.XLOOKUP($D53,'Modelling New'!$D:$D,'Modelling New'!$W:$W),"")</f>
        <v>0.23299975798086028</v>
      </c>
      <c r="AG53" s="148">
        <f>IFERROR(_xlfn.XLOOKUP($D53,'Modelling New'!$D:$D,'Modelling New'!AE:AE),"")</f>
        <v>0.995</v>
      </c>
      <c r="AH53" s="148">
        <f>IFERROR(_xlfn.XLOOKUP($D53,'Modelling New'!$D:$D,'Modelling New'!AF:AF),"")</f>
        <v>0.98550000000000004</v>
      </c>
      <c r="AN53" s="145"/>
      <c r="AO53" s="148"/>
      <c r="AP53" s="148"/>
      <c r="AQ53" s="148"/>
      <c r="AR53" s="143">
        <f>IFERROR(_xlfn.XLOOKUP($D53,'Modelling New'!$D:$D,'Modelling New'!$N:$N),"")</f>
        <v>11.72</v>
      </c>
      <c r="AT53" s="143">
        <f>IFERROR(_xlfn.XLOOKUP(Table13[[#This Row],[Date]],'Raw Data'!$G:$G,'Raw Data'!$AJ:$AJ),"")</f>
        <v>0</v>
      </c>
      <c r="AU53" s="143">
        <f>IFERROR(_xlfn.XLOOKUP(Table13[[#This Row],[Month Year]],'Modelling New'!$D:$D,'Modelling New'!$AO:$AO),"")</f>
        <v>10</v>
      </c>
      <c r="AV53" s="143"/>
    </row>
    <row r="54" spans="1:48">
      <c r="A54" s="142">
        <f t="shared" si="3"/>
        <v>45797</v>
      </c>
      <c r="B54" s="143">
        <f>YEAR(Table13[[#This Row],[Date]])+IF(MONTH(Table13[[#This Row],[Date]])&gt;=4,1,0)</f>
        <v>2026</v>
      </c>
      <c r="C54" s="116">
        <f>YEAR(Table13[[#This Row],[Date]])</f>
        <v>2025</v>
      </c>
      <c r="D54" s="144">
        <f>Table13[[#This Row],[Date]]-DAY(Table13[[#This Row],[Date]])+1</f>
        <v>45778</v>
      </c>
      <c r="E54" s="116">
        <f t="shared" si="4"/>
        <v>31</v>
      </c>
      <c r="F54" s="117">
        <f>IFERROR(_xlfn.XLOOKUP($A54,'Raw Data'!$G:$G,'Raw Data'!$AH:$AH),"")</f>
        <v>12.416666666666664</v>
      </c>
      <c r="G54" s="118">
        <f>IFERROR(_xlfn.XLOOKUP($A54,'Raw Data'!$G:$G,'Raw Data'!$S:$S)/1000,"")</f>
        <v>0</v>
      </c>
      <c r="H54" s="118"/>
      <c r="I54" s="118">
        <f>IFERROR(_xlfn.XLOOKUP($A54,'Raw Data'!$G:$G,'Raw Data'!$AF:$AF)/1000,"")</f>
        <v>4.5289999999999999</v>
      </c>
      <c r="J54" s="118"/>
      <c r="K54" s="118">
        <f>IFERROR(_xlfn.XLOOKUP($A54,'Raw Data'!$G:$G,'Raw Data'!W:W),"")</f>
        <v>23</v>
      </c>
      <c r="L54" s="118">
        <f>IFERROR(_xlfn.XLOOKUP($A54,'Raw Data'!$G:$G,'Raw Data'!X:X),"")</f>
        <v>38</v>
      </c>
      <c r="M54" s="118">
        <f>IFERROR(_xlfn.XLOOKUP($A54,'Raw Data'!$G:$G,'Raw Data'!Y:Y),"")</f>
        <v>5</v>
      </c>
      <c r="N54" s="118">
        <f>IFERROR(_xlfn.XLOOKUP($A54,'Raw Data'!$G:$G,'Raw Data'!Z:Z),"")</f>
        <v>10</v>
      </c>
      <c r="O54" s="145">
        <f>IFERROR(1-SUMIF('Plant BD'!$B:$B,$A54,'Plant BD'!$AM:$AM)/($AA54+SUMIF('Plant BD'!$B:$B,$A54,'Plant BD'!$AM:$AM)),"")</f>
        <v>1</v>
      </c>
      <c r="P54" s="145"/>
      <c r="Q54" s="146"/>
      <c r="R54" s="145">
        <f>IFERROR(1-SUMIF('Grid BD'!$B:$B,$A54,'Grid BD'!$AE:$AE)/($AA54+SUMIF('Grid BD'!$B:$B,$A54,'Grid BD'!$AE:$AE)),"")</f>
        <v>1</v>
      </c>
      <c r="T54" s="146">
        <f>IFERROR(1-SUMIF(Tracker_BD!$H:$H,$A54,Tracker_BD!AI:AI)/$F54,"")</f>
        <v>0.98295302013422825</v>
      </c>
      <c r="U54" s="147">
        <f t="shared" si="1"/>
        <v>0.73530309412911177</v>
      </c>
      <c r="V54" s="147"/>
      <c r="W54" s="148">
        <f t="shared" si="2"/>
        <v>0.13875782138794776</v>
      </c>
      <c r="X54" s="143">
        <f>IFERROR(_xlfn.XLOOKUP($A54,'Raw Data'!$G:$G,'Raw Data'!$AB:$AB),"")</f>
        <v>39277</v>
      </c>
      <c r="Y54" s="143">
        <f>IFERROR(_xlfn.XLOOKUP($A54,'Raw Data'!$G:$G,'Raw Data'!AC:AC),"")</f>
        <v>39209.600000001956</v>
      </c>
      <c r="Z54" s="143">
        <f>IFERROR(_xlfn.XLOOKUP($A54,'Raw Data'!$G:$G,'Raw Data'!AD:AD),"")</f>
        <v>179.80000000000018</v>
      </c>
      <c r="AA54" s="143">
        <f>IFERROR(_xlfn.XLOOKUP($A54,'Raw Data'!$G:$G,'Raw Data'!AE:AE)*(1+(_xlfn.XLOOKUP(Table13[[#This Row],[Month Year]],JMR!$A:$A,JMR!$J:$J))),"")</f>
        <v>39029.800000001953</v>
      </c>
      <c r="AB54" s="143">
        <f>IFERROR(_xlfn.XLOOKUP($A54,'Raw Data'!$G:$G,'Raw Data'!$H:$H),"")</f>
        <v>11.72</v>
      </c>
      <c r="AC54" s="149">
        <f>IFERROR(_xlfn.XLOOKUP($D54,'Modelling New'!$D:$D,'Modelling New'!$P:$P),"")</f>
        <v>7.6437019903225805</v>
      </c>
      <c r="AD54" s="143">
        <f>IFERROR(_xlfn.XLOOKUP($D54,'Modelling New'!$D:$D,'Modelling New'!$T:$T)*1000,"")</f>
        <v>65538.17192485639</v>
      </c>
      <c r="AE54" s="148">
        <f>IFERROR(_xlfn.XLOOKUP($D54,'Modelling New'!$D:$D,'Modelling New'!$O:$O),"")</f>
        <v>0.73158192177304548</v>
      </c>
      <c r="AF54" s="148">
        <f>IFERROR(_xlfn.XLOOKUP($D54,'Modelling New'!$D:$D,'Modelling New'!$W:$W),"")</f>
        <v>0.23299975798086028</v>
      </c>
      <c r="AG54" s="148">
        <f>IFERROR(_xlfn.XLOOKUP($D54,'Modelling New'!$D:$D,'Modelling New'!AE:AE),"")</f>
        <v>0.995</v>
      </c>
      <c r="AH54" s="148">
        <f>IFERROR(_xlfn.XLOOKUP($D54,'Modelling New'!$D:$D,'Modelling New'!AF:AF),"")</f>
        <v>0.98550000000000004</v>
      </c>
      <c r="AN54" s="145"/>
      <c r="AO54" s="148"/>
      <c r="AP54" s="148"/>
      <c r="AQ54" s="148"/>
      <c r="AR54" s="143">
        <f>IFERROR(_xlfn.XLOOKUP($D54,'Modelling New'!$D:$D,'Modelling New'!$N:$N),"")</f>
        <v>11.72</v>
      </c>
      <c r="AT54" s="143">
        <f>IFERROR(_xlfn.XLOOKUP(Table13[[#This Row],[Date]],'Raw Data'!$G:$G,'Raw Data'!$AJ:$AJ),"")</f>
        <v>0</v>
      </c>
      <c r="AU54" s="143">
        <f>IFERROR(_xlfn.XLOOKUP(Table13[[#This Row],[Month Year]],'Modelling New'!$D:$D,'Modelling New'!$AO:$AO),"")</f>
        <v>10</v>
      </c>
      <c r="AV54" s="143"/>
    </row>
    <row r="55" spans="1:48">
      <c r="A55" s="142">
        <f t="shared" si="3"/>
        <v>45798</v>
      </c>
      <c r="B55" s="143">
        <f>YEAR(Table13[[#This Row],[Date]])+IF(MONTH(Table13[[#This Row],[Date]])&gt;=4,1,0)</f>
        <v>2026</v>
      </c>
      <c r="C55" s="116">
        <f>YEAR(Table13[[#This Row],[Date]])</f>
        <v>2025</v>
      </c>
      <c r="D55" s="144">
        <f>Table13[[#This Row],[Date]]-DAY(Table13[[#This Row],[Date]])+1</f>
        <v>45778</v>
      </c>
      <c r="E55" s="116">
        <f t="shared" si="4"/>
        <v>31</v>
      </c>
      <c r="F55" s="117">
        <f>IFERROR(_xlfn.XLOOKUP($A55,'Raw Data'!$G:$G,'Raw Data'!$AH:$AH),"")</f>
        <v>9.5666666666666664</v>
      </c>
      <c r="G55" s="118">
        <f>IFERROR(_xlfn.XLOOKUP($A55,'Raw Data'!$G:$G,'Raw Data'!$S:$S)/1000,"")</f>
        <v>0</v>
      </c>
      <c r="H55" s="118"/>
      <c r="I55" s="118">
        <f>IFERROR(_xlfn.XLOOKUP($A55,'Raw Data'!$G:$G,'Raw Data'!$AF:$AF)/1000,"")</f>
        <v>3.194</v>
      </c>
      <c r="J55" s="118"/>
      <c r="K55" s="118">
        <f>IFERROR(_xlfn.XLOOKUP($A55,'Raw Data'!$G:$G,'Raw Data'!W:W),"")</f>
        <v>23</v>
      </c>
      <c r="L55" s="118">
        <f>IFERROR(_xlfn.XLOOKUP($A55,'Raw Data'!$G:$G,'Raw Data'!X:X),"")</f>
        <v>36</v>
      </c>
      <c r="M55" s="118">
        <f>IFERROR(_xlfn.XLOOKUP($A55,'Raw Data'!$G:$G,'Raw Data'!Y:Y),"")</f>
        <v>2</v>
      </c>
      <c r="N55" s="118">
        <f>IFERROR(_xlfn.XLOOKUP($A55,'Raw Data'!$G:$G,'Raw Data'!Z:Z),"")</f>
        <v>6</v>
      </c>
      <c r="O55" s="145">
        <f>IFERROR(1-SUMIF('Plant BD'!$B:$B,$A55,'Plant BD'!$AM:$AM)/($AA55+SUMIF('Plant BD'!$B:$B,$A55,'Plant BD'!$AM:$AM)),"")</f>
        <v>1</v>
      </c>
      <c r="P55" s="145"/>
      <c r="Q55" s="146"/>
      <c r="R55" s="145">
        <f>IFERROR(1-SUMIF('Grid BD'!$B:$B,$A55,'Grid BD'!$AE:$AE)/($AA55+SUMIF('Grid BD'!$B:$B,$A55,'Grid BD'!$AE:$AE)),"")</f>
        <v>0.8634816454600982</v>
      </c>
      <c r="T55" s="146">
        <f>IFERROR(1-SUMIF(Tracker_BD!$H:$H,$A55,Tracker_BD!AI:AI)/$F55,"")</f>
        <v>0.97570887900997239</v>
      </c>
      <c r="U55" s="147">
        <f t="shared" si="1"/>
        <v>0.66587629108339064</v>
      </c>
      <c r="V55" s="147"/>
      <c r="W55" s="148">
        <f t="shared" si="2"/>
        <v>8.8617036405014546E-2</v>
      </c>
      <c r="X55" s="143">
        <f>IFERROR(_xlfn.XLOOKUP($A55,'Raw Data'!$G:$G,'Raw Data'!$AB:$AB),"")</f>
        <v>25034</v>
      </c>
      <c r="Y55" s="143">
        <f>IFERROR(_xlfn.XLOOKUP($A55,'Raw Data'!$G:$G,'Raw Data'!AC:AC),"")</f>
        <v>25007.100000002538</v>
      </c>
      <c r="Z55" s="143">
        <f>IFERROR(_xlfn.XLOOKUP($A55,'Raw Data'!$G:$G,'Raw Data'!AD:AD),"")</f>
        <v>80.900000000042382</v>
      </c>
      <c r="AA55" s="143">
        <f>IFERROR(_xlfn.XLOOKUP($A55,'Raw Data'!$G:$G,'Raw Data'!AE:AE)*(1+(_xlfn.XLOOKUP(Table13[[#This Row],[Month Year]],JMR!$A:$A,JMR!$J:$J))),"")</f>
        <v>24926.200000002496</v>
      </c>
      <c r="AB55" s="143">
        <f>IFERROR(_xlfn.XLOOKUP($A55,'Raw Data'!$G:$G,'Raw Data'!$H:$H),"")</f>
        <v>11.72</v>
      </c>
      <c r="AC55" s="149">
        <f>IFERROR(_xlfn.XLOOKUP($D55,'Modelling New'!$D:$D,'Modelling New'!$P:$P),"")</f>
        <v>7.6437019903225805</v>
      </c>
      <c r="AD55" s="143">
        <f>IFERROR(_xlfn.XLOOKUP($D55,'Modelling New'!$D:$D,'Modelling New'!$T:$T)*1000,"")</f>
        <v>65538.17192485639</v>
      </c>
      <c r="AE55" s="148">
        <f>IFERROR(_xlfn.XLOOKUP($D55,'Modelling New'!$D:$D,'Modelling New'!$O:$O),"")</f>
        <v>0.73158192177304548</v>
      </c>
      <c r="AF55" s="148">
        <f>IFERROR(_xlfn.XLOOKUP($D55,'Modelling New'!$D:$D,'Modelling New'!$W:$W),"")</f>
        <v>0.23299975798086028</v>
      </c>
      <c r="AG55" s="148">
        <f>IFERROR(_xlfn.XLOOKUP($D55,'Modelling New'!$D:$D,'Modelling New'!AE:AE),"")</f>
        <v>0.995</v>
      </c>
      <c r="AH55" s="148">
        <f>IFERROR(_xlfn.XLOOKUP($D55,'Modelling New'!$D:$D,'Modelling New'!AF:AF),"")</f>
        <v>0.98550000000000004</v>
      </c>
      <c r="AN55" s="145"/>
      <c r="AO55" s="148"/>
      <c r="AP55" s="148"/>
      <c r="AQ55" s="148"/>
      <c r="AR55" s="143">
        <f>IFERROR(_xlfn.XLOOKUP($D55,'Modelling New'!$D:$D,'Modelling New'!$N:$N),"")</f>
        <v>11.72</v>
      </c>
      <c r="AT55" s="143">
        <f>IFERROR(_xlfn.XLOOKUP(Table13[[#This Row],[Date]],'Raw Data'!$G:$G,'Raw Data'!$AJ:$AJ),"")</f>
        <v>0</v>
      </c>
      <c r="AU55" s="143">
        <f>IFERROR(_xlfn.XLOOKUP(Table13[[#This Row],[Month Year]],'Modelling New'!$D:$D,'Modelling New'!$AO:$AO),"")</f>
        <v>10</v>
      </c>
      <c r="AV55" s="143"/>
    </row>
    <row r="56" spans="1:48">
      <c r="A56" s="142">
        <f t="shared" si="3"/>
        <v>45799</v>
      </c>
      <c r="B56" s="143">
        <f>YEAR(Table13[[#This Row],[Date]])+IF(MONTH(Table13[[#This Row],[Date]])&gt;=4,1,0)</f>
        <v>2026</v>
      </c>
      <c r="C56" s="116">
        <f>YEAR(Table13[[#This Row],[Date]])</f>
        <v>2025</v>
      </c>
      <c r="D56" s="144">
        <f>Table13[[#This Row],[Date]]-DAY(Table13[[#This Row],[Date]])+1</f>
        <v>45778</v>
      </c>
      <c r="E56" s="116">
        <f t="shared" si="4"/>
        <v>31</v>
      </c>
      <c r="F56" s="117">
        <f>IFERROR(_xlfn.XLOOKUP($A56,'Raw Data'!$G:$G,'Raw Data'!$AH:$AH),"")</f>
        <v>10.7</v>
      </c>
      <c r="G56" s="118">
        <f>IFERROR(_xlfn.XLOOKUP($A56,'Raw Data'!$G:$G,'Raw Data'!$S:$S)/1000,"")</f>
        <v>0</v>
      </c>
      <c r="H56" s="118"/>
      <c r="I56" s="118">
        <f>IFERROR(_xlfn.XLOOKUP($A56,'Raw Data'!$G:$G,'Raw Data'!$AF:$AF)/1000,"")</f>
        <v>5.7850000000000001</v>
      </c>
      <c r="J56" s="118"/>
      <c r="K56" s="118">
        <f>IFERROR(_xlfn.XLOOKUP($A56,'Raw Data'!$G:$G,'Raw Data'!W:W),"")</f>
        <v>23</v>
      </c>
      <c r="L56" s="118">
        <f>IFERROR(_xlfn.XLOOKUP($A56,'Raw Data'!$G:$G,'Raw Data'!X:X),"")</f>
        <v>44</v>
      </c>
      <c r="M56" s="118">
        <f>IFERROR(_xlfn.XLOOKUP($A56,'Raw Data'!$G:$G,'Raw Data'!Y:Y),"")</f>
        <v>2</v>
      </c>
      <c r="N56" s="118">
        <f>IFERROR(_xlfn.XLOOKUP($A56,'Raw Data'!$G:$G,'Raw Data'!Z:Z),"")</f>
        <v>7</v>
      </c>
      <c r="O56" s="145">
        <f>IFERROR(1-SUMIF('Plant BD'!$B:$B,$A56,'Plant BD'!$AM:$AM)/($AA56+SUMIF('Plant BD'!$B:$B,$A56,'Plant BD'!$AM:$AM)),"")</f>
        <v>1.8059081412863609E-2</v>
      </c>
      <c r="P56" s="145"/>
      <c r="Q56" s="146"/>
      <c r="R56" s="145">
        <f>IFERROR(1-SUMIF('Grid BD'!$B:$B,$A56,'Grid BD'!$AE:$AE)/($AA56+SUMIF('Grid BD'!$B:$B,$A56,'Grid BD'!$AE:$AE)),"")</f>
        <v>0.9621082195674997</v>
      </c>
      <c r="T56" s="146">
        <f>IFERROR(1-SUMIF(Tracker_BD!$H:$H,$A56,Tracker_BD!AI:AI)/$F56,"")</f>
        <v>0.98303075876392021</v>
      </c>
      <c r="U56" s="147">
        <f t="shared" si="1"/>
        <v>0.67696555467374642</v>
      </c>
      <c r="V56" s="147"/>
      <c r="W56" s="148">
        <f t="shared" si="2"/>
        <v>0.16317690557448425</v>
      </c>
      <c r="X56" s="143">
        <f>IFERROR(_xlfn.XLOOKUP($A56,'Raw Data'!$G:$G,'Raw Data'!$AB:$AB),"")</f>
        <v>46154</v>
      </c>
      <c r="Y56" s="143">
        <f>IFERROR(_xlfn.XLOOKUP($A56,'Raw Data'!$G:$G,'Raw Data'!AC:AC),"")</f>
        <v>46085.899999990943</v>
      </c>
      <c r="Z56" s="143">
        <f>IFERROR(_xlfn.XLOOKUP($A56,'Raw Data'!$G:$G,'Raw Data'!AD:AD),"")</f>
        <v>187.5</v>
      </c>
      <c r="AA56" s="143">
        <f>IFERROR(_xlfn.XLOOKUP($A56,'Raw Data'!$G:$G,'Raw Data'!AE:AE)*(1+(_xlfn.XLOOKUP(Table13[[#This Row],[Month Year]],JMR!$A:$A,JMR!$J:$J))),"")</f>
        <v>45898.399999990943</v>
      </c>
      <c r="AB56" s="143">
        <f>IFERROR(_xlfn.XLOOKUP($A56,'Raw Data'!$G:$G,'Raw Data'!$H:$H),"")</f>
        <v>11.72</v>
      </c>
      <c r="AC56" s="149">
        <f>IFERROR(_xlfn.XLOOKUP($D56,'Modelling New'!$D:$D,'Modelling New'!$P:$P),"")</f>
        <v>7.6437019903225805</v>
      </c>
      <c r="AD56" s="143">
        <f>IFERROR(_xlfn.XLOOKUP($D56,'Modelling New'!$D:$D,'Modelling New'!$T:$T)*1000,"")</f>
        <v>65538.17192485639</v>
      </c>
      <c r="AE56" s="148">
        <f>IFERROR(_xlfn.XLOOKUP($D56,'Modelling New'!$D:$D,'Modelling New'!$O:$O),"")</f>
        <v>0.73158192177304548</v>
      </c>
      <c r="AF56" s="148">
        <f>IFERROR(_xlfn.XLOOKUP($D56,'Modelling New'!$D:$D,'Modelling New'!$W:$W),"")</f>
        <v>0.23299975798086028</v>
      </c>
      <c r="AG56" s="148">
        <f>IFERROR(_xlfn.XLOOKUP($D56,'Modelling New'!$D:$D,'Modelling New'!AE:AE),"")</f>
        <v>0.995</v>
      </c>
      <c r="AH56" s="148">
        <f>IFERROR(_xlfn.XLOOKUP($D56,'Modelling New'!$D:$D,'Modelling New'!AF:AF),"")</f>
        <v>0.98550000000000004</v>
      </c>
      <c r="AN56" s="145"/>
      <c r="AO56" s="148"/>
      <c r="AP56" s="148"/>
      <c r="AQ56" s="148"/>
      <c r="AR56" s="143">
        <f>IFERROR(_xlfn.XLOOKUP($D56,'Modelling New'!$D:$D,'Modelling New'!$N:$N),"")</f>
        <v>11.72</v>
      </c>
      <c r="AT56" s="143">
        <f>IFERROR(_xlfn.XLOOKUP(Table13[[#This Row],[Date]],'Raw Data'!$G:$G,'Raw Data'!$AJ:$AJ),"")</f>
        <v>0</v>
      </c>
      <c r="AU56" s="143">
        <f>IFERROR(_xlfn.XLOOKUP(Table13[[#This Row],[Month Year]],'Modelling New'!$D:$D,'Modelling New'!$AO:$AO),"")</f>
        <v>10</v>
      </c>
      <c r="AV56" s="143"/>
    </row>
    <row r="57" spans="1:48">
      <c r="A57" s="142">
        <f t="shared" si="3"/>
        <v>45800</v>
      </c>
      <c r="B57" s="143">
        <f>YEAR(Table13[[#This Row],[Date]])+IF(MONTH(Table13[[#This Row],[Date]])&gt;=4,1,0)</f>
        <v>2026</v>
      </c>
      <c r="C57" s="116">
        <f>YEAR(Table13[[#This Row],[Date]])</f>
        <v>2025</v>
      </c>
      <c r="D57" s="144">
        <f>Table13[[#This Row],[Date]]-DAY(Table13[[#This Row],[Date]])+1</f>
        <v>45778</v>
      </c>
      <c r="E57" s="116">
        <f t="shared" si="4"/>
        <v>31</v>
      </c>
      <c r="F57" s="117">
        <f>IFERROR(_xlfn.XLOOKUP($A57,'Raw Data'!$G:$G,'Raw Data'!$AH:$AH),"")</f>
        <v>12.616666666666667</v>
      </c>
      <c r="G57" s="118">
        <f>IFERROR(_xlfn.XLOOKUP($A57,'Raw Data'!$G:$G,'Raw Data'!$S:$S)/1000,"")</f>
        <v>0</v>
      </c>
      <c r="H57" s="118"/>
      <c r="I57" s="118">
        <f>IFERROR(_xlfn.XLOOKUP($A57,'Raw Data'!$G:$G,'Raw Data'!$AF:$AF)/1000,"")</f>
        <v>5.835</v>
      </c>
      <c r="J57" s="118"/>
      <c r="K57" s="118">
        <f>IFERROR(_xlfn.XLOOKUP($A57,'Raw Data'!$G:$G,'Raw Data'!W:W),"")</f>
        <v>23</v>
      </c>
      <c r="L57" s="118">
        <f>IFERROR(_xlfn.XLOOKUP($A57,'Raw Data'!$G:$G,'Raw Data'!X:X),"")</f>
        <v>44</v>
      </c>
      <c r="M57" s="118">
        <f>IFERROR(_xlfn.XLOOKUP($A57,'Raw Data'!$G:$G,'Raw Data'!Y:Y),"")</f>
        <v>2</v>
      </c>
      <c r="N57" s="118">
        <f>IFERROR(_xlfn.XLOOKUP($A57,'Raw Data'!$G:$G,'Raw Data'!Z:Z),"")</f>
        <v>7</v>
      </c>
      <c r="O57" s="145">
        <f>IFERROR(1-SUMIF('Plant BD'!$B:$B,$A57,'Plant BD'!$AM:$AM)/($AA57+SUMIF('Plant BD'!$B:$B,$A57,'Plant BD'!$AM:$AM)),"")</f>
        <v>0.11927904538526923</v>
      </c>
      <c r="P57" s="145"/>
      <c r="Q57" s="146"/>
      <c r="R57" s="145">
        <f>IFERROR(1-SUMIF('Grid BD'!$B:$B,$A57,'Grid BD'!$AE:$AE)/($AA57+SUMIF('Grid BD'!$B:$B,$A57,'Grid BD'!$AE:$AE)),"")</f>
        <v>1</v>
      </c>
      <c r="T57" s="146">
        <f>IFERROR(1-SUMIF(Tracker_BD!$H:$H,$A57,Tracker_BD!AI:AI)/$F57,"")</f>
        <v>0.98475834737849044</v>
      </c>
      <c r="U57" s="147">
        <f t="shared" si="1"/>
        <v>0.72861337521320046</v>
      </c>
      <c r="V57" s="147"/>
      <c r="W57" s="148">
        <f t="shared" si="2"/>
        <v>0.17714412684870934</v>
      </c>
      <c r="X57" s="143">
        <f>IFERROR(_xlfn.XLOOKUP($A57,'Raw Data'!$G:$G,'Raw Data'!$AB:$AB),"")</f>
        <v>50090</v>
      </c>
      <c r="Y57" s="143">
        <f>IFERROR(_xlfn.XLOOKUP($A57,'Raw Data'!$G:$G,'Raw Data'!AC:AC),"")</f>
        <v>50024.000000004889</v>
      </c>
      <c r="Z57" s="143">
        <f>IFERROR(_xlfn.XLOOKUP($A57,'Raw Data'!$G:$G,'Raw Data'!AD:AD),"")</f>
        <v>196.89999999991414</v>
      </c>
      <c r="AA57" s="143">
        <f>IFERROR(_xlfn.XLOOKUP($A57,'Raw Data'!$G:$G,'Raw Data'!AE:AE)*(1+(_xlfn.XLOOKUP(Table13[[#This Row],[Month Year]],JMR!$A:$A,JMR!$J:$J))),"")</f>
        <v>49827.100000004975</v>
      </c>
      <c r="AB57" s="143">
        <f>IFERROR(_xlfn.XLOOKUP($A57,'Raw Data'!$G:$G,'Raw Data'!$H:$H),"")</f>
        <v>11.72</v>
      </c>
      <c r="AC57" s="149">
        <f>IFERROR(_xlfn.XLOOKUP($D57,'Modelling New'!$D:$D,'Modelling New'!$P:$P),"")</f>
        <v>7.6437019903225805</v>
      </c>
      <c r="AD57" s="143">
        <f>IFERROR(_xlfn.XLOOKUP($D57,'Modelling New'!$D:$D,'Modelling New'!$T:$T)*1000,"")</f>
        <v>65538.17192485639</v>
      </c>
      <c r="AE57" s="148">
        <f>IFERROR(_xlfn.XLOOKUP($D57,'Modelling New'!$D:$D,'Modelling New'!$O:$O),"")</f>
        <v>0.73158192177304548</v>
      </c>
      <c r="AF57" s="148">
        <f>IFERROR(_xlfn.XLOOKUP($D57,'Modelling New'!$D:$D,'Modelling New'!$W:$W),"")</f>
        <v>0.23299975798086028</v>
      </c>
      <c r="AG57" s="148">
        <f>IFERROR(_xlfn.XLOOKUP($D57,'Modelling New'!$D:$D,'Modelling New'!AE:AE),"")</f>
        <v>0.995</v>
      </c>
      <c r="AH57" s="148">
        <f>IFERROR(_xlfn.XLOOKUP($D57,'Modelling New'!$D:$D,'Modelling New'!AF:AF),"")</f>
        <v>0.98550000000000004</v>
      </c>
      <c r="AN57" s="145"/>
      <c r="AO57" s="148"/>
      <c r="AP57" s="148"/>
      <c r="AQ57" s="148"/>
      <c r="AR57" s="143">
        <f>IFERROR(_xlfn.XLOOKUP($D57,'Modelling New'!$D:$D,'Modelling New'!$N:$N),"")</f>
        <v>11.72</v>
      </c>
      <c r="AT57" s="143">
        <f>IFERROR(_xlfn.XLOOKUP(Table13[[#This Row],[Date]],'Raw Data'!$G:$G,'Raw Data'!$AJ:$AJ),"")</f>
        <v>0</v>
      </c>
      <c r="AU57" s="143">
        <f>IFERROR(_xlfn.XLOOKUP(Table13[[#This Row],[Month Year]],'Modelling New'!$D:$D,'Modelling New'!$AO:$AO),"")</f>
        <v>10</v>
      </c>
      <c r="AV57" s="143"/>
    </row>
    <row r="58" spans="1:48">
      <c r="A58" s="142">
        <f t="shared" si="3"/>
        <v>45801</v>
      </c>
      <c r="B58" s="143">
        <f>YEAR(Table13[[#This Row],[Date]])+IF(MONTH(Table13[[#This Row],[Date]])&gt;=4,1,0)</f>
        <v>2026</v>
      </c>
      <c r="C58" s="116">
        <f>YEAR(Table13[[#This Row],[Date]])</f>
        <v>2025</v>
      </c>
      <c r="D58" s="144">
        <f>Table13[[#This Row],[Date]]-DAY(Table13[[#This Row],[Date]])+1</f>
        <v>45778</v>
      </c>
      <c r="E58" s="116">
        <f t="shared" si="4"/>
        <v>31</v>
      </c>
      <c r="F58" s="117">
        <f>IFERROR(_xlfn.XLOOKUP($A58,'Raw Data'!$G:$G,'Raw Data'!$AH:$AH),"")</f>
        <v>12.616666666666667</v>
      </c>
      <c r="G58" s="118">
        <f>IFERROR(_xlfn.XLOOKUP($A58,'Raw Data'!$G:$G,'Raw Data'!$S:$S)/1000,"")</f>
        <v>0</v>
      </c>
      <c r="H58" s="118"/>
      <c r="I58" s="118">
        <f>IFERROR(_xlfn.XLOOKUP($A58,'Raw Data'!$G:$G,'Raw Data'!$AF:$AF)/1000,"")</f>
        <v>3.2450000000000001</v>
      </c>
      <c r="J58" s="118"/>
      <c r="K58" s="118">
        <f>IFERROR(_xlfn.XLOOKUP($A58,'Raw Data'!$G:$G,'Raw Data'!W:W),"")</f>
        <v>23</v>
      </c>
      <c r="L58" s="118">
        <f>IFERROR(_xlfn.XLOOKUP($A58,'Raw Data'!$G:$G,'Raw Data'!X:X),"")</f>
        <v>31</v>
      </c>
      <c r="M58" s="118">
        <f>IFERROR(_xlfn.XLOOKUP($A58,'Raw Data'!$G:$G,'Raw Data'!Y:Y),"")</f>
        <v>2</v>
      </c>
      <c r="N58" s="118">
        <f>IFERROR(_xlfn.XLOOKUP($A58,'Raw Data'!$G:$G,'Raw Data'!Z:Z),"")</f>
        <v>8</v>
      </c>
      <c r="O58" s="145">
        <f>IFERROR(1-SUMIF('Plant BD'!$B:$B,$A58,'Plant BD'!$AM:$AM)/($AA58+SUMIF('Plant BD'!$B:$B,$A58,'Plant BD'!$AM:$AM)),"")</f>
        <v>1</v>
      </c>
      <c r="P58" s="145"/>
      <c r="Q58" s="146"/>
      <c r="R58" s="145">
        <f>IFERROR(1-SUMIF('Grid BD'!$B:$B,$A58,'Grid BD'!$AE:$AE)/($AA58+SUMIF('Grid BD'!$B:$B,$A58,'Grid BD'!$AE:$AE)),"")</f>
        <v>1</v>
      </c>
      <c r="T58" s="146">
        <f>IFERROR(1-SUMIF(Tracker_BD!$H:$H,$A58,Tracker_BD!AI:AI)/$F58,"")</f>
        <v>0.98610668245797839</v>
      </c>
      <c r="U58" s="147">
        <f t="shared" si="1"/>
        <v>0.78819081075116981</v>
      </c>
      <c r="V58" s="147"/>
      <c r="W58" s="148">
        <f t="shared" si="2"/>
        <v>0.10656996587031442</v>
      </c>
      <c r="X58" s="143">
        <f>IFERROR(_xlfn.XLOOKUP($A58,'Raw Data'!$G:$G,'Raw Data'!$AB:$AB),"")</f>
        <v>30174</v>
      </c>
      <c r="Y58" s="143">
        <f>IFERROR(_xlfn.XLOOKUP($A58,'Raw Data'!$G:$G,'Raw Data'!AC:AC),"")</f>
        <v>30122.900000002119</v>
      </c>
      <c r="Z58" s="143">
        <f>IFERROR(_xlfn.XLOOKUP($A58,'Raw Data'!$G:$G,'Raw Data'!AD:AD),"")</f>
        <v>146.90000000007331</v>
      </c>
      <c r="AA58" s="143">
        <f>IFERROR(_xlfn.XLOOKUP($A58,'Raw Data'!$G:$G,'Raw Data'!AE:AE)*(1+(_xlfn.XLOOKUP(Table13[[#This Row],[Month Year]],JMR!$A:$A,JMR!$J:$J))),"")</f>
        <v>29976.000000002045</v>
      </c>
      <c r="AB58" s="143">
        <f>IFERROR(_xlfn.XLOOKUP($A58,'Raw Data'!$G:$G,'Raw Data'!$H:$H),"")</f>
        <v>11.72</v>
      </c>
      <c r="AC58" s="149">
        <f>IFERROR(_xlfn.XLOOKUP($D58,'Modelling New'!$D:$D,'Modelling New'!$P:$P),"")</f>
        <v>7.6437019903225805</v>
      </c>
      <c r="AD58" s="143">
        <f>IFERROR(_xlfn.XLOOKUP($D58,'Modelling New'!$D:$D,'Modelling New'!$T:$T)*1000,"")</f>
        <v>65538.17192485639</v>
      </c>
      <c r="AE58" s="148">
        <f>IFERROR(_xlfn.XLOOKUP($D58,'Modelling New'!$D:$D,'Modelling New'!$O:$O),"")</f>
        <v>0.73158192177304548</v>
      </c>
      <c r="AF58" s="148">
        <f>IFERROR(_xlfn.XLOOKUP($D58,'Modelling New'!$D:$D,'Modelling New'!$W:$W),"")</f>
        <v>0.23299975798086028</v>
      </c>
      <c r="AG58" s="148">
        <f>IFERROR(_xlfn.XLOOKUP($D58,'Modelling New'!$D:$D,'Modelling New'!AE:AE),"")</f>
        <v>0.995</v>
      </c>
      <c r="AH58" s="148">
        <f>IFERROR(_xlfn.XLOOKUP($D58,'Modelling New'!$D:$D,'Modelling New'!AF:AF),"")</f>
        <v>0.98550000000000004</v>
      </c>
      <c r="AN58" s="145"/>
      <c r="AO58" s="148"/>
      <c r="AP58" s="148"/>
      <c r="AQ58" s="148"/>
      <c r="AR58" s="143">
        <f>IFERROR(_xlfn.XLOOKUP($D58,'Modelling New'!$D:$D,'Modelling New'!$N:$N),"")</f>
        <v>11.72</v>
      </c>
      <c r="AT58" s="143">
        <f>IFERROR(_xlfn.XLOOKUP(Table13[[#This Row],[Date]],'Raw Data'!$G:$G,'Raw Data'!$AJ:$AJ),"")</f>
        <v>0</v>
      </c>
      <c r="AU58" s="143">
        <f>IFERROR(_xlfn.XLOOKUP(Table13[[#This Row],[Month Year]],'Modelling New'!$D:$D,'Modelling New'!$AO:$AO),"")</f>
        <v>10</v>
      </c>
      <c r="AV58" s="143"/>
    </row>
    <row r="59" spans="1:48">
      <c r="A59" s="142">
        <f t="shared" si="3"/>
        <v>45802</v>
      </c>
      <c r="B59" s="143">
        <f>YEAR(Table13[[#This Row],[Date]])+IF(MONTH(Table13[[#This Row],[Date]])&gt;=4,1,0)</f>
        <v>2026</v>
      </c>
      <c r="C59" s="116">
        <f>YEAR(Table13[[#This Row],[Date]])</f>
        <v>2025</v>
      </c>
      <c r="D59" s="144">
        <f>Table13[[#This Row],[Date]]-DAY(Table13[[#This Row],[Date]])+1</f>
        <v>45778</v>
      </c>
      <c r="E59" s="116">
        <f t="shared" si="4"/>
        <v>31</v>
      </c>
      <c r="F59" s="117">
        <f>IFERROR(_xlfn.XLOOKUP($A59,'Raw Data'!$G:$G,'Raw Data'!$AH:$AH),"")</f>
        <v>12.683333333333334</v>
      </c>
      <c r="G59" s="118">
        <f>IFERROR(_xlfn.XLOOKUP($A59,'Raw Data'!$G:$G,'Raw Data'!$S:$S)/1000,"")</f>
        <v>0</v>
      </c>
      <c r="H59" s="118"/>
      <c r="I59" s="118">
        <f>IFERROR(_xlfn.XLOOKUP($A59,'Raw Data'!$G:$G,'Raw Data'!$AF:$AF)/1000,"")</f>
        <v>4.46</v>
      </c>
      <c r="J59" s="118"/>
      <c r="K59" s="118">
        <f>IFERROR(_xlfn.XLOOKUP($A59,'Raw Data'!$G:$G,'Raw Data'!W:W),"")</f>
        <v>23</v>
      </c>
      <c r="L59" s="118">
        <f>IFERROR(_xlfn.XLOOKUP($A59,'Raw Data'!$G:$G,'Raw Data'!X:X),"")</f>
        <v>36</v>
      </c>
      <c r="M59" s="118">
        <f>IFERROR(_xlfn.XLOOKUP($A59,'Raw Data'!$G:$G,'Raw Data'!Y:Y),"")</f>
        <v>2</v>
      </c>
      <c r="N59" s="118">
        <f>IFERROR(_xlfn.XLOOKUP($A59,'Raw Data'!$G:$G,'Raw Data'!Z:Z),"")</f>
        <v>8</v>
      </c>
      <c r="O59" s="145">
        <f>IFERROR(1-SUMIF('Plant BD'!$B:$B,$A59,'Plant BD'!$AM:$AM)/($AA59+SUMIF('Plant BD'!$B:$B,$A59,'Plant BD'!$AM:$AM)),"")</f>
        <v>1</v>
      </c>
      <c r="P59" s="145"/>
      <c r="Q59" s="146"/>
      <c r="R59" s="145">
        <f>IFERROR(1-SUMIF('Grid BD'!$B:$B,$A59,'Grid BD'!$AE:$AE)/($AA59+SUMIF('Grid BD'!$B:$B,$A59,'Grid BD'!$AE:$AE)),"")</f>
        <v>1</v>
      </c>
      <c r="T59" s="146">
        <f>IFERROR(1-SUMIF(Tracker_BD!$H:$H,$A59,Tracker_BD!AI:AI)/$F59,"")</f>
        <v>0.98608530820003926</v>
      </c>
      <c r="U59" s="147">
        <f t="shared" si="1"/>
        <v>0.73125927853202033</v>
      </c>
      <c r="V59" s="147"/>
      <c r="W59" s="148">
        <f t="shared" si="2"/>
        <v>0.13589234926053376</v>
      </c>
      <c r="X59" s="143">
        <f>IFERROR(_xlfn.XLOOKUP($A59,'Raw Data'!$G:$G,'Raw Data'!$AB:$AB),"")</f>
        <v>38413</v>
      </c>
      <c r="Y59" s="143">
        <f>IFERROR(_xlfn.XLOOKUP($A59,'Raw Data'!$G:$G,'Raw Data'!AC:AC),"")</f>
        <v>38410.600000002887</v>
      </c>
      <c r="Z59" s="143">
        <f>IFERROR(_xlfn.XLOOKUP($A59,'Raw Data'!$G:$G,'Raw Data'!AD:AD),"")</f>
        <v>186.79999999994834</v>
      </c>
      <c r="AA59" s="143">
        <f>IFERROR(_xlfn.XLOOKUP($A59,'Raw Data'!$G:$G,'Raw Data'!AE:AE)*(1+(_xlfn.XLOOKUP(Table13[[#This Row],[Month Year]],JMR!$A:$A,JMR!$J:$J))),"")</f>
        <v>38223.800000002942</v>
      </c>
      <c r="AB59" s="143">
        <f>IFERROR(_xlfn.XLOOKUP($A59,'Raw Data'!$G:$G,'Raw Data'!$H:$H),"")</f>
        <v>11.72</v>
      </c>
      <c r="AC59" s="149">
        <f>IFERROR(_xlfn.XLOOKUP($D59,'Modelling New'!$D:$D,'Modelling New'!$P:$P),"")</f>
        <v>7.6437019903225805</v>
      </c>
      <c r="AD59" s="143">
        <f>IFERROR(_xlfn.XLOOKUP($D59,'Modelling New'!$D:$D,'Modelling New'!$T:$T)*1000,"")</f>
        <v>65538.17192485639</v>
      </c>
      <c r="AE59" s="148">
        <f>IFERROR(_xlfn.XLOOKUP($D59,'Modelling New'!$D:$D,'Modelling New'!$O:$O),"")</f>
        <v>0.73158192177304548</v>
      </c>
      <c r="AF59" s="148">
        <f>IFERROR(_xlfn.XLOOKUP($D59,'Modelling New'!$D:$D,'Modelling New'!$W:$W),"")</f>
        <v>0.23299975798086028</v>
      </c>
      <c r="AG59" s="148">
        <f>IFERROR(_xlfn.XLOOKUP($D59,'Modelling New'!$D:$D,'Modelling New'!AE:AE),"")</f>
        <v>0.995</v>
      </c>
      <c r="AH59" s="148">
        <f>IFERROR(_xlfn.XLOOKUP($D59,'Modelling New'!$D:$D,'Modelling New'!AF:AF),"")</f>
        <v>0.98550000000000004</v>
      </c>
      <c r="AN59" s="145"/>
      <c r="AO59" s="148"/>
      <c r="AP59" s="148"/>
      <c r="AQ59" s="148"/>
      <c r="AR59" s="143">
        <f>IFERROR(_xlfn.XLOOKUP($D59,'Modelling New'!$D:$D,'Modelling New'!$N:$N),"")</f>
        <v>11.72</v>
      </c>
      <c r="AT59" s="143">
        <f>IFERROR(_xlfn.XLOOKUP(Table13[[#This Row],[Date]],'Raw Data'!$G:$G,'Raw Data'!$AJ:$AJ),"")</f>
        <v>0</v>
      </c>
      <c r="AU59" s="143">
        <f>IFERROR(_xlfn.XLOOKUP(Table13[[#This Row],[Month Year]],'Modelling New'!$D:$D,'Modelling New'!$AO:$AO),"")</f>
        <v>10</v>
      </c>
      <c r="AV59" s="143"/>
    </row>
    <row r="60" spans="1:48">
      <c r="A60" s="142">
        <f t="shared" si="3"/>
        <v>45803</v>
      </c>
      <c r="B60" s="143">
        <f>YEAR(Table13[[#This Row],[Date]])+IF(MONTH(Table13[[#This Row],[Date]])&gt;=4,1,0)</f>
        <v>2026</v>
      </c>
      <c r="C60" s="116">
        <f>YEAR(Table13[[#This Row],[Date]])</f>
        <v>2025</v>
      </c>
      <c r="D60" s="144">
        <f>Table13[[#This Row],[Date]]-DAY(Table13[[#This Row],[Date]])+1</f>
        <v>45778</v>
      </c>
      <c r="E60" s="116">
        <f t="shared" si="4"/>
        <v>31</v>
      </c>
      <c r="F60" s="117">
        <f>IFERROR(_xlfn.XLOOKUP($A60,'Raw Data'!$G:$G,'Raw Data'!$AH:$AH),"")</f>
        <v>12.416666666666668</v>
      </c>
      <c r="G60" s="118">
        <f>IFERROR(_xlfn.XLOOKUP($A60,'Raw Data'!$G:$G,'Raw Data'!$S:$S)/1000,"")</f>
        <v>0</v>
      </c>
      <c r="H60" s="118"/>
      <c r="I60" s="118">
        <f>IFERROR(_xlfn.XLOOKUP($A60,'Raw Data'!$G:$G,'Raw Data'!$AF:$AF)/1000,"")</f>
        <v>3.0379999999999998</v>
      </c>
      <c r="J60" s="118"/>
      <c r="K60" s="118">
        <f>IFERROR(_xlfn.XLOOKUP($A60,'Raw Data'!$G:$G,'Raw Data'!W:W),"")</f>
        <v>23</v>
      </c>
      <c r="L60" s="118">
        <f>IFERROR(_xlfn.XLOOKUP($A60,'Raw Data'!$G:$G,'Raw Data'!X:X),"")</f>
        <v>33</v>
      </c>
      <c r="M60" s="118">
        <f>IFERROR(_xlfn.XLOOKUP($A60,'Raw Data'!$G:$G,'Raw Data'!Y:Y),"")</f>
        <v>2</v>
      </c>
      <c r="N60" s="118">
        <f>IFERROR(_xlfn.XLOOKUP($A60,'Raw Data'!$G:$G,'Raw Data'!Z:Z),"")</f>
        <v>6</v>
      </c>
      <c r="O60" s="145">
        <f>IFERROR(1-SUMIF('Plant BD'!$B:$B,$A60,'Plant BD'!$AM:$AM)/($AA60+SUMIF('Plant BD'!$B:$B,$A60,'Plant BD'!$AM:$AM)),"")</f>
        <v>1</v>
      </c>
      <c r="P60" s="145"/>
      <c r="Q60" s="146"/>
      <c r="R60" s="145">
        <f>IFERROR(1-SUMIF('Grid BD'!$B:$B,$A60,'Grid BD'!$AE:$AE)/($AA60+SUMIF('Grid BD'!$B:$B,$A60,'Grid BD'!$AE:$AE)),"")</f>
        <v>0.94500272178823308</v>
      </c>
      <c r="T60" s="146">
        <f>IFERROR(1-SUMIF(Tracker_BD!$H:$H,$A60,Tracker_BD!AI:AI)/$F60,"")</f>
        <v>0.98582504049988429</v>
      </c>
      <c r="U60" s="147">
        <f t="shared" si="1"/>
        <v>0.7235202789692059</v>
      </c>
      <c r="V60" s="147"/>
      <c r="W60" s="148">
        <f t="shared" si="2"/>
        <v>9.1585608646185299E-2</v>
      </c>
      <c r="X60" s="143">
        <f>IFERROR(_xlfn.XLOOKUP($A60,'Raw Data'!$G:$G,'Raw Data'!$AB:$AB),"")</f>
        <v>26020</v>
      </c>
      <c r="Y60" s="143">
        <f>IFERROR(_xlfn.XLOOKUP($A60,'Raw Data'!$G:$G,'Raw Data'!AC:AC),"")</f>
        <v>25957.699999999022</v>
      </c>
      <c r="Z60" s="143">
        <f>IFERROR(_xlfn.XLOOKUP($A60,'Raw Data'!$G:$G,'Raw Data'!AD:AD),"")</f>
        <v>196.50000000001455</v>
      </c>
      <c r="AA60" s="143">
        <f>IFERROR(_xlfn.XLOOKUP($A60,'Raw Data'!$G:$G,'Raw Data'!AE:AE)*(1+(_xlfn.XLOOKUP(Table13[[#This Row],[Month Year]],JMR!$A:$A,JMR!$J:$J))),"")</f>
        <v>25761.199999999008</v>
      </c>
      <c r="AB60" s="143">
        <f>IFERROR(_xlfn.XLOOKUP($A60,'Raw Data'!$G:$G,'Raw Data'!$H:$H),"")</f>
        <v>11.72</v>
      </c>
      <c r="AC60" s="149">
        <f>IFERROR(_xlfn.XLOOKUP($D60,'Modelling New'!$D:$D,'Modelling New'!$P:$P),"")</f>
        <v>7.6437019903225805</v>
      </c>
      <c r="AD60" s="143">
        <f>IFERROR(_xlfn.XLOOKUP($D60,'Modelling New'!$D:$D,'Modelling New'!$T:$T)*1000,"")</f>
        <v>65538.17192485639</v>
      </c>
      <c r="AE60" s="148">
        <f>IFERROR(_xlfn.XLOOKUP($D60,'Modelling New'!$D:$D,'Modelling New'!$O:$O),"")</f>
        <v>0.73158192177304548</v>
      </c>
      <c r="AF60" s="148">
        <f>IFERROR(_xlfn.XLOOKUP($D60,'Modelling New'!$D:$D,'Modelling New'!$W:$W),"")</f>
        <v>0.23299975798086028</v>
      </c>
      <c r="AG60" s="148">
        <f>IFERROR(_xlfn.XLOOKUP($D60,'Modelling New'!$D:$D,'Modelling New'!AE:AE),"")</f>
        <v>0.995</v>
      </c>
      <c r="AH60" s="148">
        <f>IFERROR(_xlfn.XLOOKUP($D60,'Modelling New'!$D:$D,'Modelling New'!AF:AF),"")</f>
        <v>0.98550000000000004</v>
      </c>
      <c r="AN60" s="145"/>
      <c r="AO60" s="148"/>
      <c r="AP60" s="148"/>
      <c r="AQ60" s="148"/>
      <c r="AR60" s="143">
        <f>IFERROR(_xlfn.XLOOKUP($D60,'Modelling New'!$D:$D,'Modelling New'!$N:$N),"")</f>
        <v>11.72</v>
      </c>
      <c r="AT60" s="143">
        <f>IFERROR(_xlfn.XLOOKUP(Table13[[#This Row],[Date]],'Raw Data'!$G:$G,'Raw Data'!$AJ:$AJ),"")</f>
        <v>0</v>
      </c>
      <c r="AU60" s="143">
        <f>IFERROR(_xlfn.XLOOKUP(Table13[[#This Row],[Month Year]],'Modelling New'!$D:$D,'Modelling New'!$AO:$AO),"")</f>
        <v>10</v>
      </c>
      <c r="AV60" s="143"/>
    </row>
    <row r="61" spans="1:48">
      <c r="A61" s="142">
        <f t="shared" si="3"/>
        <v>45804</v>
      </c>
      <c r="B61" s="143">
        <f>YEAR(Table13[[#This Row],[Date]])+IF(MONTH(Table13[[#This Row],[Date]])&gt;=4,1,0)</f>
        <v>2026</v>
      </c>
      <c r="C61" s="116">
        <f>YEAR(Table13[[#This Row],[Date]])</f>
        <v>2025</v>
      </c>
      <c r="D61" s="144">
        <f>Table13[[#This Row],[Date]]-DAY(Table13[[#This Row],[Date]])+1</f>
        <v>45778</v>
      </c>
      <c r="E61" s="116">
        <f t="shared" si="4"/>
        <v>31</v>
      </c>
      <c r="F61" s="117">
        <f>IFERROR(_xlfn.XLOOKUP($A61,'Raw Data'!$G:$G,'Raw Data'!$AH:$AH),"")</f>
        <v>11.633333333333333</v>
      </c>
      <c r="G61" s="118">
        <f>IFERROR(_xlfn.XLOOKUP($A61,'Raw Data'!$G:$G,'Raw Data'!$S:$S)/1000,"")</f>
        <v>0</v>
      </c>
      <c r="H61" s="118"/>
      <c r="I61" s="118">
        <f>IFERROR(_xlfn.XLOOKUP($A61,'Raw Data'!$G:$G,'Raw Data'!$AF:$AF)/1000,"")</f>
        <v>2.875</v>
      </c>
      <c r="J61" s="118"/>
      <c r="K61" s="118">
        <f>IFERROR(_xlfn.XLOOKUP($A61,'Raw Data'!$G:$G,'Raw Data'!W:W),"")</f>
        <v>23</v>
      </c>
      <c r="L61" s="118">
        <f>IFERROR(_xlfn.XLOOKUP($A61,'Raw Data'!$G:$G,'Raw Data'!X:X),"")</f>
        <v>33</v>
      </c>
      <c r="M61" s="118">
        <f>IFERROR(_xlfn.XLOOKUP($A61,'Raw Data'!$G:$G,'Raw Data'!Y:Y),"")</f>
        <v>2</v>
      </c>
      <c r="N61" s="118">
        <f>IFERROR(_xlfn.XLOOKUP($A61,'Raw Data'!$G:$G,'Raw Data'!Z:Z),"")</f>
        <v>6</v>
      </c>
      <c r="O61" s="145">
        <f>IFERROR(1-SUMIF('Plant BD'!$B:$B,$A61,'Plant BD'!$AM:$AM)/($AA61+SUMIF('Plant BD'!$B:$B,$A61,'Plant BD'!$AM:$AM)),"")</f>
        <v>1</v>
      </c>
      <c r="P61" s="145"/>
      <c r="Q61" s="146"/>
      <c r="R61" s="145">
        <f>IFERROR(1-SUMIF('Grid BD'!$B:$B,$A61,'Grid BD'!$AE:$AE)/($AA61+SUMIF('Grid BD'!$B:$B,$A61,'Grid BD'!$AE:$AE)),"")</f>
        <v>0.97659270504052731</v>
      </c>
      <c r="T61" s="146">
        <f>IFERROR(1-SUMIF(Tracker_BD!$H:$H,$A61,Tracker_BD!AI:AI)/$F61,"")</f>
        <v>0.9847264763033956</v>
      </c>
      <c r="U61" s="147">
        <f t="shared" ref="U61:U124" si="5">IFERROR(AA61/I61/AB61/1000,"")</f>
        <v>0.76377504080713088</v>
      </c>
      <c r="V61" s="147"/>
      <c r="W61" s="148">
        <f t="shared" ref="W61:W124" si="6">IFERROR(AA61/(24*AR61*1000),"")</f>
        <v>9.1493885096687544E-2</v>
      </c>
      <c r="X61" s="143">
        <f>IFERROR(_xlfn.XLOOKUP($A61,'Raw Data'!$G:$G,'Raw Data'!$AB:$AB),"")</f>
        <v>25975</v>
      </c>
      <c r="Y61" s="143">
        <f>IFERROR(_xlfn.XLOOKUP($A61,'Raw Data'!$G:$G,'Raw Data'!AC:AC),"")</f>
        <v>25931.599999996251</v>
      </c>
      <c r="Z61" s="143">
        <f>IFERROR(_xlfn.XLOOKUP($A61,'Raw Data'!$G:$G,'Raw Data'!AD:AD),"")</f>
        <v>196.19999999997617</v>
      </c>
      <c r="AA61" s="143">
        <f>IFERROR(_xlfn.XLOOKUP($A61,'Raw Data'!$G:$G,'Raw Data'!AE:AE)*(1+(_xlfn.XLOOKUP(Table13[[#This Row],[Month Year]],JMR!$A:$A,JMR!$J:$J))),"")</f>
        <v>25735.399999996276</v>
      </c>
      <c r="AB61" s="143">
        <f>IFERROR(_xlfn.XLOOKUP($A61,'Raw Data'!$G:$G,'Raw Data'!$H:$H),"")</f>
        <v>11.72</v>
      </c>
      <c r="AC61" s="149">
        <f>IFERROR(_xlfn.XLOOKUP($D61,'Modelling New'!$D:$D,'Modelling New'!$P:$P),"")</f>
        <v>7.6437019903225805</v>
      </c>
      <c r="AD61" s="143">
        <f>IFERROR(_xlfn.XLOOKUP($D61,'Modelling New'!$D:$D,'Modelling New'!$T:$T)*1000,"")</f>
        <v>65538.17192485639</v>
      </c>
      <c r="AE61" s="148">
        <f>IFERROR(_xlfn.XLOOKUP($D61,'Modelling New'!$D:$D,'Modelling New'!$O:$O),"")</f>
        <v>0.73158192177304548</v>
      </c>
      <c r="AF61" s="148">
        <f>IFERROR(_xlfn.XLOOKUP($D61,'Modelling New'!$D:$D,'Modelling New'!$W:$W),"")</f>
        <v>0.23299975798086028</v>
      </c>
      <c r="AG61" s="148">
        <f>IFERROR(_xlfn.XLOOKUP($D61,'Modelling New'!$D:$D,'Modelling New'!AE:AE),"")</f>
        <v>0.995</v>
      </c>
      <c r="AH61" s="148">
        <f>IFERROR(_xlfn.XLOOKUP($D61,'Modelling New'!$D:$D,'Modelling New'!AF:AF),"")</f>
        <v>0.98550000000000004</v>
      </c>
      <c r="AN61" s="145"/>
      <c r="AO61" s="148"/>
      <c r="AP61" s="148"/>
      <c r="AQ61" s="148"/>
      <c r="AR61" s="143">
        <f>IFERROR(_xlfn.XLOOKUP($D61,'Modelling New'!$D:$D,'Modelling New'!$N:$N),"")</f>
        <v>11.72</v>
      </c>
      <c r="AT61" s="143">
        <f>IFERROR(_xlfn.XLOOKUP(Table13[[#This Row],[Date]],'Raw Data'!$G:$G,'Raw Data'!$AJ:$AJ),"")</f>
        <v>0</v>
      </c>
      <c r="AU61" s="143">
        <f>IFERROR(_xlfn.XLOOKUP(Table13[[#This Row],[Month Year]],'Modelling New'!$D:$D,'Modelling New'!$AO:$AO),"")</f>
        <v>10</v>
      </c>
      <c r="AV61" s="143"/>
    </row>
    <row r="62" spans="1:48">
      <c r="A62" s="142">
        <f t="shared" si="3"/>
        <v>45805</v>
      </c>
      <c r="B62" s="143">
        <f>YEAR(Table13[[#This Row],[Date]])+IF(MONTH(Table13[[#This Row],[Date]])&gt;=4,1,0)</f>
        <v>2026</v>
      </c>
      <c r="C62" s="116">
        <f>YEAR(Table13[[#This Row],[Date]])</f>
        <v>2025</v>
      </c>
      <c r="D62" s="144">
        <f>Table13[[#This Row],[Date]]-DAY(Table13[[#This Row],[Date]])+1</f>
        <v>45778</v>
      </c>
      <c r="E62" s="116">
        <f t="shared" si="4"/>
        <v>31</v>
      </c>
      <c r="F62" s="117">
        <f>IFERROR(_xlfn.XLOOKUP($A62,'Raw Data'!$G:$G,'Raw Data'!$AH:$AH),"")</f>
        <v>12.483333333333334</v>
      </c>
      <c r="G62" s="118">
        <f>IFERROR(_xlfn.XLOOKUP($A62,'Raw Data'!$G:$G,'Raw Data'!$S:$S)/1000,"")</f>
        <v>0</v>
      </c>
      <c r="H62" s="118"/>
      <c r="I62" s="118">
        <f>IFERROR(_xlfn.XLOOKUP($A62,'Raw Data'!$G:$G,'Raw Data'!$AF:$AF)/1000,"")</f>
        <v>4.76</v>
      </c>
      <c r="J62" s="118"/>
      <c r="K62" s="118">
        <f>IFERROR(_xlfn.XLOOKUP($A62,'Raw Data'!$G:$G,'Raw Data'!W:W),"")</f>
        <v>23</v>
      </c>
      <c r="L62" s="118">
        <f>IFERROR(_xlfn.XLOOKUP($A62,'Raw Data'!$G:$G,'Raw Data'!X:X),"")</f>
        <v>32</v>
      </c>
      <c r="M62" s="118">
        <f>IFERROR(_xlfn.XLOOKUP($A62,'Raw Data'!$G:$G,'Raw Data'!Y:Y),"")</f>
        <v>2.5</v>
      </c>
      <c r="N62" s="118">
        <f>IFERROR(_xlfn.XLOOKUP($A62,'Raw Data'!$G:$G,'Raw Data'!Z:Z),"")</f>
        <v>5</v>
      </c>
      <c r="O62" s="145">
        <f>IFERROR(1-SUMIF('Plant BD'!$B:$B,$A62,'Plant BD'!$AM:$AM)/($AA62+SUMIF('Plant BD'!$B:$B,$A62,'Plant BD'!$AM:$AM)),"")</f>
        <v>1</v>
      </c>
      <c r="P62" s="145"/>
      <c r="Q62" s="146"/>
      <c r="R62" s="145">
        <f>IFERROR(1-SUMIF('Grid BD'!$B:$B,$A62,'Grid BD'!$AE:$AE)/($AA62+SUMIF('Grid BD'!$B:$B,$A62,'Grid BD'!$AE:$AE)),"")</f>
        <v>0.40336992176583453</v>
      </c>
      <c r="T62" s="146">
        <f>IFERROR(1-SUMIF(Tracker_BD!$H:$H,$A62,Tracker_BD!AI:AI)/$F62,"")</f>
        <v>0.98590074121817595</v>
      </c>
      <c r="U62" s="147">
        <f t="shared" si="5"/>
        <v>0.29102016233115358</v>
      </c>
      <c r="V62" s="147"/>
      <c r="W62" s="148">
        <f t="shared" si="6"/>
        <v>5.7718998862345453E-2</v>
      </c>
      <c r="X62" s="143">
        <f>IFERROR(_xlfn.XLOOKUP($A62,'Raw Data'!$G:$G,'Raw Data'!$AB:$AB),"")</f>
        <v>16427</v>
      </c>
      <c r="Y62" s="143">
        <f>IFERROR(_xlfn.XLOOKUP($A62,'Raw Data'!$G:$G,'Raw Data'!AC:AC),"")</f>
        <v>16436.900000000605</v>
      </c>
      <c r="Z62" s="143">
        <f>IFERROR(_xlfn.XLOOKUP($A62,'Raw Data'!$G:$G,'Raw Data'!AD:AD),"")</f>
        <v>201.70000000007349</v>
      </c>
      <c r="AA62" s="143">
        <f>IFERROR(_xlfn.XLOOKUP($A62,'Raw Data'!$G:$G,'Raw Data'!AE:AE)*(1+(_xlfn.XLOOKUP(Table13[[#This Row],[Month Year]],JMR!$A:$A,JMR!$J:$J))),"")</f>
        <v>16235.200000000532</v>
      </c>
      <c r="AB62" s="143">
        <f>IFERROR(_xlfn.XLOOKUP($A62,'Raw Data'!$G:$G,'Raw Data'!$H:$H),"")</f>
        <v>11.72</v>
      </c>
      <c r="AC62" s="149">
        <f>IFERROR(_xlfn.XLOOKUP($D62,'Modelling New'!$D:$D,'Modelling New'!$P:$P),"")</f>
        <v>7.6437019903225805</v>
      </c>
      <c r="AD62" s="143">
        <f>IFERROR(_xlfn.XLOOKUP($D62,'Modelling New'!$D:$D,'Modelling New'!$T:$T)*1000,"")</f>
        <v>65538.17192485639</v>
      </c>
      <c r="AE62" s="148">
        <f>IFERROR(_xlfn.XLOOKUP($D62,'Modelling New'!$D:$D,'Modelling New'!$O:$O),"")</f>
        <v>0.73158192177304548</v>
      </c>
      <c r="AF62" s="148">
        <f>IFERROR(_xlfn.XLOOKUP($D62,'Modelling New'!$D:$D,'Modelling New'!$W:$W),"")</f>
        <v>0.23299975798086028</v>
      </c>
      <c r="AG62" s="148">
        <f>IFERROR(_xlfn.XLOOKUP($D62,'Modelling New'!$D:$D,'Modelling New'!AE:AE),"")</f>
        <v>0.995</v>
      </c>
      <c r="AH62" s="148">
        <f>IFERROR(_xlfn.XLOOKUP($D62,'Modelling New'!$D:$D,'Modelling New'!AF:AF),"")</f>
        <v>0.98550000000000004</v>
      </c>
      <c r="AN62" s="145"/>
      <c r="AO62" s="148"/>
      <c r="AP62" s="148"/>
      <c r="AQ62" s="148"/>
      <c r="AR62" s="143">
        <f>IFERROR(_xlfn.XLOOKUP($D62,'Modelling New'!$D:$D,'Modelling New'!$N:$N),"")</f>
        <v>11.72</v>
      </c>
      <c r="AT62" s="143">
        <f>IFERROR(_xlfn.XLOOKUP(Table13[[#This Row],[Date]],'Raw Data'!$G:$G,'Raw Data'!$AJ:$AJ),"")</f>
        <v>0</v>
      </c>
      <c r="AU62" s="143">
        <f>IFERROR(_xlfn.XLOOKUP(Table13[[#This Row],[Month Year]],'Modelling New'!$D:$D,'Modelling New'!$AO:$AO),"")</f>
        <v>10</v>
      </c>
      <c r="AV62" s="143"/>
    </row>
    <row r="63" spans="1:48">
      <c r="A63" s="142">
        <f t="shared" ref="A63:A126" si="7">A62+1</f>
        <v>45806</v>
      </c>
      <c r="B63" s="143">
        <f>YEAR(Table13[[#This Row],[Date]])+IF(MONTH(Table13[[#This Row],[Date]])&gt;=4,1,0)</f>
        <v>2026</v>
      </c>
      <c r="C63" s="116">
        <f>YEAR(Table13[[#This Row],[Date]])</f>
        <v>2025</v>
      </c>
      <c r="D63" s="144">
        <f>Table13[[#This Row],[Date]]-DAY(Table13[[#This Row],[Date]])+1</f>
        <v>45778</v>
      </c>
      <c r="E63" s="116">
        <f t="shared" si="4"/>
        <v>31</v>
      </c>
      <c r="F63" s="117">
        <f>IFERROR(_xlfn.XLOOKUP($A63,'Raw Data'!$G:$G,'Raw Data'!$AH:$AH),"")</f>
        <v>12.250000000000002</v>
      </c>
      <c r="G63" s="118">
        <f>IFERROR(_xlfn.XLOOKUP($A63,'Raw Data'!$G:$G,'Raw Data'!$S:$S)/1000,"")</f>
        <v>0</v>
      </c>
      <c r="H63" s="118"/>
      <c r="I63" s="118">
        <f>IFERROR(_xlfn.XLOOKUP($A63,'Raw Data'!$G:$G,'Raw Data'!$AF:$AF)/1000,"")</f>
        <v>3.23</v>
      </c>
      <c r="J63" s="118"/>
      <c r="K63" s="118">
        <f>IFERROR(_xlfn.XLOOKUP($A63,'Raw Data'!$G:$G,'Raw Data'!W:W),"")</f>
        <v>23</v>
      </c>
      <c r="L63" s="118">
        <f>IFERROR(_xlfn.XLOOKUP($A63,'Raw Data'!$G:$G,'Raw Data'!X:X),"")</f>
        <v>32</v>
      </c>
      <c r="M63" s="118">
        <f>IFERROR(_xlfn.XLOOKUP($A63,'Raw Data'!$G:$G,'Raw Data'!Y:Y),"")</f>
        <v>2.5</v>
      </c>
      <c r="N63" s="118">
        <f>IFERROR(_xlfn.XLOOKUP($A63,'Raw Data'!$G:$G,'Raw Data'!Z:Z),"")</f>
        <v>5</v>
      </c>
      <c r="O63" s="145">
        <f>IFERROR(1-SUMIF('Plant BD'!$B:$B,$A63,'Plant BD'!$AM:$AM)/($AA63+SUMIF('Plant BD'!$B:$B,$A63,'Plant BD'!$AM:$AM)),"")</f>
        <v>5.6489287626870777E-4</v>
      </c>
      <c r="P63" s="145"/>
      <c r="Q63" s="146"/>
      <c r="R63" s="145">
        <f>IFERROR(1-SUMIF('Grid BD'!$B:$B,$A63,'Grid BD'!$AE:$AE)/($AA63+SUMIF('Grid BD'!$B:$B,$A63,'Grid BD'!$AE:$AE)),"")</f>
        <v>1</v>
      </c>
      <c r="T63" s="146">
        <f>IFERROR(1-SUMIF(Tracker_BD!$H:$H,$A63,Tracker_BD!AI:AI)/$F63,"")</f>
        <v>0.98602314489013998</v>
      </c>
      <c r="U63" s="147">
        <f t="shared" si="5"/>
        <v>0.26927852153984877</v>
      </c>
      <c r="V63" s="147"/>
      <c r="W63" s="148">
        <f t="shared" si="6"/>
        <v>3.6240401023904648E-2</v>
      </c>
      <c r="X63" s="143">
        <f>IFERROR(_xlfn.XLOOKUP($A63,'Raw Data'!$G:$G,'Raw Data'!$AB:$AB),"")</f>
        <v>10359</v>
      </c>
      <c r="Y63" s="143">
        <f>IFERROR(_xlfn.XLOOKUP($A63,'Raw Data'!$G:$G,'Raw Data'!AC:AC),"")</f>
        <v>10299.100000003818</v>
      </c>
      <c r="Z63" s="143">
        <f>IFERROR(_xlfn.XLOOKUP($A63,'Raw Data'!$G:$G,'Raw Data'!AD:AD),"")</f>
        <v>105.39999999991778</v>
      </c>
      <c r="AA63" s="143">
        <f>IFERROR(_xlfn.XLOOKUP($A63,'Raw Data'!$G:$G,'Raw Data'!AE:AE)*(1+(_xlfn.XLOOKUP(Table13[[#This Row],[Month Year]],JMR!$A:$A,JMR!$J:$J))),"")</f>
        <v>10193.700000003901</v>
      </c>
      <c r="AB63" s="143">
        <f>IFERROR(_xlfn.XLOOKUP($A63,'Raw Data'!$G:$G,'Raw Data'!$H:$H),"")</f>
        <v>11.72</v>
      </c>
      <c r="AC63" s="149">
        <f>IFERROR(_xlfn.XLOOKUP($D63,'Modelling New'!$D:$D,'Modelling New'!$P:$P),"")</f>
        <v>7.6437019903225805</v>
      </c>
      <c r="AD63" s="143">
        <f>IFERROR(_xlfn.XLOOKUP($D63,'Modelling New'!$D:$D,'Modelling New'!$T:$T)*1000,"")</f>
        <v>65538.17192485639</v>
      </c>
      <c r="AE63" s="148">
        <f>IFERROR(_xlfn.XLOOKUP($D63,'Modelling New'!$D:$D,'Modelling New'!$O:$O),"")</f>
        <v>0.73158192177304548</v>
      </c>
      <c r="AF63" s="148">
        <f>IFERROR(_xlfn.XLOOKUP($D63,'Modelling New'!$D:$D,'Modelling New'!$W:$W),"")</f>
        <v>0.23299975798086028</v>
      </c>
      <c r="AG63" s="148">
        <f>IFERROR(_xlfn.XLOOKUP($D63,'Modelling New'!$D:$D,'Modelling New'!AE:AE),"")</f>
        <v>0.995</v>
      </c>
      <c r="AH63" s="148">
        <f>IFERROR(_xlfn.XLOOKUP($D63,'Modelling New'!$D:$D,'Modelling New'!AF:AF),"")</f>
        <v>0.98550000000000004</v>
      </c>
      <c r="AN63" s="145"/>
      <c r="AO63" s="148"/>
      <c r="AP63" s="148"/>
      <c r="AQ63" s="148"/>
      <c r="AR63" s="143">
        <f>IFERROR(_xlfn.XLOOKUP($D63,'Modelling New'!$D:$D,'Modelling New'!$N:$N),"")</f>
        <v>11.72</v>
      </c>
      <c r="AT63" s="143">
        <f>IFERROR(_xlfn.XLOOKUP(Table13[[#This Row],[Date]],'Raw Data'!$G:$G,'Raw Data'!$AJ:$AJ),"")</f>
        <v>0</v>
      </c>
      <c r="AU63" s="143">
        <f>IFERROR(_xlfn.XLOOKUP(Table13[[#This Row],[Month Year]],'Modelling New'!$D:$D,'Modelling New'!$AO:$AO),"")</f>
        <v>10</v>
      </c>
      <c r="AV63" s="143"/>
    </row>
    <row r="64" spans="1:48">
      <c r="A64" s="142">
        <f t="shared" si="7"/>
        <v>45807</v>
      </c>
      <c r="B64" s="143">
        <f>YEAR(Table13[[#This Row],[Date]])+IF(MONTH(Table13[[#This Row],[Date]])&gt;=4,1,0)</f>
        <v>2026</v>
      </c>
      <c r="C64" s="116">
        <f>YEAR(Table13[[#This Row],[Date]])</f>
        <v>2025</v>
      </c>
      <c r="D64" s="144">
        <f>Table13[[#This Row],[Date]]-DAY(Table13[[#This Row],[Date]])+1</f>
        <v>45778</v>
      </c>
      <c r="E64" s="116">
        <f t="shared" si="4"/>
        <v>31</v>
      </c>
      <c r="F64" s="117">
        <f>IFERROR(_xlfn.XLOOKUP($A64,'Raw Data'!$G:$G,'Raw Data'!$AH:$AH),"")</f>
        <v>12.433333333333332</v>
      </c>
      <c r="G64" s="118">
        <f>IFERROR(_xlfn.XLOOKUP($A64,'Raw Data'!$G:$G,'Raw Data'!$S:$S)/1000,"")</f>
        <v>0</v>
      </c>
      <c r="H64" s="118"/>
      <c r="I64" s="118">
        <f>IFERROR(_xlfn.XLOOKUP($A64,'Raw Data'!$G:$G,'Raw Data'!$AF:$AF)/1000,"")</f>
        <v>6.5010000000000003</v>
      </c>
      <c r="J64" s="118"/>
      <c r="K64" s="118">
        <f>IFERROR(_xlfn.XLOOKUP($A64,'Raw Data'!$G:$G,'Raw Data'!W:W),"")</f>
        <v>23</v>
      </c>
      <c r="L64" s="118">
        <f>IFERROR(_xlfn.XLOOKUP($A64,'Raw Data'!$G:$G,'Raw Data'!X:X),"")</f>
        <v>37</v>
      </c>
      <c r="M64" s="118">
        <f>IFERROR(_xlfn.XLOOKUP($A64,'Raw Data'!$G:$G,'Raw Data'!Y:Y),"")</f>
        <v>2</v>
      </c>
      <c r="N64" s="118">
        <f>IFERROR(_xlfn.XLOOKUP($A64,'Raw Data'!$G:$G,'Raw Data'!Z:Z),"")</f>
        <v>6</v>
      </c>
      <c r="O64" s="145">
        <f>IFERROR(1-SUMIF('Plant BD'!$B:$B,$A64,'Plant BD'!$AM:$AM)/($AA64+SUMIF('Plant BD'!$B:$B,$A64,'Plant BD'!$AM:$AM)),"")</f>
        <v>1.075923563686354E-3</v>
      </c>
      <c r="P64" s="145"/>
      <c r="Q64" s="146"/>
      <c r="R64" s="145">
        <f>IFERROR(1-SUMIF('Grid BD'!$B:$B,$A64,'Grid BD'!$AE:$AE)/($AA64+SUMIF('Grid BD'!$B:$B,$A64,'Grid BD'!$AE:$AE)),"")</f>
        <v>1</v>
      </c>
      <c r="T64" s="146">
        <f>IFERROR(1-SUMIF(Tracker_BD!$H:$H,$A64,Tracker_BD!AI:AI)/$F64,"")</f>
        <v>0.98607515947120272</v>
      </c>
      <c r="U64" s="147">
        <f t="shared" si="5"/>
        <v>0.25622469213187704</v>
      </c>
      <c r="V64" s="147"/>
      <c r="W64" s="148">
        <f t="shared" si="6"/>
        <v>6.9404863481222184E-2</v>
      </c>
      <c r="X64" s="143">
        <f>IFERROR(_xlfn.XLOOKUP($A64,'Raw Data'!$G:$G,'Raw Data'!$AB:$AB),"")</f>
        <v>19773</v>
      </c>
      <c r="Y64" s="143">
        <f>IFERROR(_xlfn.XLOOKUP($A64,'Raw Data'!$G:$G,'Raw Data'!AC:AC),"")</f>
        <v>19626.799999998184</v>
      </c>
      <c r="Z64" s="143">
        <f>IFERROR(_xlfn.XLOOKUP($A64,'Raw Data'!$G:$G,'Raw Data'!AD:AD),"")</f>
        <v>104.60000000000491</v>
      </c>
      <c r="AA64" s="143">
        <f>IFERROR(_xlfn.XLOOKUP($A64,'Raw Data'!$G:$G,'Raw Data'!AE:AE)*(1+(_xlfn.XLOOKUP(Table13[[#This Row],[Month Year]],JMR!$A:$A,JMR!$J:$J))),"")</f>
        <v>19522.199999998178</v>
      </c>
      <c r="AB64" s="143">
        <f>IFERROR(_xlfn.XLOOKUP($A64,'Raw Data'!$G:$G,'Raw Data'!$H:$H),"")</f>
        <v>11.72</v>
      </c>
      <c r="AC64" s="149">
        <f>IFERROR(_xlfn.XLOOKUP($D64,'Modelling New'!$D:$D,'Modelling New'!$P:$P),"")</f>
        <v>7.6437019903225805</v>
      </c>
      <c r="AD64" s="143">
        <f>IFERROR(_xlfn.XLOOKUP($D64,'Modelling New'!$D:$D,'Modelling New'!$T:$T)*1000,"")</f>
        <v>65538.17192485639</v>
      </c>
      <c r="AE64" s="148">
        <f>IFERROR(_xlfn.XLOOKUP($D64,'Modelling New'!$D:$D,'Modelling New'!$O:$O),"")</f>
        <v>0.73158192177304548</v>
      </c>
      <c r="AF64" s="148">
        <f>IFERROR(_xlfn.XLOOKUP($D64,'Modelling New'!$D:$D,'Modelling New'!$W:$W),"")</f>
        <v>0.23299975798086028</v>
      </c>
      <c r="AG64" s="148">
        <f>IFERROR(_xlfn.XLOOKUP($D64,'Modelling New'!$D:$D,'Modelling New'!AE:AE),"")</f>
        <v>0.995</v>
      </c>
      <c r="AH64" s="148">
        <f>IFERROR(_xlfn.XLOOKUP($D64,'Modelling New'!$D:$D,'Modelling New'!AF:AF),"")</f>
        <v>0.98550000000000004</v>
      </c>
      <c r="AN64" s="145"/>
      <c r="AO64" s="148"/>
      <c r="AP64" s="148"/>
      <c r="AQ64" s="148"/>
      <c r="AR64" s="143">
        <f>IFERROR(_xlfn.XLOOKUP($D64,'Modelling New'!$D:$D,'Modelling New'!$N:$N),"")</f>
        <v>11.72</v>
      </c>
      <c r="AT64" s="143">
        <f>IFERROR(_xlfn.XLOOKUP(Table13[[#This Row],[Date]],'Raw Data'!$G:$G,'Raw Data'!$AJ:$AJ),"")</f>
        <v>0</v>
      </c>
      <c r="AU64" s="143">
        <f>IFERROR(_xlfn.XLOOKUP(Table13[[#This Row],[Month Year]],'Modelling New'!$D:$D,'Modelling New'!$AO:$AO),"")</f>
        <v>10</v>
      </c>
      <c r="AV64" s="143"/>
    </row>
    <row r="65" spans="1:48">
      <c r="A65" s="142">
        <f t="shared" si="7"/>
        <v>45808</v>
      </c>
      <c r="B65" s="143">
        <f>YEAR(Table13[[#This Row],[Date]])+IF(MONTH(Table13[[#This Row],[Date]])&gt;=4,1,0)</f>
        <v>2026</v>
      </c>
      <c r="C65" s="116">
        <f>YEAR(Table13[[#This Row],[Date]])</f>
        <v>2025</v>
      </c>
      <c r="D65" s="144">
        <f>Table13[[#This Row],[Date]]-DAY(Table13[[#This Row],[Date]])+1</f>
        <v>45778</v>
      </c>
      <c r="E65" s="116">
        <f t="shared" si="4"/>
        <v>31</v>
      </c>
      <c r="F65" s="117">
        <f>IFERROR(_xlfn.XLOOKUP($A65,'Raw Data'!$G:$G,'Raw Data'!$AH:$AH),"")</f>
        <v>12.75</v>
      </c>
      <c r="G65" s="118">
        <f>IFERROR(_xlfn.XLOOKUP($A65,'Raw Data'!$G:$G,'Raw Data'!$S:$S)/1000,"")</f>
        <v>0</v>
      </c>
      <c r="H65" s="118"/>
      <c r="I65" s="118">
        <f>IFERROR(_xlfn.XLOOKUP($A65,'Raw Data'!$G:$G,'Raw Data'!$AF:$AF)/1000,"")</f>
        <v>8.3030000000000008</v>
      </c>
      <c r="J65" s="118"/>
      <c r="K65" s="118">
        <f>IFERROR(_xlfn.XLOOKUP($A65,'Raw Data'!$G:$G,'Raw Data'!W:W),"")</f>
        <v>23</v>
      </c>
      <c r="L65" s="118">
        <f>IFERROR(_xlfn.XLOOKUP($A65,'Raw Data'!$G:$G,'Raw Data'!X:X),"")</f>
        <v>44</v>
      </c>
      <c r="M65" s="118">
        <f>IFERROR(_xlfn.XLOOKUP($A65,'Raw Data'!$G:$G,'Raw Data'!Y:Y),"")</f>
        <v>3</v>
      </c>
      <c r="N65" s="118">
        <f>IFERROR(_xlfn.XLOOKUP($A65,'Raw Data'!$G:$G,'Raw Data'!Z:Z),"")</f>
        <v>7</v>
      </c>
      <c r="O65" s="145">
        <f>IFERROR(1-SUMIF('Plant BD'!$B:$B,$A65,'Plant BD'!$AM:$AM)/($AA65+SUMIF('Plant BD'!$B:$B,$A65,'Plant BD'!$AM:$AM)),"")</f>
        <v>4.0942222982733867E-2</v>
      </c>
      <c r="P65" s="145"/>
      <c r="Q65" s="146"/>
      <c r="R65" s="145">
        <f>IFERROR(1-SUMIF('Grid BD'!$B:$B,$A65,'Grid BD'!$AE:$AE)/($AA65+SUMIF('Grid BD'!$B:$B,$A65,'Grid BD'!$AE:$AE)),"")</f>
        <v>0.8734013037200794</v>
      </c>
      <c r="T65" s="146">
        <f>IFERROR(1-SUMIF(Tracker_BD!$H:$H,$A65,Tracker_BD!AI:AI)/$F65,"")</f>
        <v>0.98604537600480802</v>
      </c>
      <c r="U65" s="147">
        <f t="shared" si="5"/>
        <v>0.60312506808059141</v>
      </c>
      <c r="V65" s="147"/>
      <c r="W65" s="148">
        <f t="shared" si="6"/>
        <v>0.20865614334471461</v>
      </c>
      <c r="X65" s="143">
        <f>IFERROR(_xlfn.XLOOKUP($A65,'Raw Data'!$G:$G,'Raw Data'!$AB:$AB),"")</f>
        <v>58786</v>
      </c>
      <c r="Y65" s="143">
        <f>IFERROR(_xlfn.XLOOKUP($A65,'Raw Data'!$G:$G,'Raw Data'!AC:AC),"")</f>
        <v>58820.800000001327</v>
      </c>
      <c r="Z65" s="143">
        <f>IFERROR(_xlfn.XLOOKUP($A65,'Raw Data'!$G:$G,'Raw Data'!AD:AD),"")</f>
        <v>129.99999999999545</v>
      </c>
      <c r="AA65" s="143">
        <f>IFERROR(_xlfn.XLOOKUP($A65,'Raw Data'!$G:$G,'Raw Data'!AE:AE)*(1+(_xlfn.XLOOKUP(Table13[[#This Row],[Month Year]],JMR!$A:$A,JMR!$J:$J))),"")</f>
        <v>58690.800000001334</v>
      </c>
      <c r="AB65" s="143">
        <f>IFERROR(_xlfn.XLOOKUP($A65,'Raw Data'!$G:$G,'Raw Data'!$H:$H),"")</f>
        <v>11.72</v>
      </c>
      <c r="AC65" s="149">
        <f>IFERROR(_xlfn.XLOOKUP($D65,'Modelling New'!$D:$D,'Modelling New'!$P:$P),"")</f>
        <v>7.6437019903225805</v>
      </c>
      <c r="AD65" s="143">
        <f>IFERROR(_xlfn.XLOOKUP($D65,'Modelling New'!$D:$D,'Modelling New'!$T:$T)*1000,"")</f>
        <v>65538.17192485639</v>
      </c>
      <c r="AE65" s="148">
        <f>IFERROR(_xlfn.XLOOKUP($D65,'Modelling New'!$D:$D,'Modelling New'!$O:$O),"")</f>
        <v>0.73158192177304548</v>
      </c>
      <c r="AF65" s="148">
        <f>IFERROR(_xlfn.XLOOKUP($D65,'Modelling New'!$D:$D,'Modelling New'!$W:$W),"")</f>
        <v>0.23299975798086028</v>
      </c>
      <c r="AG65" s="148">
        <f>IFERROR(_xlfn.XLOOKUP($D65,'Modelling New'!$D:$D,'Modelling New'!AE:AE),"")</f>
        <v>0.995</v>
      </c>
      <c r="AH65" s="148">
        <f>IFERROR(_xlfn.XLOOKUP($D65,'Modelling New'!$D:$D,'Modelling New'!AF:AF),"")</f>
        <v>0.98550000000000004</v>
      </c>
      <c r="AN65" s="145"/>
      <c r="AO65" s="148"/>
      <c r="AP65" s="148"/>
      <c r="AQ65" s="148"/>
      <c r="AR65" s="143">
        <f>IFERROR(_xlfn.XLOOKUP($D65,'Modelling New'!$D:$D,'Modelling New'!$N:$N),"")</f>
        <v>11.72</v>
      </c>
      <c r="AT65" s="143">
        <f>IFERROR(_xlfn.XLOOKUP(Table13[[#This Row],[Date]],'Raw Data'!$G:$G,'Raw Data'!$AJ:$AJ),"")</f>
        <v>0</v>
      </c>
      <c r="AU65" s="143">
        <f>IFERROR(_xlfn.XLOOKUP(Table13[[#This Row],[Month Year]],'Modelling New'!$D:$D,'Modelling New'!$AO:$AO),"")</f>
        <v>10</v>
      </c>
      <c r="AV65" s="143"/>
    </row>
    <row r="66" spans="1:48">
      <c r="A66" s="142">
        <f t="shared" si="7"/>
        <v>45809</v>
      </c>
      <c r="B66" s="143">
        <f>YEAR(Table13[[#This Row],[Date]])+IF(MONTH(Table13[[#This Row],[Date]])&gt;=4,1,0)</f>
        <v>2026</v>
      </c>
      <c r="C66" s="116">
        <f>YEAR(Table13[[#This Row],[Date]])</f>
        <v>2025</v>
      </c>
      <c r="D66" s="144">
        <f>Table13[[#This Row],[Date]]-DAY(Table13[[#This Row],[Date]])+1</f>
        <v>45809</v>
      </c>
      <c r="E66" s="116">
        <f t="shared" si="4"/>
        <v>30</v>
      </c>
      <c r="F66" s="117">
        <f>IFERROR(_xlfn.XLOOKUP($A66,'Raw Data'!$G:$G,'Raw Data'!$AH:$AH),"")</f>
        <v>12.75</v>
      </c>
      <c r="G66" s="118">
        <f>IFERROR(_xlfn.XLOOKUP($A66,'Raw Data'!$G:$G,'Raw Data'!$S:$S)/1000,"")</f>
        <v>0</v>
      </c>
      <c r="H66" s="118"/>
      <c r="I66" s="118">
        <f>IFERROR(_xlfn.XLOOKUP($A66,'Raw Data'!$G:$G,'Raw Data'!$AF:$AF)/1000,"")</f>
        <v>7.6749999999999998</v>
      </c>
      <c r="J66" s="118"/>
      <c r="K66" s="118">
        <f>IFERROR(_xlfn.XLOOKUP($A66,'Raw Data'!$G:$G,'Raw Data'!W:W),"")</f>
        <v>24</v>
      </c>
      <c r="L66" s="118">
        <f>IFERROR(_xlfn.XLOOKUP($A66,'Raw Data'!$G:$G,'Raw Data'!X:X),"")</f>
        <v>41</v>
      </c>
      <c r="M66" s="118">
        <f>IFERROR(_xlfn.XLOOKUP($A66,'Raw Data'!$G:$G,'Raw Data'!Y:Y),"")</f>
        <v>3</v>
      </c>
      <c r="N66" s="118">
        <f>IFERROR(_xlfn.XLOOKUP($A66,'Raw Data'!$G:$G,'Raw Data'!Z:Z),"")</f>
        <v>7</v>
      </c>
      <c r="O66" s="145">
        <f>IFERROR(1-SUMIF('Plant BD'!$B:$B,$A66,'Plant BD'!$AM:$AM)/($AA66+SUMIF('Plant BD'!$B:$B,$A66,'Plant BD'!$AM:$AM)),"")</f>
        <v>1</v>
      </c>
      <c r="P66" s="145"/>
      <c r="Q66" s="146"/>
      <c r="R66" s="145">
        <f>IFERROR(1-SUMIF('Grid BD'!$B:$B,$A66,'Grid BD'!$AE:$AE)/($AA66+SUMIF('Grid BD'!$B:$B,$A66,'Grid BD'!$AE:$AE)),"")</f>
        <v>1</v>
      </c>
      <c r="T66" s="146">
        <f>IFERROR(1-SUMIF(Tracker_BD!$H:$H,$A66,Tracker_BD!AI:AI)/$F66,"")</f>
        <v>0.98598903162797691</v>
      </c>
      <c r="U66" s="147">
        <f t="shared" si="5"/>
        <v>0.71329612789179409</v>
      </c>
      <c r="V66" s="147"/>
      <c r="W66" s="148">
        <f t="shared" si="6"/>
        <v>0.22810615756539659</v>
      </c>
      <c r="X66" s="143">
        <f>IFERROR(_xlfn.XLOOKUP($A66,'Raw Data'!$G:$G,'Raw Data'!$AB:$AB),"")</f>
        <v>64395</v>
      </c>
      <c r="Y66" s="143">
        <f>IFERROR(_xlfn.XLOOKUP($A66,'Raw Data'!$G:$G,'Raw Data'!AC:AC),"")</f>
        <v>64322.499999994761</v>
      </c>
      <c r="Z66" s="143">
        <f>IFERROR(_xlfn.XLOOKUP($A66,'Raw Data'!$G:$G,'Raw Data'!AD:AD),"")</f>
        <v>160.79999999999472</v>
      </c>
      <c r="AA66" s="143">
        <f>IFERROR(_xlfn.XLOOKUP($A66,'Raw Data'!$G:$G,'Raw Data'!AE:AE)*(1+(_xlfn.XLOOKUP(Table13[[#This Row],[Month Year]],JMR!$A:$A,JMR!$J:$J))),"")</f>
        <v>64161.699999994766</v>
      </c>
      <c r="AB66" s="143">
        <f>IFERROR(_xlfn.XLOOKUP($A66,'Raw Data'!$G:$G,'Raw Data'!$H:$H),"")</f>
        <v>11.72</v>
      </c>
      <c r="AC66" s="149">
        <f>IFERROR(_xlfn.XLOOKUP($D66,'Modelling New'!$D:$D,'Modelling New'!$P:$P),"")</f>
        <v>5.617271453333335</v>
      </c>
      <c r="AD66" s="143">
        <f>IFERROR(_xlfn.XLOOKUP($D66,'Modelling New'!$D:$D,'Modelling New'!$T:$T)*1000,"")</f>
        <v>47413.538853540602</v>
      </c>
      <c r="AE66" s="148">
        <f>IFERROR(_xlfn.XLOOKUP($D66,'Modelling New'!$D:$D,'Modelling New'!$O:$O),"")</f>
        <v>0.72019375003918806</v>
      </c>
      <c r="AF66" s="148">
        <f>IFERROR(_xlfn.XLOOKUP($D66,'Modelling New'!$D:$D,'Modelling New'!$W:$W),"")</f>
        <v>0.16856349137350896</v>
      </c>
      <c r="AG66" s="148">
        <f>IFERROR(_xlfn.XLOOKUP($D66,'Modelling New'!$D:$D,'Modelling New'!AE:AE),"")</f>
        <v>0.995</v>
      </c>
      <c r="AH66" s="148">
        <f>IFERROR(_xlfn.XLOOKUP($D66,'Modelling New'!$D:$D,'Modelling New'!AF:AF),"")</f>
        <v>0.98550000000000004</v>
      </c>
      <c r="AN66" s="145"/>
      <c r="AO66" s="148"/>
      <c r="AP66" s="148"/>
      <c r="AQ66" s="148"/>
      <c r="AR66" s="143">
        <f>IFERROR(_xlfn.XLOOKUP($D66,'Modelling New'!$D:$D,'Modelling New'!$N:$N),"")</f>
        <v>11.72</v>
      </c>
      <c r="AT66" s="143">
        <f>IFERROR(_xlfn.XLOOKUP(Table13[[#This Row],[Date]],'Raw Data'!$G:$G,'Raw Data'!$AJ:$AJ),"")</f>
        <v>0</v>
      </c>
      <c r="AU66" s="143">
        <f>IFERROR(_xlfn.XLOOKUP(Table13[[#This Row],[Month Year]],'Modelling New'!$D:$D,'Modelling New'!$AO:$AO),"")</f>
        <v>10</v>
      </c>
      <c r="AV66" s="143"/>
    </row>
    <row r="67" spans="1:48">
      <c r="A67" s="142">
        <f t="shared" si="7"/>
        <v>45810</v>
      </c>
      <c r="B67" s="143">
        <f>YEAR(Table13[[#This Row],[Date]])+IF(MONTH(Table13[[#This Row],[Date]])&gt;=4,1,0)</f>
        <v>2026</v>
      </c>
      <c r="C67" s="116">
        <f>YEAR(Table13[[#This Row],[Date]])</f>
        <v>2025</v>
      </c>
      <c r="D67" s="144">
        <f>Table13[[#This Row],[Date]]-DAY(Table13[[#This Row],[Date]])+1</f>
        <v>45809</v>
      </c>
      <c r="E67" s="116">
        <f t="shared" si="4"/>
        <v>30</v>
      </c>
      <c r="F67" s="117">
        <f>IFERROR(_xlfn.XLOOKUP($A67,'Raw Data'!$G:$G,'Raw Data'!$AH:$AH),"")</f>
        <v>12.7</v>
      </c>
      <c r="G67" s="118">
        <f>IFERROR(_xlfn.XLOOKUP($A67,'Raw Data'!$G:$G,'Raw Data'!$S:$S)/1000,"")</f>
        <v>0</v>
      </c>
      <c r="H67" s="118"/>
      <c r="I67" s="118">
        <f>IFERROR(_xlfn.XLOOKUP($A67,'Raw Data'!$G:$G,'Raw Data'!$AF:$AF)/1000,"")</f>
        <v>6.4039999999999999</v>
      </c>
      <c r="J67" s="118"/>
      <c r="K67" s="118">
        <f>IFERROR(_xlfn.XLOOKUP($A67,'Raw Data'!$G:$G,'Raw Data'!W:W),"")</f>
        <v>23</v>
      </c>
      <c r="L67" s="118">
        <f>IFERROR(_xlfn.XLOOKUP($A67,'Raw Data'!$G:$G,'Raw Data'!X:X),"")</f>
        <v>41</v>
      </c>
      <c r="M67" s="118">
        <f>IFERROR(_xlfn.XLOOKUP($A67,'Raw Data'!$G:$G,'Raw Data'!Y:Y),"")</f>
        <v>3</v>
      </c>
      <c r="N67" s="118">
        <f>IFERROR(_xlfn.XLOOKUP($A67,'Raw Data'!$G:$G,'Raw Data'!Z:Z),"")</f>
        <v>8</v>
      </c>
      <c r="O67" s="145">
        <f>IFERROR(1-SUMIF('Plant BD'!$B:$B,$A67,'Plant BD'!$AM:$AM)/($AA67+SUMIF('Plant BD'!$B:$B,$A67,'Plant BD'!$AM:$AM)),"")</f>
        <v>0.11920458897035136</v>
      </c>
      <c r="P67" s="145"/>
      <c r="Q67" s="146"/>
      <c r="R67" s="145">
        <f>IFERROR(1-SUMIF('Grid BD'!$B:$B,$A67,'Grid BD'!$AE:$AE)/($AA67+SUMIF('Grid BD'!$B:$B,$A67,'Grid BD'!$AE:$AE)),"")</f>
        <v>0.97244222083805854</v>
      </c>
      <c r="T67" s="146">
        <f>IFERROR(1-SUMIF(Tracker_BD!$H:$H,$A67,Tracker_BD!AI:AI)/$F67,"")</f>
        <v>0.98591501493347811</v>
      </c>
      <c r="U67" s="147">
        <f t="shared" si="5"/>
        <v>0.68994181324381176</v>
      </c>
      <c r="V67" s="147"/>
      <c r="W67" s="148">
        <f t="shared" si="6"/>
        <v>0.18409947383389041</v>
      </c>
      <c r="X67" s="143">
        <f>IFERROR(_xlfn.XLOOKUP($A67,'Raw Data'!$G:$G,'Raw Data'!$AB:$AB),"")</f>
        <v>51969</v>
      </c>
      <c r="Y67" s="143">
        <f>IFERROR(_xlfn.XLOOKUP($A67,'Raw Data'!$G:$G,'Raw Data'!AC:AC),"")</f>
        <v>51964.69999999681</v>
      </c>
      <c r="Z67" s="143">
        <f>IFERROR(_xlfn.XLOOKUP($A67,'Raw Data'!$G:$G,'Raw Data'!AD:AD),"")</f>
        <v>181.2000000001035</v>
      </c>
      <c r="AA67" s="143">
        <f>IFERROR(_xlfn.XLOOKUP($A67,'Raw Data'!$G:$G,'Raw Data'!AE:AE)*(1+(_xlfn.XLOOKUP(Table13[[#This Row],[Month Year]],JMR!$A:$A,JMR!$J:$J))),"")</f>
        <v>51783.499999996704</v>
      </c>
      <c r="AB67" s="143">
        <f>IFERROR(_xlfn.XLOOKUP($A67,'Raw Data'!$G:$G,'Raw Data'!$H:$H),"")</f>
        <v>11.72</v>
      </c>
      <c r="AC67" s="149">
        <f>IFERROR(_xlfn.XLOOKUP($D67,'Modelling New'!$D:$D,'Modelling New'!$P:$P),"")</f>
        <v>5.617271453333335</v>
      </c>
      <c r="AD67" s="143">
        <f>IFERROR(_xlfn.XLOOKUP($D67,'Modelling New'!$D:$D,'Modelling New'!$T:$T)*1000,"")</f>
        <v>47413.538853540602</v>
      </c>
      <c r="AE67" s="148">
        <f>IFERROR(_xlfn.XLOOKUP($D67,'Modelling New'!$D:$D,'Modelling New'!$O:$O),"")</f>
        <v>0.72019375003918806</v>
      </c>
      <c r="AF67" s="148">
        <f>IFERROR(_xlfn.XLOOKUP($D67,'Modelling New'!$D:$D,'Modelling New'!$W:$W),"")</f>
        <v>0.16856349137350896</v>
      </c>
      <c r="AG67" s="148">
        <f>IFERROR(_xlfn.XLOOKUP($D67,'Modelling New'!$D:$D,'Modelling New'!AE:AE),"")</f>
        <v>0.995</v>
      </c>
      <c r="AH67" s="148">
        <f>IFERROR(_xlfn.XLOOKUP($D67,'Modelling New'!$D:$D,'Modelling New'!AF:AF),"")</f>
        <v>0.98550000000000004</v>
      </c>
      <c r="AN67" s="145"/>
      <c r="AO67" s="148"/>
      <c r="AP67" s="148"/>
      <c r="AQ67" s="148"/>
      <c r="AR67" s="143">
        <f>IFERROR(_xlfn.XLOOKUP($D67,'Modelling New'!$D:$D,'Modelling New'!$N:$N),"")</f>
        <v>11.72</v>
      </c>
      <c r="AT67" s="143">
        <f>IFERROR(_xlfn.XLOOKUP(Table13[[#This Row],[Date]],'Raw Data'!$G:$G,'Raw Data'!$AJ:$AJ),"")</f>
        <v>0</v>
      </c>
      <c r="AU67" s="143">
        <f>IFERROR(_xlfn.XLOOKUP(Table13[[#This Row],[Month Year]],'Modelling New'!$D:$D,'Modelling New'!$AO:$AO),"")</f>
        <v>10</v>
      </c>
      <c r="AV67" s="143"/>
    </row>
    <row r="68" spans="1:48">
      <c r="A68" s="142">
        <f t="shared" si="7"/>
        <v>45811</v>
      </c>
      <c r="B68" s="143">
        <f>YEAR(Table13[[#This Row],[Date]])+IF(MONTH(Table13[[#This Row],[Date]])&gt;=4,1,0)</f>
        <v>2026</v>
      </c>
      <c r="C68" s="116">
        <f>YEAR(Table13[[#This Row],[Date]])</f>
        <v>2025</v>
      </c>
      <c r="D68" s="144">
        <f>Table13[[#This Row],[Date]]-DAY(Table13[[#This Row],[Date]])+1</f>
        <v>45809</v>
      </c>
      <c r="E68" s="116">
        <f t="shared" si="4"/>
        <v>30</v>
      </c>
      <c r="F68" s="117">
        <f>IFERROR(_xlfn.XLOOKUP($A68,'Raw Data'!$G:$G,'Raw Data'!$AH:$AH),"")</f>
        <v>12.716666666666667</v>
      </c>
      <c r="G68" s="118">
        <f>IFERROR(_xlfn.XLOOKUP($A68,'Raw Data'!$G:$G,'Raw Data'!$S:$S)/1000,"")</f>
        <v>0</v>
      </c>
      <c r="H68" s="118"/>
      <c r="I68" s="118">
        <f>IFERROR(_xlfn.XLOOKUP($A68,'Raw Data'!$G:$G,'Raw Data'!$AF:$AF)/1000,"")</f>
        <v>7.0525000000000002</v>
      </c>
      <c r="J68" s="118"/>
      <c r="K68" s="118">
        <f>IFERROR(_xlfn.XLOOKUP($A68,'Raw Data'!$G:$G,'Raw Data'!W:W),"")</f>
        <v>24</v>
      </c>
      <c r="L68" s="118">
        <f>IFERROR(_xlfn.XLOOKUP($A68,'Raw Data'!$G:$G,'Raw Data'!X:X),"")</f>
        <v>42</v>
      </c>
      <c r="M68" s="118">
        <f>IFERROR(_xlfn.XLOOKUP($A68,'Raw Data'!$G:$G,'Raw Data'!Y:Y),"")</f>
        <v>2</v>
      </c>
      <c r="N68" s="118">
        <f>IFERROR(_xlfn.XLOOKUP($A68,'Raw Data'!$G:$G,'Raw Data'!Z:Z),"")</f>
        <v>7</v>
      </c>
      <c r="O68" s="145">
        <f>IFERROR(1-SUMIF('Plant BD'!$B:$B,$A68,'Plant BD'!$AM:$AM)/($AA68+SUMIF('Plant BD'!$B:$B,$A68,'Plant BD'!$AM:$AM)),"")</f>
        <v>1</v>
      </c>
      <c r="P68" s="145"/>
      <c r="Q68" s="146"/>
      <c r="R68" s="145">
        <f>IFERROR(1-SUMIF('Grid BD'!$B:$B,$A68,'Grid BD'!$AE:$AE)/($AA68+SUMIF('Grid BD'!$B:$B,$A68,'Grid BD'!$AE:$AE)),"")</f>
        <v>0.90533801779527601</v>
      </c>
      <c r="T68" s="146">
        <f>IFERROR(1-SUMIF(Tracker_BD!$H:$H,$A68,Tracker_BD!AI:AI)/$F68,"")</f>
        <v>0.98598996700863195</v>
      </c>
      <c r="U68" s="147">
        <f t="shared" si="5"/>
        <v>0.64016342569698181</v>
      </c>
      <c r="V68" s="147"/>
      <c r="W68" s="148">
        <f t="shared" si="6"/>
        <v>0.18811468998866515</v>
      </c>
      <c r="X68" s="143">
        <f>IFERROR(_xlfn.XLOOKUP($A68,'Raw Data'!$G:$G,'Raw Data'!$AB:$AB),"")</f>
        <v>53096</v>
      </c>
      <c r="Y68" s="143">
        <f>IFERROR(_xlfn.XLOOKUP($A68,'Raw Data'!$G:$G,'Raw Data'!AC:AC),"")</f>
        <v>53089.400000011665</v>
      </c>
      <c r="Z68" s="143">
        <f>IFERROR(_xlfn.XLOOKUP($A68,'Raw Data'!$G:$G,'Raw Data'!AD:AD),"")</f>
        <v>176.49999999991905</v>
      </c>
      <c r="AA68" s="143">
        <f>IFERROR(_xlfn.XLOOKUP($A68,'Raw Data'!$G:$G,'Raw Data'!AE:AE)*(1+(_xlfn.XLOOKUP(Table13[[#This Row],[Month Year]],JMR!$A:$A,JMR!$J:$J))),"")</f>
        <v>52912.900000011745</v>
      </c>
      <c r="AB68" s="143">
        <f>IFERROR(_xlfn.XLOOKUP($A68,'Raw Data'!$G:$G,'Raw Data'!$H:$H),"")</f>
        <v>11.72</v>
      </c>
      <c r="AC68" s="149">
        <f>IFERROR(_xlfn.XLOOKUP($D68,'Modelling New'!$D:$D,'Modelling New'!$P:$P),"")</f>
        <v>5.617271453333335</v>
      </c>
      <c r="AD68" s="143">
        <f>IFERROR(_xlfn.XLOOKUP($D68,'Modelling New'!$D:$D,'Modelling New'!$T:$T)*1000,"")</f>
        <v>47413.538853540602</v>
      </c>
      <c r="AE68" s="148">
        <f>IFERROR(_xlfn.XLOOKUP($D68,'Modelling New'!$D:$D,'Modelling New'!$O:$O),"")</f>
        <v>0.72019375003918806</v>
      </c>
      <c r="AF68" s="148">
        <f>IFERROR(_xlfn.XLOOKUP($D68,'Modelling New'!$D:$D,'Modelling New'!$W:$W),"")</f>
        <v>0.16856349137350896</v>
      </c>
      <c r="AG68" s="148">
        <f>IFERROR(_xlfn.XLOOKUP($D68,'Modelling New'!$D:$D,'Modelling New'!AE:AE),"")</f>
        <v>0.995</v>
      </c>
      <c r="AH68" s="148">
        <f>IFERROR(_xlfn.XLOOKUP($D68,'Modelling New'!$D:$D,'Modelling New'!AF:AF),"")</f>
        <v>0.98550000000000004</v>
      </c>
      <c r="AN68" s="145"/>
      <c r="AO68" s="148"/>
      <c r="AP68" s="148"/>
      <c r="AQ68" s="148"/>
      <c r="AR68" s="143">
        <f>IFERROR(_xlfn.XLOOKUP($D68,'Modelling New'!$D:$D,'Modelling New'!$N:$N),"")</f>
        <v>11.72</v>
      </c>
      <c r="AT68" s="143">
        <f>IFERROR(_xlfn.XLOOKUP(Table13[[#This Row],[Date]],'Raw Data'!$G:$G,'Raw Data'!$AJ:$AJ),"")</f>
        <v>0</v>
      </c>
      <c r="AU68" s="143">
        <f>IFERROR(_xlfn.XLOOKUP(Table13[[#This Row],[Month Year]],'Modelling New'!$D:$D,'Modelling New'!$AO:$AO),"")</f>
        <v>10</v>
      </c>
      <c r="AV68" s="143"/>
    </row>
    <row r="69" spans="1:48">
      <c r="A69" s="142">
        <f t="shared" si="7"/>
        <v>45812</v>
      </c>
      <c r="B69" s="143">
        <f>YEAR(Table13[[#This Row],[Date]])+IF(MONTH(Table13[[#This Row],[Date]])&gt;=4,1,0)</f>
        <v>2026</v>
      </c>
      <c r="C69" s="116">
        <f>YEAR(Table13[[#This Row],[Date]])</f>
        <v>2025</v>
      </c>
      <c r="D69" s="144">
        <f>Table13[[#This Row],[Date]]-DAY(Table13[[#This Row],[Date]])+1</f>
        <v>45809</v>
      </c>
      <c r="E69" s="116">
        <f t="shared" si="4"/>
        <v>30</v>
      </c>
      <c r="F69" s="117">
        <f>IFERROR(_xlfn.XLOOKUP($A69,'Raw Data'!$G:$G,'Raw Data'!$AH:$AH),"")</f>
        <v>12.55</v>
      </c>
      <c r="G69" s="118">
        <f>IFERROR(_xlfn.XLOOKUP($A69,'Raw Data'!$G:$G,'Raw Data'!$S:$S)/1000,"")</f>
        <v>0</v>
      </c>
      <c r="H69" s="118"/>
      <c r="I69" s="118">
        <f>IFERROR(_xlfn.XLOOKUP($A69,'Raw Data'!$G:$G,'Raw Data'!$AF:$AF)/1000,"")</f>
        <v>7.8514999999999997</v>
      </c>
      <c r="J69" s="118"/>
      <c r="K69" s="118">
        <f>IFERROR(_xlfn.XLOOKUP($A69,'Raw Data'!$G:$G,'Raw Data'!W:W),"")</f>
        <v>23</v>
      </c>
      <c r="L69" s="118">
        <f>IFERROR(_xlfn.XLOOKUP($A69,'Raw Data'!$G:$G,'Raw Data'!X:X),"")</f>
        <v>39</v>
      </c>
      <c r="M69" s="118">
        <f>IFERROR(_xlfn.XLOOKUP($A69,'Raw Data'!$G:$G,'Raw Data'!Y:Y),"")</f>
        <v>2</v>
      </c>
      <c r="N69" s="118">
        <f>IFERROR(_xlfn.XLOOKUP($A69,'Raw Data'!$G:$G,'Raw Data'!Z:Z),"")</f>
        <v>7</v>
      </c>
      <c r="O69" s="145">
        <f>IFERROR(1-SUMIF('Plant BD'!$B:$B,$A69,'Plant BD'!$AM:$AM)/($AA69+SUMIF('Plant BD'!$B:$B,$A69,'Plant BD'!$AM:$AM)),"")</f>
        <v>1</v>
      </c>
      <c r="P69" s="145"/>
      <c r="Q69" s="146"/>
      <c r="R69" s="145">
        <f>IFERROR(1-SUMIF('Grid BD'!$B:$B,$A69,'Grid BD'!$AE:$AE)/($AA69+SUMIF('Grid BD'!$B:$B,$A69,'Grid BD'!$AE:$AE)),"")</f>
        <v>1</v>
      </c>
      <c r="T69" s="146">
        <f>IFERROR(1-SUMIF(Tracker_BD!$H:$H,$A69,Tracker_BD!AI:AI)/$F69,"")</f>
        <v>0.98584207232373189</v>
      </c>
      <c r="U69" s="147">
        <f t="shared" si="5"/>
        <v>0.67889899084518313</v>
      </c>
      <c r="V69" s="147"/>
      <c r="W69" s="148">
        <f t="shared" si="6"/>
        <v>0.2220989761092064</v>
      </c>
      <c r="X69" s="143">
        <f>IFERROR(_xlfn.XLOOKUP($A69,'Raw Data'!$G:$G,'Raw Data'!$AB:$AB),"")</f>
        <v>62632</v>
      </c>
      <c r="Y69" s="143">
        <f>IFERROR(_xlfn.XLOOKUP($A69,'Raw Data'!$G:$G,'Raw Data'!AC:AC),"")</f>
        <v>62627.399999997579</v>
      </c>
      <c r="Z69" s="143">
        <f>IFERROR(_xlfn.XLOOKUP($A69,'Raw Data'!$G:$G,'Raw Data'!AD:AD),"")</f>
        <v>155.39999999998599</v>
      </c>
      <c r="AA69" s="143">
        <f>IFERROR(_xlfn.XLOOKUP($A69,'Raw Data'!$G:$G,'Raw Data'!AE:AE)*(1+(_xlfn.XLOOKUP(Table13[[#This Row],[Month Year]],JMR!$A:$A,JMR!$J:$J))),"")</f>
        <v>62471.999999997592</v>
      </c>
      <c r="AB69" s="143">
        <f>IFERROR(_xlfn.XLOOKUP($A69,'Raw Data'!$G:$G,'Raw Data'!$H:$H),"")</f>
        <v>11.72</v>
      </c>
      <c r="AC69" s="149">
        <f>IFERROR(_xlfn.XLOOKUP($D69,'Modelling New'!$D:$D,'Modelling New'!$P:$P),"")</f>
        <v>5.617271453333335</v>
      </c>
      <c r="AD69" s="143">
        <f>IFERROR(_xlfn.XLOOKUP($D69,'Modelling New'!$D:$D,'Modelling New'!$T:$T)*1000,"")</f>
        <v>47413.538853540602</v>
      </c>
      <c r="AE69" s="148">
        <f>IFERROR(_xlfn.XLOOKUP($D69,'Modelling New'!$D:$D,'Modelling New'!$O:$O),"")</f>
        <v>0.72019375003918806</v>
      </c>
      <c r="AF69" s="148">
        <f>IFERROR(_xlfn.XLOOKUP($D69,'Modelling New'!$D:$D,'Modelling New'!$W:$W),"")</f>
        <v>0.16856349137350896</v>
      </c>
      <c r="AG69" s="148">
        <f>IFERROR(_xlfn.XLOOKUP($D69,'Modelling New'!$D:$D,'Modelling New'!AE:AE),"")</f>
        <v>0.995</v>
      </c>
      <c r="AH69" s="148">
        <f>IFERROR(_xlfn.XLOOKUP($D69,'Modelling New'!$D:$D,'Modelling New'!AF:AF),"")</f>
        <v>0.98550000000000004</v>
      </c>
      <c r="AN69" s="145"/>
      <c r="AO69" s="148"/>
      <c r="AP69" s="148"/>
      <c r="AQ69" s="148"/>
      <c r="AR69" s="143">
        <f>IFERROR(_xlfn.XLOOKUP($D69,'Modelling New'!$D:$D,'Modelling New'!$N:$N),"")</f>
        <v>11.72</v>
      </c>
      <c r="AT69" s="143">
        <f>IFERROR(_xlfn.XLOOKUP(Table13[[#This Row],[Date]],'Raw Data'!$G:$G,'Raw Data'!$AJ:$AJ),"")</f>
        <v>0</v>
      </c>
      <c r="AU69" s="143">
        <f>IFERROR(_xlfn.XLOOKUP(Table13[[#This Row],[Month Year]],'Modelling New'!$D:$D,'Modelling New'!$AO:$AO),"")</f>
        <v>10</v>
      </c>
      <c r="AV69" s="143"/>
    </row>
    <row r="70" spans="1:48">
      <c r="A70" s="142">
        <f t="shared" si="7"/>
        <v>45813</v>
      </c>
      <c r="B70" s="143">
        <f>YEAR(Table13[[#This Row],[Date]])+IF(MONTH(Table13[[#This Row],[Date]])&gt;=4,1,0)</f>
        <v>2026</v>
      </c>
      <c r="C70" s="116">
        <f>YEAR(Table13[[#This Row],[Date]])</f>
        <v>2025</v>
      </c>
      <c r="D70" s="144">
        <f>Table13[[#This Row],[Date]]-DAY(Table13[[#This Row],[Date]])+1</f>
        <v>45809</v>
      </c>
      <c r="E70" s="116">
        <f t="shared" si="4"/>
        <v>30</v>
      </c>
      <c r="F70" s="117">
        <f>IFERROR(_xlfn.XLOOKUP($A70,'Raw Data'!$G:$G,'Raw Data'!$AH:$AH),"")</f>
        <v>12.566666666666666</v>
      </c>
      <c r="G70" s="118">
        <f>IFERROR(_xlfn.XLOOKUP($A70,'Raw Data'!$G:$G,'Raw Data'!$S:$S)/1000,"")</f>
        <v>0</v>
      </c>
      <c r="H70" s="118"/>
      <c r="I70" s="118">
        <f>IFERROR(_xlfn.XLOOKUP($A70,'Raw Data'!$G:$G,'Raw Data'!$AF:$AF)/1000,"")</f>
        <v>3.3620000000000001</v>
      </c>
      <c r="J70" s="118"/>
      <c r="K70" s="118">
        <f>IFERROR(_xlfn.XLOOKUP($A70,'Raw Data'!$G:$G,'Raw Data'!W:W),"")</f>
        <v>22</v>
      </c>
      <c r="L70" s="118">
        <f>IFERROR(_xlfn.XLOOKUP($A70,'Raw Data'!$G:$G,'Raw Data'!X:X),"")</f>
        <v>36</v>
      </c>
      <c r="M70" s="118">
        <f>IFERROR(_xlfn.XLOOKUP($A70,'Raw Data'!$G:$G,'Raw Data'!Y:Y),"")</f>
        <v>3</v>
      </c>
      <c r="N70" s="118">
        <f>IFERROR(_xlfn.XLOOKUP($A70,'Raw Data'!$G:$G,'Raw Data'!Z:Z),"")</f>
        <v>6</v>
      </c>
      <c r="O70" s="145">
        <f>IFERROR(1-SUMIF('Plant BD'!$B:$B,$A70,'Plant BD'!$AM:$AM)/($AA70+SUMIF('Plant BD'!$B:$B,$A70,'Plant BD'!$AM:$AM)),"")</f>
        <v>1</v>
      </c>
      <c r="P70" s="145"/>
      <c r="Q70" s="146"/>
      <c r="R70" s="145">
        <f>IFERROR(1-SUMIF('Grid BD'!$B:$B,$A70,'Grid BD'!$AE:$AE)/($AA70+SUMIF('Grid BD'!$B:$B,$A70,'Grid BD'!$AE:$AE)),"")</f>
        <v>1</v>
      </c>
      <c r="T70" s="146">
        <f>IFERROR(1-SUMIF(Tracker_BD!$H:$H,$A70,Tracker_BD!AI:AI)/$F70,"")</f>
        <v>0.98593707125217234</v>
      </c>
      <c r="U70" s="147">
        <f t="shared" si="5"/>
        <v>0.77158789360313185</v>
      </c>
      <c r="V70" s="147"/>
      <c r="W70" s="148">
        <f t="shared" si="6"/>
        <v>0.10808660409557204</v>
      </c>
      <c r="X70" s="143">
        <f>IFERROR(_xlfn.XLOOKUP($A70,'Raw Data'!$G:$G,'Raw Data'!$AB:$AB),"")</f>
        <v>30612</v>
      </c>
      <c r="Y70" s="143">
        <f>IFERROR(_xlfn.XLOOKUP($A70,'Raw Data'!$G:$G,'Raw Data'!AC:AC),"")</f>
        <v>30584.000000002561</v>
      </c>
      <c r="Z70" s="143">
        <f>IFERROR(_xlfn.XLOOKUP($A70,'Raw Data'!$G:$G,'Raw Data'!AD:AD),"")</f>
        <v>181.4000000000533</v>
      </c>
      <c r="AA70" s="143">
        <f>IFERROR(_xlfn.XLOOKUP($A70,'Raw Data'!$G:$G,'Raw Data'!AE:AE)*(1+(_xlfn.XLOOKUP(Table13[[#This Row],[Month Year]],JMR!$A:$A,JMR!$J:$J))),"")</f>
        <v>30402.600000002509</v>
      </c>
      <c r="AB70" s="143">
        <f>IFERROR(_xlfn.XLOOKUP($A70,'Raw Data'!$G:$G,'Raw Data'!$H:$H),"")</f>
        <v>11.72</v>
      </c>
      <c r="AC70" s="149">
        <f>IFERROR(_xlfn.XLOOKUP($D70,'Modelling New'!$D:$D,'Modelling New'!$P:$P),"")</f>
        <v>5.617271453333335</v>
      </c>
      <c r="AD70" s="143">
        <f>IFERROR(_xlfn.XLOOKUP($D70,'Modelling New'!$D:$D,'Modelling New'!$T:$T)*1000,"")</f>
        <v>47413.538853540602</v>
      </c>
      <c r="AE70" s="148">
        <f>IFERROR(_xlfn.XLOOKUP($D70,'Modelling New'!$D:$D,'Modelling New'!$O:$O),"")</f>
        <v>0.72019375003918806</v>
      </c>
      <c r="AF70" s="148">
        <f>IFERROR(_xlfn.XLOOKUP($D70,'Modelling New'!$D:$D,'Modelling New'!$W:$W),"")</f>
        <v>0.16856349137350896</v>
      </c>
      <c r="AG70" s="148">
        <f>IFERROR(_xlfn.XLOOKUP($D70,'Modelling New'!$D:$D,'Modelling New'!AE:AE),"")</f>
        <v>0.995</v>
      </c>
      <c r="AH70" s="148">
        <f>IFERROR(_xlfn.XLOOKUP($D70,'Modelling New'!$D:$D,'Modelling New'!AF:AF),"")</f>
        <v>0.98550000000000004</v>
      </c>
      <c r="AN70" s="145"/>
      <c r="AO70" s="148"/>
      <c r="AP70" s="148"/>
      <c r="AQ70" s="148"/>
      <c r="AR70" s="143">
        <f>IFERROR(_xlfn.XLOOKUP($D70,'Modelling New'!$D:$D,'Modelling New'!$N:$N),"")</f>
        <v>11.72</v>
      </c>
      <c r="AT70" s="143">
        <f>IFERROR(_xlfn.XLOOKUP(Table13[[#This Row],[Date]],'Raw Data'!$G:$G,'Raw Data'!$AJ:$AJ),"")</f>
        <v>0</v>
      </c>
      <c r="AU70" s="143">
        <f>IFERROR(_xlfn.XLOOKUP(Table13[[#This Row],[Month Year]],'Modelling New'!$D:$D,'Modelling New'!$AO:$AO),"")</f>
        <v>10</v>
      </c>
      <c r="AV70" s="143"/>
    </row>
    <row r="71" spans="1:48">
      <c r="A71" s="142">
        <f t="shared" si="7"/>
        <v>45814</v>
      </c>
      <c r="B71" s="143">
        <f>YEAR(Table13[[#This Row],[Date]])+IF(MONTH(Table13[[#This Row],[Date]])&gt;=4,1,0)</f>
        <v>2026</v>
      </c>
      <c r="C71" s="116">
        <f>YEAR(Table13[[#This Row],[Date]])</f>
        <v>2025</v>
      </c>
      <c r="D71" s="144">
        <f>Table13[[#This Row],[Date]]-DAY(Table13[[#This Row],[Date]])+1</f>
        <v>45809</v>
      </c>
      <c r="E71" s="116">
        <f t="shared" si="4"/>
        <v>30</v>
      </c>
      <c r="F71" s="117">
        <f>IFERROR(_xlfn.XLOOKUP($A71,'Raw Data'!$G:$G,'Raw Data'!$AH:$AH),"")</f>
        <v>12.55</v>
      </c>
      <c r="G71" s="118">
        <f>IFERROR(_xlfn.XLOOKUP($A71,'Raw Data'!$G:$G,'Raw Data'!$S:$S)/1000,"")</f>
        <v>0</v>
      </c>
      <c r="H71" s="118"/>
      <c r="I71" s="118">
        <f>IFERROR(_xlfn.XLOOKUP($A71,'Raw Data'!$G:$G,'Raw Data'!$AF:$AF)/1000,"")</f>
        <v>6.9024999999999999</v>
      </c>
      <c r="J71" s="118"/>
      <c r="K71" s="118">
        <f>IFERROR(_xlfn.XLOOKUP($A71,'Raw Data'!$G:$G,'Raw Data'!W:W),"")</f>
        <v>23</v>
      </c>
      <c r="L71" s="118">
        <f>IFERROR(_xlfn.XLOOKUP($A71,'Raw Data'!$G:$G,'Raw Data'!X:X),"")</f>
        <v>39</v>
      </c>
      <c r="M71" s="118">
        <f>IFERROR(_xlfn.XLOOKUP($A71,'Raw Data'!$G:$G,'Raw Data'!Y:Y),"")</f>
        <v>2</v>
      </c>
      <c r="N71" s="118">
        <f>IFERROR(_xlfn.XLOOKUP($A71,'Raw Data'!$G:$G,'Raw Data'!Z:Z),"")</f>
        <v>5</v>
      </c>
      <c r="O71" s="145">
        <f>IFERROR(1-SUMIF('Plant BD'!$B:$B,$A71,'Plant BD'!$AM:$AM)/($AA71+SUMIF('Plant BD'!$B:$B,$A71,'Plant BD'!$AM:$AM)),"")</f>
        <v>1</v>
      </c>
      <c r="P71" s="145"/>
      <c r="Q71" s="146"/>
      <c r="R71" s="145">
        <f>IFERROR(1-SUMIF('Grid BD'!$B:$B,$A71,'Grid BD'!$AE:$AE)/($AA71+SUMIF('Grid BD'!$B:$B,$A71,'Grid BD'!$AE:$AE)),"")</f>
        <v>0.69553208768896524</v>
      </c>
      <c r="T71" s="146">
        <f>IFERROR(1-SUMIF(Tracker_BD!$H:$H,$A71,Tracker_BD!AI:AI)/$F71,"")</f>
        <v>0.9859947184442307</v>
      </c>
      <c r="U71" s="147">
        <f t="shared" si="5"/>
        <v>0.49108066647452514</v>
      </c>
      <c r="V71" s="147"/>
      <c r="W71" s="148">
        <f t="shared" si="6"/>
        <v>0.14123684584751703</v>
      </c>
      <c r="X71" s="143">
        <f>IFERROR(_xlfn.XLOOKUP($A71,'Raw Data'!$G:$G,'Raw Data'!$AB:$AB),"")</f>
        <v>39908</v>
      </c>
      <c r="Y71" s="143">
        <f>IFERROR(_xlfn.XLOOKUP($A71,'Raw Data'!$G:$G,'Raw Data'!AC:AC),"")</f>
        <v>39909.399999989546</v>
      </c>
      <c r="Z71" s="143">
        <f>IFERROR(_xlfn.XLOOKUP($A71,'Raw Data'!$G:$G,'Raw Data'!AD:AD),"")</f>
        <v>182.29999999994106</v>
      </c>
      <c r="AA71" s="143">
        <f>IFERROR(_xlfn.XLOOKUP($A71,'Raw Data'!$G:$G,'Raw Data'!AE:AE)*(1+(_xlfn.XLOOKUP(Table13[[#This Row],[Month Year]],JMR!$A:$A,JMR!$J:$J))),"")</f>
        <v>39727.099999989601</v>
      </c>
      <c r="AB71" s="143">
        <f>IFERROR(_xlfn.XLOOKUP($A71,'Raw Data'!$G:$G,'Raw Data'!$H:$H),"")</f>
        <v>11.72</v>
      </c>
      <c r="AC71" s="149">
        <f>IFERROR(_xlfn.XLOOKUP($D71,'Modelling New'!$D:$D,'Modelling New'!$P:$P),"")</f>
        <v>5.617271453333335</v>
      </c>
      <c r="AD71" s="143">
        <f>IFERROR(_xlfn.XLOOKUP($D71,'Modelling New'!$D:$D,'Modelling New'!$T:$T)*1000,"")</f>
        <v>47413.538853540602</v>
      </c>
      <c r="AE71" s="148">
        <f>IFERROR(_xlfn.XLOOKUP($D71,'Modelling New'!$D:$D,'Modelling New'!$O:$O),"")</f>
        <v>0.72019375003918806</v>
      </c>
      <c r="AF71" s="148">
        <f>IFERROR(_xlfn.XLOOKUP($D71,'Modelling New'!$D:$D,'Modelling New'!$W:$W),"")</f>
        <v>0.16856349137350896</v>
      </c>
      <c r="AG71" s="148">
        <f>IFERROR(_xlfn.XLOOKUP($D71,'Modelling New'!$D:$D,'Modelling New'!AE:AE),"")</f>
        <v>0.995</v>
      </c>
      <c r="AH71" s="148">
        <f>IFERROR(_xlfn.XLOOKUP($D71,'Modelling New'!$D:$D,'Modelling New'!AF:AF),"")</f>
        <v>0.98550000000000004</v>
      </c>
      <c r="AN71" s="145"/>
      <c r="AO71" s="148"/>
      <c r="AP71" s="148"/>
      <c r="AQ71" s="148"/>
      <c r="AR71" s="143">
        <f>IFERROR(_xlfn.XLOOKUP($D71,'Modelling New'!$D:$D,'Modelling New'!$N:$N),"")</f>
        <v>11.72</v>
      </c>
      <c r="AT71" s="143">
        <f>IFERROR(_xlfn.XLOOKUP(Table13[[#This Row],[Date]],'Raw Data'!$G:$G,'Raw Data'!$AJ:$AJ),"")</f>
        <v>0</v>
      </c>
      <c r="AU71" s="143">
        <f>IFERROR(_xlfn.XLOOKUP(Table13[[#This Row],[Month Year]],'Modelling New'!$D:$D,'Modelling New'!$AO:$AO),"")</f>
        <v>10</v>
      </c>
      <c r="AV71" s="143"/>
    </row>
    <row r="72" spans="1:48">
      <c r="A72" s="142">
        <f t="shared" si="7"/>
        <v>45815</v>
      </c>
      <c r="B72" s="143">
        <f>YEAR(Table13[[#This Row],[Date]])+IF(MONTH(Table13[[#This Row],[Date]])&gt;=4,1,0)</f>
        <v>2026</v>
      </c>
      <c r="C72" s="116">
        <f>YEAR(Table13[[#This Row],[Date]])</f>
        <v>2025</v>
      </c>
      <c r="D72" s="144">
        <f>Table13[[#This Row],[Date]]-DAY(Table13[[#This Row],[Date]])+1</f>
        <v>45809</v>
      </c>
      <c r="E72" s="116">
        <f t="shared" si="4"/>
        <v>30</v>
      </c>
      <c r="F72" s="117">
        <f>IFERROR(_xlfn.XLOOKUP($A72,'Raw Data'!$G:$G,'Raw Data'!$AH:$AH),"")</f>
        <v>12.716666666666667</v>
      </c>
      <c r="G72" s="118">
        <f>IFERROR(_xlfn.XLOOKUP($A72,'Raw Data'!$G:$G,'Raw Data'!$S:$S)/1000,"")</f>
        <v>0</v>
      </c>
      <c r="H72" s="118"/>
      <c r="I72" s="118">
        <f>IFERROR(_xlfn.XLOOKUP($A72,'Raw Data'!$G:$G,'Raw Data'!$AF:$AF)/1000,"")</f>
        <v>5.718</v>
      </c>
      <c r="J72" s="118"/>
      <c r="K72" s="118">
        <f>IFERROR(_xlfn.XLOOKUP($A72,'Raw Data'!$G:$G,'Raw Data'!W:W),"")</f>
        <v>22</v>
      </c>
      <c r="L72" s="118">
        <f>IFERROR(_xlfn.XLOOKUP($A72,'Raw Data'!$G:$G,'Raw Data'!X:X),"")</f>
        <v>40</v>
      </c>
      <c r="M72" s="118">
        <f>IFERROR(_xlfn.XLOOKUP($A72,'Raw Data'!$G:$G,'Raw Data'!Y:Y),"")</f>
        <v>3</v>
      </c>
      <c r="N72" s="118">
        <f>IFERROR(_xlfn.XLOOKUP($A72,'Raw Data'!$G:$G,'Raw Data'!Z:Z),"")</f>
        <v>6</v>
      </c>
      <c r="O72" s="145">
        <f>IFERROR(1-SUMIF('Plant BD'!$B:$B,$A72,'Plant BD'!$AM:$AM)/($AA72+SUMIF('Plant BD'!$B:$B,$A72,'Plant BD'!$AM:$AM)),"")</f>
        <v>1</v>
      </c>
      <c r="P72" s="145"/>
      <c r="Q72" s="146"/>
      <c r="R72" s="145">
        <f>IFERROR(1-SUMIF('Grid BD'!$B:$B,$A72,'Grid BD'!$AE:$AE)/($AA72+SUMIF('Grid BD'!$B:$B,$A72,'Grid BD'!$AE:$AE)),"")</f>
        <v>0.99135590804279006</v>
      </c>
      <c r="T72" s="146">
        <f>IFERROR(1-SUMIF(Tracker_BD!$H:$H,$A72,Tracker_BD!AI:AI)/$F72,"")</f>
        <v>0.98604645907714561</v>
      </c>
      <c r="U72" s="147">
        <f t="shared" si="5"/>
        <v>0.7072241780045061</v>
      </c>
      <c r="V72" s="147"/>
      <c r="W72" s="148">
        <f t="shared" si="6"/>
        <v>0.16849616040957355</v>
      </c>
      <c r="X72" s="143">
        <f>IFERROR(_xlfn.XLOOKUP($A72,'Raw Data'!$G:$G,'Raw Data'!$AB:$AB),"")</f>
        <v>47632</v>
      </c>
      <c r="Y72" s="143">
        <f>IFERROR(_xlfn.XLOOKUP($A72,'Raw Data'!$G:$G,'Raw Data'!AC:AC),"")</f>
        <v>47586.500000004889</v>
      </c>
      <c r="Z72" s="143">
        <f>IFERROR(_xlfn.XLOOKUP($A72,'Raw Data'!$G:$G,'Raw Data'!AD:AD),"")</f>
        <v>191.90000000003238</v>
      </c>
      <c r="AA72" s="143">
        <f>IFERROR(_xlfn.XLOOKUP($A72,'Raw Data'!$G:$G,'Raw Data'!AE:AE)*(1+(_xlfn.XLOOKUP(Table13[[#This Row],[Month Year]],JMR!$A:$A,JMR!$J:$J))),"")</f>
        <v>47394.600000004859</v>
      </c>
      <c r="AB72" s="143">
        <f>IFERROR(_xlfn.XLOOKUP($A72,'Raw Data'!$G:$G,'Raw Data'!$H:$H),"")</f>
        <v>11.72</v>
      </c>
      <c r="AC72" s="149">
        <f>IFERROR(_xlfn.XLOOKUP($D72,'Modelling New'!$D:$D,'Modelling New'!$P:$P),"")</f>
        <v>5.617271453333335</v>
      </c>
      <c r="AD72" s="143">
        <f>IFERROR(_xlfn.XLOOKUP($D72,'Modelling New'!$D:$D,'Modelling New'!$T:$T)*1000,"")</f>
        <v>47413.538853540602</v>
      </c>
      <c r="AE72" s="148">
        <f>IFERROR(_xlfn.XLOOKUP($D72,'Modelling New'!$D:$D,'Modelling New'!$O:$O),"")</f>
        <v>0.72019375003918806</v>
      </c>
      <c r="AF72" s="148">
        <f>IFERROR(_xlfn.XLOOKUP($D72,'Modelling New'!$D:$D,'Modelling New'!$W:$W),"")</f>
        <v>0.16856349137350896</v>
      </c>
      <c r="AG72" s="148">
        <f>IFERROR(_xlfn.XLOOKUP($D72,'Modelling New'!$D:$D,'Modelling New'!AE:AE),"")</f>
        <v>0.995</v>
      </c>
      <c r="AH72" s="148">
        <f>IFERROR(_xlfn.XLOOKUP($D72,'Modelling New'!$D:$D,'Modelling New'!AF:AF),"")</f>
        <v>0.98550000000000004</v>
      </c>
      <c r="AN72" s="145"/>
      <c r="AO72" s="148"/>
      <c r="AP72" s="148"/>
      <c r="AQ72" s="148"/>
      <c r="AR72" s="143">
        <f>IFERROR(_xlfn.XLOOKUP($D72,'Modelling New'!$D:$D,'Modelling New'!$N:$N),"")</f>
        <v>11.72</v>
      </c>
      <c r="AT72" s="143">
        <f>IFERROR(_xlfn.XLOOKUP(Table13[[#This Row],[Date]],'Raw Data'!$G:$G,'Raw Data'!$AJ:$AJ),"")</f>
        <v>0</v>
      </c>
      <c r="AU72" s="143">
        <f>IFERROR(_xlfn.XLOOKUP(Table13[[#This Row],[Month Year]],'Modelling New'!$D:$D,'Modelling New'!$AO:$AO),"")</f>
        <v>10</v>
      </c>
      <c r="AV72" s="143"/>
    </row>
    <row r="73" spans="1:48">
      <c r="A73" s="142">
        <f t="shared" si="7"/>
        <v>45816</v>
      </c>
      <c r="B73" s="143">
        <f>YEAR(Table13[[#This Row],[Date]])+IF(MONTH(Table13[[#This Row],[Date]])&gt;=4,1,0)</f>
        <v>2026</v>
      </c>
      <c r="C73" s="116">
        <f>YEAR(Table13[[#This Row],[Date]])</f>
        <v>2025</v>
      </c>
      <c r="D73" s="144">
        <f>Table13[[#This Row],[Date]]-DAY(Table13[[#This Row],[Date]])+1</f>
        <v>45809</v>
      </c>
      <c r="E73" s="116">
        <f t="shared" si="4"/>
        <v>30</v>
      </c>
      <c r="F73" s="117">
        <f>IFERROR(_xlfn.XLOOKUP($A73,'Raw Data'!$G:$G,'Raw Data'!$AH:$AH),"")</f>
        <v>12.65</v>
      </c>
      <c r="G73" s="118">
        <f>IFERROR(_xlfn.XLOOKUP($A73,'Raw Data'!$G:$G,'Raw Data'!$S:$S)/1000,"")</f>
        <v>0</v>
      </c>
      <c r="H73" s="118"/>
      <c r="I73" s="118">
        <f>IFERROR(_xlfn.XLOOKUP($A73,'Raw Data'!$G:$G,'Raw Data'!$AF:$AF)/1000,"")</f>
        <v>6.0380000000000003</v>
      </c>
      <c r="J73" s="118"/>
      <c r="K73" s="118">
        <f>IFERROR(_xlfn.XLOOKUP($A73,'Raw Data'!$G:$G,'Raw Data'!W:W),"")</f>
        <v>24</v>
      </c>
      <c r="L73" s="118">
        <f>IFERROR(_xlfn.XLOOKUP($A73,'Raw Data'!$G:$G,'Raw Data'!X:X),"")</f>
        <v>39</v>
      </c>
      <c r="M73" s="118">
        <f>IFERROR(_xlfn.XLOOKUP($A73,'Raw Data'!$G:$G,'Raw Data'!Y:Y),"")</f>
        <v>2</v>
      </c>
      <c r="N73" s="118">
        <f>IFERROR(_xlfn.XLOOKUP($A73,'Raw Data'!$G:$G,'Raw Data'!Z:Z),"")</f>
        <v>5</v>
      </c>
      <c r="O73" s="145">
        <f>IFERROR(1-SUMIF('Plant BD'!$B:$B,$A73,'Plant BD'!$AM:$AM)/($AA73+SUMIF('Plant BD'!$B:$B,$A73,'Plant BD'!$AM:$AM)),"")</f>
        <v>1</v>
      </c>
      <c r="P73" s="145"/>
      <c r="Q73" s="146"/>
      <c r="R73" s="145">
        <f>IFERROR(1-SUMIF('Grid BD'!$B:$B,$A73,'Grid BD'!$AE:$AE)/($AA73+SUMIF('Grid BD'!$B:$B,$A73,'Grid BD'!$AE:$AE)),"")</f>
        <v>1</v>
      </c>
      <c r="T73" s="146">
        <f>IFERROR(1-SUMIF(Tracker_BD!$H:$H,$A73,Tracker_BD!AI:AI)/$F73,"")</f>
        <v>0.98601078248754415</v>
      </c>
      <c r="U73" s="147">
        <f t="shared" si="5"/>
        <v>0.72043723087112632</v>
      </c>
      <c r="V73" s="147"/>
      <c r="W73" s="148">
        <f t="shared" si="6"/>
        <v>0.18124999999999419</v>
      </c>
      <c r="X73" s="143">
        <f>IFERROR(_xlfn.XLOOKUP($A73,'Raw Data'!$G:$G,'Raw Data'!$AB:$AB),"")</f>
        <v>51189</v>
      </c>
      <c r="Y73" s="143">
        <f>IFERROR(_xlfn.XLOOKUP($A73,'Raw Data'!$G:$G,'Raw Data'!AC:AC),"")</f>
        <v>51165.099999998347</v>
      </c>
      <c r="Z73" s="143">
        <f>IFERROR(_xlfn.XLOOKUP($A73,'Raw Data'!$G:$G,'Raw Data'!AD:AD),"")</f>
        <v>183.09999999996762</v>
      </c>
      <c r="AA73" s="143">
        <f>IFERROR(_xlfn.XLOOKUP($A73,'Raw Data'!$G:$G,'Raw Data'!AE:AE)*(1+(_xlfn.XLOOKUP(Table13[[#This Row],[Month Year]],JMR!$A:$A,JMR!$J:$J))),"")</f>
        <v>50981.999999998377</v>
      </c>
      <c r="AB73" s="143">
        <f>IFERROR(_xlfn.XLOOKUP($A73,'Raw Data'!$G:$G,'Raw Data'!$H:$H),"")</f>
        <v>11.72</v>
      </c>
      <c r="AC73" s="149">
        <f>IFERROR(_xlfn.XLOOKUP($D73,'Modelling New'!$D:$D,'Modelling New'!$P:$P),"")</f>
        <v>5.617271453333335</v>
      </c>
      <c r="AD73" s="143">
        <f>IFERROR(_xlfn.XLOOKUP($D73,'Modelling New'!$D:$D,'Modelling New'!$T:$T)*1000,"")</f>
        <v>47413.538853540602</v>
      </c>
      <c r="AE73" s="148">
        <f>IFERROR(_xlfn.XLOOKUP($D73,'Modelling New'!$D:$D,'Modelling New'!$O:$O),"")</f>
        <v>0.72019375003918806</v>
      </c>
      <c r="AF73" s="148">
        <f>IFERROR(_xlfn.XLOOKUP($D73,'Modelling New'!$D:$D,'Modelling New'!$W:$W),"")</f>
        <v>0.16856349137350896</v>
      </c>
      <c r="AG73" s="148">
        <f>IFERROR(_xlfn.XLOOKUP($D73,'Modelling New'!$D:$D,'Modelling New'!AE:AE),"")</f>
        <v>0.995</v>
      </c>
      <c r="AH73" s="148">
        <f>IFERROR(_xlfn.XLOOKUP($D73,'Modelling New'!$D:$D,'Modelling New'!AF:AF),"")</f>
        <v>0.98550000000000004</v>
      </c>
      <c r="AN73" s="145"/>
      <c r="AO73" s="148"/>
      <c r="AP73" s="148"/>
      <c r="AQ73" s="148"/>
      <c r="AR73" s="143">
        <f>IFERROR(_xlfn.XLOOKUP($D73,'Modelling New'!$D:$D,'Modelling New'!$N:$N),"")</f>
        <v>11.72</v>
      </c>
      <c r="AT73" s="143">
        <f>IFERROR(_xlfn.XLOOKUP(Table13[[#This Row],[Date]],'Raw Data'!$G:$G,'Raw Data'!$AJ:$AJ),"")</f>
        <v>0</v>
      </c>
      <c r="AU73" s="143">
        <f>IFERROR(_xlfn.XLOOKUP(Table13[[#This Row],[Month Year]],'Modelling New'!$D:$D,'Modelling New'!$AO:$AO),"")</f>
        <v>10</v>
      </c>
      <c r="AV73" s="143"/>
    </row>
    <row r="74" spans="1:48">
      <c r="A74" s="142">
        <f t="shared" si="7"/>
        <v>45817</v>
      </c>
      <c r="B74" s="143">
        <f>YEAR(Table13[[#This Row],[Date]])+IF(MONTH(Table13[[#This Row],[Date]])&gt;=4,1,0)</f>
        <v>2026</v>
      </c>
      <c r="C74" s="116">
        <f>YEAR(Table13[[#This Row],[Date]])</f>
        <v>2025</v>
      </c>
      <c r="D74" s="144">
        <f>Table13[[#This Row],[Date]]-DAY(Table13[[#This Row],[Date]])+1</f>
        <v>45809</v>
      </c>
      <c r="E74" s="116">
        <f t="shared" si="4"/>
        <v>30</v>
      </c>
      <c r="F74" s="117">
        <f>IFERROR(_xlfn.XLOOKUP($A74,'Raw Data'!$G:$G,'Raw Data'!$AH:$AH),"")</f>
        <v>12.016666666666666</v>
      </c>
      <c r="G74" s="118">
        <f>IFERROR(_xlfn.XLOOKUP($A74,'Raw Data'!$G:$G,'Raw Data'!$S:$S)/1000,"")</f>
        <v>0</v>
      </c>
      <c r="H74" s="118"/>
      <c r="I74" s="118">
        <f>IFERROR(_xlfn.XLOOKUP($A74,'Raw Data'!$G:$G,'Raw Data'!$AF:$AF)/1000,"")</f>
        <v>2.1930000000000001</v>
      </c>
      <c r="J74" s="118"/>
      <c r="K74" s="118">
        <f>IFERROR(_xlfn.XLOOKUP($A74,'Raw Data'!$G:$G,'Raw Data'!W:W),"")</f>
        <v>23</v>
      </c>
      <c r="L74" s="118">
        <f>IFERROR(_xlfn.XLOOKUP($A74,'Raw Data'!$G:$G,'Raw Data'!X:X),"")</f>
        <v>29</v>
      </c>
      <c r="M74" s="118">
        <f>IFERROR(_xlfn.XLOOKUP($A74,'Raw Data'!$G:$G,'Raw Data'!Y:Y),"")</f>
        <v>8</v>
      </c>
      <c r="N74" s="118">
        <f>IFERROR(_xlfn.XLOOKUP($A74,'Raw Data'!$G:$G,'Raw Data'!Z:Z),"")</f>
        <v>11</v>
      </c>
      <c r="O74" s="145">
        <f>IFERROR(1-SUMIF('Plant BD'!$B:$B,$A74,'Plant BD'!$AM:$AM)/($AA74+SUMIF('Plant BD'!$B:$B,$A74,'Plant BD'!$AM:$AM)),"")</f>
        <v>1</v>
      </c>
      <c r="P74" s="145"/>
      <c r="Q74" s="146"/>
      <c r="R74" s="145">
        <f>IFERROR(1-SUMIF('Grid BD'!$B:$B,$A74,'Grid BD'!$AE:$AE)/($AA74+SUMIF('Grid BD'!$B:$B,$A74,'Grid BD'!$AE:$AE)),"")</f>
        <v>1</v>
      </c>
      <c r="T74" s="146">
        <f>IFERROR(1-SUMIF(Tracker_BD!$H:$H,$A74,Tracker_BD!AI:AI)/$F74,"")</f>
        <v>0.9861702297256365</v>
      </c>
      <c r="U74" s="147">
        <f t="shared" si="5"/>
        <v>0.7814073323592885</v>
      </c>
      <c r="V74" s="147"/>
      <c r="W74" s="148">
        <f t="shared" si="6"/>
        <v>7.1401094994329964E-2</v>
      </c>
      <c r="X74" s="143">
        <f>IFERROR(_xlfn.XLOOKUP($A74,'Raw Data'!$G:$G,'Raw Data'!$AB:$AB),"")</f>
        <v>20411</v>
      </c>
      <c r="Y74" s="143">
        <f>IFERROR(_xlfn.XLOOKUP($A74,'Raw Data'!$G:$G,'Raw Data'!AC:AC),"")</f>
        <v>20307.400000005146</v>
      </c>
      <c r="Z74" s="143">
        <f>IFERROR(_xlfn.XLOOKUP($A74,'Raw Data'!$G:$G,'Raw Data'!AD:AD),"")</f>
        <v>223.700000000008</v>
      </c>
      <c r="AA74" s="143">
        <f>IFERROR(_xlfn.XLOOKUP($A74,'Raw Data'!$G:$G,'Raw Data'!AE:AE)*(1+(_xlfn.XLOOKUP(Table13[[#This Row],[Month Year]],JMR!$A:$A,JMR!$J:$J))),"")</f>
        <v>20083.700000005138</v>
      </c>
      <c r="AB74" s="143">
        <f>IFERROR(_xlfn.XLOOKUP($A74,'Raw Data'!$G:$G,'Raw Data'!$H:$H),"")</f>
        <v>11.72</v>
      </c>
      <c r="AC74" s="149">
        <f>IFERROR(_xlfn.XLOOKUP($D74,'Modelling New'!$D:$D,'Modelling New'!$P:$P),"")</f>
        <v>5.617271453333335</v>
      </c>
      <c r="AD74" s="143">
        <f>IFERROR(_xlfn.XLOOKUP($D74,'Modelling New'!$D:$D,'Modelling New'!$T:$T)*1000,"")</f>
        <v>47413.538853540602</v>
      </c>
      <c r="AE74" s="148">
        <f>IFERROR(_xlfn.XLOOKUP($D74,'Modelling New'!$D:$D,'Modelling New'!$O:$O),"")</f>
        <v>0.72019375003918806</v>
      </c>
      <c r="AF74" s="148">
        <f>IFERROR(_xlfn.XLOOKUP($D74,'Modelling New'!$D:$D,'Modelling New'!$W:$W),"")</f>
        <v>0.16856349137350896</v>
      </c>
      <c r="AG74" s="148">
        <f>IFERROR(_xlfn.XLOOKUP($D74,'Modelling New'!$D:$D,'Modelling New'!AE:AE),"")</f>
        <v>0.995</v>
      </c>
      <c r="AH74" s="148">
        <f>IFERROR(_xlfn.XLOOKUP($D74,'Modelling New'!$D:$D,'Modelling New'!AF:AF),"")</f>
        <v>0.98550000000000004</v>
      </c>
      <c r="AN74" s="145"/>
      <c r="AO74" s="148"/>
      <c r="AP74" s="148"/>
      <c r="AQ74" s="148"/>
      <c r="AR74" s="143">
        <f>IFERROR(_xlfn.XLOOKUP($D74,'Modelling New'!$D:$D,'Modelling New'!$N:$N),"")</f>
        <v>11.72</v>
      </c>
      <c r="AT74" s="143">
        <f>IFERROR(_xlfn.XLOOKUP(Table13[[#This Row],[Date]],'Raw Data'!$G:$G,'Raw Data'!$AJ:$AJ),"")</f>
        <v>0</v>
      </c>
      <c r="AU74" s="143">
        <f>IFERROR(_xlfn.XLOOKUP(Table13[[#This Row],[Month Year]],'Modelling New'!$D:$D,'Modelling New'!$AO:$AO),"")</f>
        <v>10</v>
      </c>
      <c r="AV74" s="143"/>
    </row>
    <row r="75" spans="1:48">
      <c r="A75" s="142">
        <f t="shared" si="7"/>
        <v>45818</v>
      </c>
      <c r="B75" s="143">
        <f>YEAR(Table13[[#This Row],[Date]])+IF(MONTH(Table13[[#This Row],[Date]])&gt;=4,1,0)</f>
        <v>2026</v>
      </c>
      <c r="C75" s="116">
        <f>YEAR(Table13[[#This Row],[Date]])</f>
        <v>2025</v>
      </c>
      <c r="D75" s="144">
        <f>Table13[[#This Row],[Date]]-DAY(Table13[[#This Row],[Date]])+1</f>
        <v>45809</v>
      </c>
      <c r="E75" s="116">
        <f t="shared" si="4"/>
        <v>30</v>
      </c>
      <c r="F75" s="117">
        <f>IFERROR(_xlfn.XLOOKUP($A75,'Raw Data'!$G:$G,'Raw Data'!$AH:$AH),"")</f>
        <v>12.633333333333333</v>
      </c>
      <c r="G75" s="118">
        <f>IFERROR(_xlfn.XLOOKUP($A75,'Raw Data'!$G:$G,'Raw Data'!$S:$S)/1000,"")</f>
        <v>0</v>
      </c>
      <c r="H75" s="118"/>
      <c r="I75" s="118">
        <f>IFERROR(_xlfn.XLOOKUP($A75,'Raw Data'!$G:$G,'Raw Data'!$AF:$AF)/1000,"")</f>
        <v>1.3805000000000001</v>
      </c>
      <c r="J75" s="118"/>
      <c r="K75" s="118">
        <f>IFERROR(_xlfn.XLOOKUP($A75,'Raw Data'!$G:$G,'Raw Data'!W:W),"")</f>
        <v>23</v>
      </c>
      <c r="L75" s="118">
        <f>IFERROR(_xlfn.XLOOKUP($A75,'Raw Data'!$G:$G,'Raw Data'!X:X),"")</f>
        <v>26</v>
      </c>
      <c r="M75" s="118">
        <f>IFERROR(_xlfn.XLOOKUP($A75,'Raw Data'!$G:$G,'Raw Data'!Y:Y),"")</f>
        <v>9</v>
      </c>
      <c r="N75" s="118">
        <f>IFERROR(_xlfn.XLOOKUP($A75,'Raw Data'!$G:$G,'Raw Data'!Z:Z),"")</f>
        <v>13</v>
      </c>
      <c r="O75" s="145">
        <f>IFERROR(1-SUMIF('Plant BD'!$B:$B,$A75,'Plant BD'!$AM:$AM)/($AA75+SUMIF('Plant BD'!$B:$B,$A75,'Plant BD'!$AM:$AM)),"")</f>
        <v>1</v>
      </c>
      <c r="P75" s="145"/>
      <c r="Q75" s="146"/>
      <c r="R75" s="145">
        <f>IFERROR(1-SUMIF('Grid BD'!$B:$B,$A75,'Grid BD'!$AE:$AE)/($AA75+SUMIF('Grid BD'!$B:$B,$A75,'Grid BD'!$AE:$AE)),"")</f>
        <v>1</v>
      </c>
      <c r="T75" s="146">
        <f>IFERROR(1-SUMIF(Tracker_BD!$H:$H,$A75,Tracker_BD!AI:AI)/$F75,"")</f>
        <v>0.98610605647044547</v>
      </c>
      <c r="U75" s="147">
        <f t="shared" si="5"/>
        <v>0.8291809491781631</v>
      </c>
      <c r="V75" s="147"/>
      <c r="W75" s="148">
        <f t="shared" si="6"/>
        <v>4.7695179180852247E-2</v>
      </c>
      <c r="X75" s="143">
        <f>IFERROR(_xlfn.XLOOKUP($A75,'Raw Data'!$G:$G,'Raw Data'!$AB:$AB),"")</f>
        <v>13737</v>
      </c>
      <c r="Y75" s="143">
        <f>IFERROR(_xlfn.XLOOKUP($A75,'Raw Data'!$G:$G,'Raw Data'!AC:AC),"")</f>
        <v>13610.699999990175</v>
      </c>
      <c r="Z75" s="143">
        <f>IFERROR(_xlfn.XLOOKUP($A75,'Raw Data'!$G:$G,'Raw Data'!AD:AD),"")</f>
        <v>195.00000000005002</v>
      </c>
      <c r="AA75" s="143">
        <f>IFERROR(_xlfn.XLOOKUP($A75,'Raw Data'!$G:$G,'Raw Data'!AE:AE)*(1+(_xlfn.XLOOKUP(Table13[[#This Row],[Month Year]],JMR!$A:$A,JMR!$J:$J))),"")</f>
        <v>13415.699999990124</v>
      </c>
      <c r="AB75" s="143">
        <f>IFERROR(_xlfn.XLOOKUP($A75,'Raw Data'!$G:$G,'Raw Data'!$H:$H),"")</f>
        <v>11.72</v>
      </c>
      <c r="AC75" s="149">
        <f>IFERROR(_xlfn.XLOOKUP($D75,'Modelling New'!$D:$D,'Modelling New'!$P:$P),"")</f>
        <v>5.617271453333335</v>
      </c>
      <c r="AD75" s="143">
        <f>IFERROR(_xlfn.XLOOKUP($D75,'Modelling New'!$D:$D,'Modelling New'!$T:$T)*1000,"")</f>
        <v>47413.538853540602</v>
      </c>
      <c r="AE75" s="148">
        <f>IFERROR(_xlfn.XLOOKUP($D75,'Modelling New'!$D:$D,'Modelling New'!$O:$O),"")</f>
        <v>0.72019375003918806</v>
      </c>
      <c r="AF75" s="148">
        <f>IFERROR(_xlfn.XLOOKUP($D75,'Modelling New'!$D:$D,'Modelling New'!$W:$W),"")</f>
        <v>0.16856349137350896</v>
      </c>
      <c r="AG75" s="148">
        <f>IFERROR(_xlfn.XLOOKUP($D75,'Modelling New'!$D:$D,'Modelling New'!AE:AE),"")</f>
        <v>0.995</v>
      </c>
      <c r="AH75" s="148">
        <f>IFERROR(_xlfn.XLOOKUP($D75,'Modelling New'!$D:$D,'Modelling New'!AF:AF),"")</f>
        <v>0.98550000000000004</v>
      </c>
      <c r="AN75" s="145"/>
      <c r="AO75" s="148"/>
      <c r="AP75" s="148"/>
      <c r="AQ75" s="148"/>
      <c r="AR75" s="143">
        <f>IFERROR(_xlfn.XLOOKUP($D75,'Modelling New'!$D:$D,'Modelling New'!$N:$N),"")</f>
        <v>11.72</v>
      </c>
      <c r="AT75" s="143">
        <f>IFERROR(_xlfn.XLOOKUP(Table13[[#This Row],[Date]],'Raw Data'!$G:$G,'Raw Data'!$AJ:$AJ),"")</f>
        <v>0</v>
      </c>
      <c r="AU75" s="143">
        <f>IFERROR(_xlfn.XLOOKUP(Table13[[#This Row],[Month Year]],'Modelling New'!$D:$D,'Modelling New'!$AO:$AO),"")</f>
        <v>10</v>
      </c>
      <c r="AV75" s="143"/>
    </row>
    <row r="76" spans="1:48">
      <c r="A76" s="142">
        <f t="shared" si="7"/>
        <v>45819</v>
      </c>
      <c r="B76" s="143">
        <f>YEAR(Table13[[#This Row],[Date]])+IF(MONTH(Table13[[#This Row],[Date]])&gt;=4,1,0)</f>
        <v>2026</v>
      </c>
      <c r="C76" s="116">
        <f>YEAR(Table13[[#This Row],[Date]])</f>
        <v>2025</v>
      </c>
      <c r="D76" s="144">
        <f>Table13[[#This Row],[Date]]-DAY(Table13[[#This Row],[Date]])+1</f>
        <v>45809</v>
      </c>
      <c r="E76" s="116">
        <f t="shared" si="4"/>
        <v>30</v>
      </c>
      <c r="F76" s="117">
        <f>IFERROR(_xlfn.XLOOKUP($A76,'Raw Data'!$G:$G,'Raw Data'!$AH:$AH),"")</f>
        <v>11.65</v>
      </c>
      <c r="G76" s="118">
        <f>IFERROR(_xlfn.XLOOKUP($A76,'Raw Data'!$G:$G,'Raw Data'!$S:$S)/1000,"")</f>
        <v>0</v>
      </c>
      <c r="H76" s="118"/>
      <c r="I76" s="118">
        <f>IFERROR(_xlfn.XLOOKUP($A76,'Raw Data'!$G:$G,'Raw Data'!$AF:$AF)/1000,"")</f>
        <v>3.0550000000000002</v>
      </c>
      <c r="J76" s="118"/>
      <c r="K76" s="118">
        <f>IFERROR(_xlfn.XLOOKUP($A76,'Raw Data'!$G:$G,'Raw Data'!W:W),"")</f>
        <v>23</v>
      </c>
      <c r="L76" s="118">
        <f>IFERROR(_xlfn.XLOOKUP($A76,'Raw Data'!$G:$G,'Raw Data'!X:X),"")</f>
        <v>31</v>
      </c>
      <c r="M76" s="118">
        <f>IFERROR(_xlfn.XLOOKUP($A76,'Raw Data'!$G:$G,'Raw Data'!Y:Y),"")</f>
        <v>8</v>
      </c>
      <c r="N76" s="118">
        <f>IFERROR(_xlfn.XLOOKUP($A76,'Raw Data'!$G:$G,'Raw Data'!Z:Z),"")</f>
        <v>11</v>
      </c>
      <c r="O76" s="145">
        <f>IFERROR(1-SUMIF('Plant BD'!$B:$B,$A76,'Plant BD'!$AM:$AM)/($AA76+SUMIF('Plant BD'!$B:$B,$A76,'Plant BD'!$AM:$AM)),"")</f>
        <v>1</v>
      </c>
      <c r="P76" s="145"/>
      <c r="Q76" s="146"/>
      <c r="R76" s="145">
        <f>IFERROR(1-SUMIF('Grid BD'!$B:$B,$A76,'Grid BD'!$AE:$AE)/($AA76+SUMIF('Grid BD'!$B:$B,$A76,'Grid BD'!$AE:$AE)),"")</f>
        <v>0.98497593503204772</v>
      </c>
      <c r="T76" s="146">
        <f>IFERROR(1-SUMIF(Tracker_BD!$H:$H,$A76,Tracker_BD!AI:AI)/$F76,"")</f>
        <v>0.98612549948201866</v>
      </c>
      <c r="U76" s="147">
        <f t="shared" si="5"/>
        <v>0.77213263100299601</v>
      </c>
      <c r="V76" s="147"/>
      <c r="W76" s="148">
        <f t="shared" si="6"/>
        <v>9.8286049488089694E-2</v>
      </c>
      <c r="X76" s="143">
        <f>IFERROR(_xlfn.XLOOKUP($A76,'Raw Data'!$G:$G,'Raw Data'!$AB:$AB),"")</f>
        <v>27888</v>
      </c>
      <c r="Y76" s="143">
        <f>IFERROR(_xlfn.XLOOKUP($A76,'Raw Data'!$G:$G,'Raw Data'!AC:AC),"")</f>
        <v>27841.200000009849</v>
      </c>
      <c r="Z76" s="143">
        <f>IFERROR(_xlfn.XLOOKUP($A76,'Raw Data'!$G:$G,'Raw Data'!AD:AD),"")</f>
        <v>195.29999999997472</v>
      </c>
      <c r="AA76" s="143">
        <f>IFERROR(_xlfn.XLOOKUP($A76,'Raw Data'!$G:$G,'Raw Data'!AE:AE)*(1+(_xlfn.XLOOKUP(Table13[[#This Row],[Month Year]],JMR!$A:$A,JMR!$J:$J))),"")</f>
        <v>27645.900000009875</v>
      </c>
      <c r="AB76" s="143">
        <f>IFERROR(_xlfn.XLOOKUP($A76,'Raw Data'!$G:$G,'Raw Data'!$H:$H),"")</f>
        <v>11.72</v>
      </c>
      <c r="AC76" s="149">
        <f>IFERROR(_xlfn.XLOOKUP($D76,'Modelling New'!$D:$D,'Modelling New'!$P:$P),"")</f>
        <v>5.617271453333335</v>
      </c>
      <c r="AD76" s="143">
        <f>IFERROR(_xlfn.XLOOKUP($D76,'Modelling New'!$D:$D,'Modelling New'!$T:$T)*1000,"")</f>
        <v>47413.538853540602</v>
      </c>
      <c r="AE76" s="148">
        <f>IFERROR(_xlfn.XLOOKUP($D76,'Modelling New'!$D:$D,'Modelling New'!$O:$O),"")</f>
        <v>0.72019375003918806</v>
      </c>
      <c r="AF76" s="148">
        <f>IFERROR(_xlfn.XLOOKUP($D76,'Modelling New'!$D:$D,'Modelling New'!$W:$W),"")</f>
        <v>0.16856349137350896</v>
      </c>
      <c r="AG76" s="148">
        <f>IFERROR(_xlfn.XLOOKUP($D76,'Modelling New'!$D:$D,'Modelling New'!AE:AE),"")</f>
        <v>0.995</v>
      </c>
      <c r="AH76" s="148">
        <f>IFERROR(_xlfn.XLOOKUP($D76,'Modelling New'!$D:$D,'Modelling New'!AF:AF),"")</f>
        <v>0.98550000000000004</v>
      </c>
      <c r="AN76" s="145"/>
      <c r="AO76" s="148"/>
      <c r="AP76" s="148"/>
      <c r="AQ76" s="148"/>
      <c r="AR76" s="143">
        <f>IFERROR(_xlfn.XLOOKUP($D76,'Modelling New'!$D:$D,'Modelling New'!$N:$N),"")</f>
        <v>11.72</v>
      </c>
      <c r="AT76" s="143">
        <f>IFERROR(_xlfn.XLOOKUP(Table13[[#This Row],[Date]],'Raw Data'!$G:$G,'Raw Data'!$AJ:$AJ),"")</f>
        <v>0</v>
      </c>
      <c r="AU76" s="143">
        <f>IFERROR(_xlfn.XLOOKUP(Table13[[#This Row],[Month Year]],'Modelling New'!$D:$D,'Modelling New'!$AO:$AO),"")</f>
        <v>10</v>
      </c>
      <c r="AV76" s="143"/>
    </row>
    <row r="77" spans="1:48">
      <c r="A77" s="142">
        <f t="shared" si="7"/>
        <v>45820</v>
      </c>
      <c r="B77" s="143">
        <f>YEAR(Table13[[#This Row],[Date]])+IF(MONTH(Table13[[#This Row],[Date]])&gt;=4,1,0)</f>
        <v>2026</v>
      </c>
      <c r="C77" s="116">
        <f>YEAR(Table13[[#This Row],[Date]])</f>
        <v>2025</v>
      </c>
      <c r="D77" s="144">
        <f>Table13[[#This Row],[Date]]-DAY(Table13[[#This Row],[Date]])+1</f>
        <v>45809</v>
      </c>
      <c r="E77" s="116">
        <f t="shared" si="4"/>
        <v>30</v>
      </c>
      <c r="F77" s="117">
        <f>IFERROR(_xlfn.XLOOKUP($A77,'Raw Data'!$G:$G,'Raw Data'!$AH:$AH),"")</f>
        <v>11.833333333333334</v>
      </c>
      <c r="G77" s="118">
        <f>IFERROR(_xlfn.XLOOKUP($A77,'Raw Data'!$G:$G,'Raw Data'!$S:$S)/1000,"")</f>
        <v>0</v>
      </c>
      <c r="H77" s="118"/>
      <c r="I77" s="118">
        <f>IFERROR(_xlfn.XLOOKUP($A77,'Raw Data'!$G:$G,'Raw Data'!$AF:$AF)/1000,"")</f>
        <v>4.7089999999999996</v>
      </c>
      <c r="J77" s="118"/>
      <c r="K77" s="118">
        <f>IFERROR(_xlfn.XLOOKUP($A77,'Raw Data'!$G:$G,'Raw Data'!W:W),"")</f>
        <v>23</v>
      </c>
      <c r="L77" s="118">
        <f>IFERROR(_xlfn.XLOOKUP($A77,'Raw Data'!$G:$G,'Raw Data'!X:X),"")</f>
        <v>42</v>
      </c>
      <c r="M77" s="118">
        <f>IFERROR(_xlfn.XLOOKUP($A77,'Raw Data'!$G:$G,'Raw Data'!Y:Y),"")</f>
        <v>6</v>
      </c>
      <c r="N77" s="118">
        <f>IFERROR(_xlfn.XLOOKUP($A77,'Raw Data'!$G:$G,'Raw Data'!Z:Z),"")</f>
        <v>11</v>
      </c>
      <c r="O77" s="145">
        <f>IFERROR(1-SUMIF('Plant BD'!$B:$B,$A77,'Plant BD'!$AM:$AM)/($AA77+SUMIF('Plant BD'!$B:$B,$A77,'Plant BD'!$AM:$AM)),"")</f>
        <v>1</v>
      </c>
      <c r="P77" s="145"/>
      <c r="Q77" s="146"/>
      <c r="R77" s="145">
        <f>IFERROR(1-SUMIF('Grid BD'!$B:$B,$A77,'Grid BD'!$AE:$AE)/($AA77+SUMIF('Grid BD'!$B:$B,$A77,'Grid BD'!$AE:$AE)),"")</f>
        <v>0.99001263806268436</v>
      </c>
      <c r="T77" s="146">
        <f>IFERROR(1-SUMIF(Tracker_BD!$H:$H,$A77,Tracker_BD!AI:AI)/$F77,"")</f>
        <v>0.98603691112190384</v>
      </c>
      <c r="U77" s="147">
        <f t="shared" si="5"/>
        <v>0.75740159175263377</v>
      </c>
      <c r="V77" s="147"/>
      <c r="W77" s="148">
        <f t="shared" si="6"/>
        <v>0.14860850398179798</v>
      </c>
      <c r="X77" s="143">
        <f>IFERROR(_xlfn.XLOOKUP($A77,'Raw Data'!$G:$G,'Raw Data'!$AB:$AB),"")</f>
        <v>42025</v>
      </c>
      <c r="Y77" s="143">
        <f>IFERROR(_xlfn.XLOOKUP($A77,'Raw Data'!$G:$G,'Raw Data'!AC:AC),"")</f>
        <v>41990.200000000186</v>
      </c>
      <c r="Z77" s="143">
        <f>IFERROR(_xlfn.XLOOKUP($A77,'Raw Data'!$G:$G,'Raw Data'!AD:AD),"")</f>
        <v>189.60000000004129</v>
      </c>
      <c r="AA77" s="143">
        <f>IFERROR(_xlfn.XLOOKUP($A77,'Raw Data'!$G:$G,'Raw Data'!AE:AE)*(1+(_xlfn.XLOOKUP(Table13[[#This Row],[Month Year]],JMR!$A:$A,JMR!$J:$J))),"")</f>
        <v>41800.600000000144</v>
      </c>
      <c r="AB77" s="143">
        <f>IFERROR(_xlfn.XLOOKUP($A77,'Raw Data'!$G:$G,'Raw Data'!$H:$H),"")</f>
        <v>11.72</v>
      </c>
      <c r="AC77" s="149">
        <f>IFERROR(_xlfn.XLOOKUP($D77,'Modelling New'!$D:$D,'Modelling New'!$P:$P),"")</f>
        <v>5.617271453333335</v>
      </c>
      <c r="AD77" s="143">
        <f>IFERROR(_xlfn.XLOOKUP($D77,'Modelling New'!$D:$D,'Modelling New'!$T:$T)*1000,"")</f>
        <v>47413.538853540602</v>
      </c>
      <c r="AE77" s="148">
        <f>IFERROR(_xlfn.XLOOKUP($D77,'Modelling New'!$D:$D,'Modelling New'!$O:$O),"")</f>
        <v>0.72019375003918806</v>
      </c>
      <c r="AF77" s="148">
        <f>IFERROR(_xlfn.XLOOKUP($D77,'Modelling New'!$D:$D,'Modelling New'!$W:$W),"")</f>
        <v>0.16856349137350896</v>
      </c>
      <c r="AG77" s="148">
        <f>IFERROR(_xlfn.XLOOKUP($D77,'Modelling New'!$D:$D,'Modelling New'!AE:AE),"")</f>
        <v>0.995</v>
      </c>
      <c r="AH77" s="148">
        <f>IFERROR(_xlfn.XLOOKUP($D77,'Modelling New'!$D:$D,'Modelling New'!AF:AF),"")</f>
        <v>0.98550000000000004</v>
      </c>
      <c r="AN77" s="145"/>
      <c r="AO77" s="148"/>
      <c r="AP77" s="148"/>
      <c r="AQ77" s="148"/>
      <c r="AR77" s="143">
        <f>IFERROR(_xlfn.XLOOKUP($D77,'Modelling New'!$D:$D,'Modelling New'!$N:$N),"")</f>
        <v>11.72</v>
      </c>
      <c r="AT77" s="143">
        <f>IFERROR(_xlfn.XLOOKUP(Table13[[#This Row],[Date]],'Raw Data'!$G:$G,'Raw Data'!$AJ:$AJ),"")</f>
        <v>0</v>
      </c>
      <c r="AU77" s="143">
        <f>IFERROR(_xlfn.XLOOKUP(Table13[[#This Row],[Month Year]],'Modelling New'!$D:$D,'Modelling New'!$AO:$AO),"")</f>
        <v>10</v>
      </c>
      <c r="AV77" s="143"/>
    </row>
    <row r="78" spans="1:48">
      <c r="A78" s="142">
        <f t="shared" si="7"/>
        <v>45821</v>
      </c>
      <c r="B78" s="143">
        <f>YEAR(Table13[[#This Row],[Date]])+IF(MONTH(Table13[[#This Row],[Date]])&gt;=4,1,0)</f>
        <v>2026</v>
      </c>
      <c r="C78" s="116">
        <f>YEAR(Table13[[#This Row],[Date]])</f>
        <v>2025</v>
      </c>
      <c r="D78" s="144">
        <f>Table13[[#This Row],[Date]]-DAY(Table13[[#This Row],[Date]])+1</f>
        <v>45809</v>
      </c>
      <c r="E78" s="116">
        <f t="shared" si="4"/>
        <v>30</v>
      </c>
      <c r="F78" s="117">
        <f>IFERROR(_xlfn.XLOOKUP($A78,'Raw Data'!$G:$G,'Raw Data'!$AH:$AH),"")</f>
        <v>12.65</v>
      </c>
      <c r="G78" s="118">
        <f>IFERROR(_xlfn.XLOOKUP($A78,'Raw Data'!$G:$G,'Raw Data'!$S:$S)/1000,"")</f>
        <v>0</v>
      </c>
      <c r="H78" s="118"/>
      <c r="I78" s="118">
        <f>IFERROR(_xlfn.XLOOKUP($A78,'Raw Data'!$G:$G,'Raw Data'!$AF:$AF)/1000,"")</f>
        <v>3.98</v>
      </c>
      <c r="J78" s="118"/>
      <c r="K78" s="118">
        <f>IFERROR(_xlfn.XLOOKUP($A78,'Raw Data'!$G:$G,'Raw Data'!W:W),"")</f>
        <v>23</v>
      </c>
      <c r="L78" s="118">
        <f>IFERROR(_xlfn.XLOOKUP($A78,'Raw Data'!$G:$G,'Raw Data'!X:X),"")</f>
        <v>41</v>
      </c>
      <c r="M78" s="118">
        <f>IFERROR(_xlfn.XLOOKUP($A78,'Raw Data'!$G:$G,'Raw Data'!Y:Y),"")</f>
        <v>3</v>
      </c>
      <c r="N78" s="118">
        <f>IFERROR(_xlfn.XLOOKUP($A78,'Raw Data'!$G:$G,'Raw Data'!Z:Z),"")</f>
        <v>5</v>
      </c>
      <c r="O78" s="145">
        <f>IFERROR(1-SUMIF('Plant BD'!$B:$B,$A78,'Plant BD'!$AM:$AM)/($AA78+SUMIF('Plant BD'!$B:$B,$A78,'Plant BD'!$AM:$AM)),"")</f>
        <v>1</v>
      </c>
      <c r="P78" s="145"/>
      <c r="Q78" s="146"/>
      <c r="R78" s="145">
        <f>IFERROR(1-SUMIF('Grid BD'!$B:$B,$A78,'Grid BD'!$AE:$AE)/($AA78+SUMIF('Grid BD'!$B:$B,$A78,'Grid BD'!$AE:$AE)),"")</f>
        <v>0.74345250184279288</v>
      </c>
      <c r="T78" s="146">
        <f>IFERROR(1-SUMIF(Tracker_BD!$H:$H,$A78,Tracker_BD!AI:AI)/$F78,"")</f>
        <v>0.98604864234549394</v>
      </c>
      <c r="U78" s="147">
        <f t="shared" si="5"/>
        <v>0.57478304491730303</v>
      </c>
      <c r="V78" s="147"/>
      <c r="W78" s="148">
        <f t="shared" si="6"/>
        <v>9.5318188282119409E-2</v>
      </c>
      <c r="X78" s="143">
        <f>IFERROR(_xlfn.XLOOKUP($A78,'Raw Data'!$G:$G,'Raw Data'!$AB:$AB),"")</f>
        <v>27064</v>
      </c>
      <c r="Y78" s="143">
        <f>IFERROR(_xlfn.XLOOKUP($A78,'Raw Data'!$G:$G,'Raw Data'!AC:AC),"")</f>
        <v>27067.899999994552</v>
      </c>
      <c r="Z78" s="143">
        <f>IFERROR(_xlfn.XLOOKUP($A78,'Raw Data'!$G:$G,'Raw Data'!AD:AD),"")</f>
        <v>256.79999999999836</v>
      </c>
      <c r="AA78" s="143">
        <f>IFERROR(_xlfn.XLOOKUP($A78,'Raw Data'!$G:$G,'Raw Data'!AE:AE)*(1+(_xlfn.XLOOKUP(Table13[[#This Row],[Month Year]],JMR!$A:$A,JMR!$J:$J))),"")</f>
        <v>26811.099999994552</v>
      </c>
      <c r="AB78" s="143">
        <f>IFERROR(_xlfn.XLOOKUP($A78,'Raw Data'!$G:$G,'Raw Data'!$H:$H),"")</f>
        <v>11.72</v>
      </c>
      <c r="AC78" s="149">
        <f>IFERROR(_xlfn.XLOOKUP($D78,'Modelling New'!$D:$D,'Modelling New'!$P:$P),"")</f>
        <v>5.617271453333335</v>
      </c>
      <c r="AD78" s="143">
        <f>IFERROR(_xlfn.XLOOKUP($D78,'Modelling New'!$D:$D,'Modelling New'!$T:$T)*1000,"")</f>
        <v>47413.538853540602</v>
      </c>
      <c r="AE78" s="148">
        <f>IFERROR(_xlfn.XLOOKUP($D78,'Modelling New'!$D:$D,'Modelling New'!$O:$O),"")</f>
        <v>0.72019375003918806</v>
      </c>
      <c r="AF78" s="148">
        <f>IFERROR(_xlfn.XLOOKUP($D78,'Modelling New'!$D:$D,'Modelling New'!$W:$W),"")</f>
        <v>0.16856349137350896</v>
      </c>
      <c r="AG78" s="148">
        <f>IFERROR(_xlfn.XLOOKUP($D78,'Modelling New'!$D:$D,'Modelling New'!AE:AE),"")</f>
        <v>0.995</v>
      </c>
      <c r="AH78" s="148">
        <f>IFERROR(_xlfn.XLOOKUP($D78,'Modelling New'!$D:$D,'Modelling New'!AF:AF),"")</f>
        <v>0.98550000000000004</v>
      </c>
      <c r="AN78" s="145"/>
      <c r="AO78" s="148"/>
      <c r="AP78" s="148"/>
      <c r="AQ78" s="148"/>
      <c r="AR78" s="143">
        <f>IFERROR(_xlfn.XLOOKUP($D78,'Modelling New'!$D:$D,'Modelling New'!$N:$N),"")</f>
        <v>11.72</v>
      </c>
      <c r="AT78" s="143">
        <f>IFERROR(_xlfn.XLOOKUP(Table13[[#This Row],[Date]],'Raw Data'!$G:$G,'Raw Data'!$AJ:$AJ),"")</f>
        <v>0</v>
      </c>
      <c r="AU78" s="143">
        <f>IFERROR(_xlfn.XLOOKUP(Table13[[#This Row],[Month Year]],'Modelling New'!$D:$D,'Modelling New'!$AO:$AO),"")</f>
        <v>10</v>
      </c>
      <c r="AV78" s="143"/>
    </row>
    <row r="79" spans="1:48">
      <c r="A79" s="142">
        <f t="shared" si="7"/>
        <v>45822</v>
      </c>
      <c r="B79" s="143">
        <f>YEAR(Table13[[#This Row],[Date]])+IF(MONTH(Table13[[#This Row],[Date]])&gt;=4,1,0)</f>
        <v>2026</v>
      </c>
      <c r="C79" s="116">
        <f>YEAR(Table13[[#This Row],[Date]])</f>
        <v>2025</v>
      </c>
      <c r="D79" s="144">
        <f>Table13[[#This Row],[Date]]-DAY(Table13[[#This Row],[Date]])+1</f>
        <v>45809</v>
      </c>
      <c r="E79" s="116">
        <f t="shared" si="4"/>
        <v>30</v>
      </c>
      <c r="F79" s="117">
        <f>IFERROR(_xlfn.XLOOKUP($A79,'Raw Data'!$G:$G,'Raw Data'!$AH:$AH),"")</f>
        <v>12.733333333333334</v>
      </c>
      <c r="G79" s="118">
        <f>IFERROR(_xlfn.XLOOKUP($A79,'Raw Data'!$G:$G,'Raw Data'!$S:$S)/1000,"")</f>
        <v>0</v>
      </c>
      <c r="H79" s="118"/>
      <c r="I79" s="118">
        <f>IFERROR(_xlfn.XLOOKUP($A79,'Raw Data'!$G:$G,'Raw Data'!$AF:$AF)/1000,"")</f>
        <v>4.6150000000000002</v>
      </c>
      <c r="J79" s="118"/>
      <c r="K79" s="118">
        <f>IFERROR(_xlfn.XLOOKUP($A79,'Raw Data'!$G:$G,'Raw Data'!W:W),"")</f>
        <v>23</v>
      </c>
      <c r="L79" s="118">
        <f>IFERROR(_xlfn.XLOOKUP($A79,'Raw Data'!$G:$G,'Raw Data'!X:X),"")</f>
        <v>41</v>
      </c>
      <c r="M79" s="118">
        <f>IFERROR(_xlfn.XLOOKUP($A79,'Raw Data'!$G:$G,'Raw Data'!Y:Y),"")</f>
        <v>3</v>
      </c>
      <c r="N79" s="118">
        <f>IFERROR(_xlfn.XLOOKUP($A79,'Raw Data'!$G:$G,'Raw Data'!Z:Z),"")</f>
        <v>6</v>
      </c>
      <c r="O79" s="145">
        <f>IFERROR(1-SUMIF('Plant BD'!$B:$B,$A79,'Plant BD'!$AM:$AM)/($AA79+SUMIF('Plant BD'!$B:$B,$A79,'Plant BD'!$AM:$AM)),"")</f>
        <v>1</v>
      </c>
      <c r="P79" s="145"/>
      <c r="Q79" s="146"/>
      <c r="R79" s="145">
        <f>IFERROR(1-SUMIF('Grid BD'!$B:$B,$A79,'Grid BD'!$AE:$AE)/($AA79+SUMIF('Grid BD'!$B:$B,$A79,'Grid BD'!$AE:$AE)),"")</f>
        <v>1</v>
      </c>
      <c r="T79" s="146">
        <f>IFERROR(1-SUMIF(Tracker_BD!$H:$H,$A79,Tracker_BD!AI:AI)/$F79,"")</f>
        <v>0.98623397725221162</v>
      </c>
      <c r="U79" s="147">
        <f t="shared" si="5"/>
        <v>0.72795158982252994</v>
      </c>
      <c r="V79" s="147"/>
      <c r="W79" s="148">
        <f t="shared" si="6"/>
        <v>0.13997902445962399</v>
      </c>
      <c r="X79" s="143">
        <f>IFERROR(_xlfn.XLOOKUP($A79,'Raw Data'!$G:$G,'Raw Data'!$AB:$AB),"")</f>
        <v>39588</v>
      </c>
      <c r="Y79" s="143">
        <f>IFERROR(_xlfn.XLOOKUP($A79,'Raw Data'!$G:$G,'Raw Data'!AC:AC),"")</f>
        <v>39511.40000000305</v>
      </c>
      <c r="Z79" s="143">
        <f>IFERROR(_xlfn.XLOOKUP($A79,'Raw Data'!$G:$G,'Raw Data'!AD:AD),"")</f>
        <v>138.10000000000855</v>
      </c>
      <c r="AA79" s="143">
        <f>IFERROR(_xlfn.XLOOKUP($A79,'Raw Data'!$G:$G,'Raw Data'!AE:AE)*(1+(_xlfn.XLOOKUP(Table13[[#This Row],[Month Year]],JMR!$A:$A,JMR!$J:$J))),"")</f>
        <v>39373.300000003044</v>
      </c>
      <c r="AB79" s="143">
        <f>IFERROR(_xlfn.XLOOKUP($A79,'Raw Data'!$G:$G,'Raw Data'!$H:$H),"")</f>
        <v>11.72</v>
      </c>
      <c r="AC79" s="149">
        <f>IFERROR(_xlfn.XLOOKUP($D79,'Modelling New'!$D:$D,'Modelling New'!$P:$P),"")</f>
        <v>5.617271453333335</v>
      </c>
      <c r="AD79" s="143">
        <f>IFERROR(_xlfn.XLOOKUP($D79,'Modelling New'!$D:$D,'Modelling New'!$T:$T)*1000,"")</f>
        <v>47413.538853540602</v>
      </c>
      <c r="AE79" s="148">
        <f>IFERROR(_xlfn.XLOOKUP($D79,'Modelling New'!$D:$D,'Modelling New'!$O:$O),"")</f>
        <v>0.72019375003918806</v>
      </c>
      <c r="AF79" s="148">
        <f>IFERROR(_xlfn.XLOOKUP($D79,'Modelling New'!$D:$D,'Modelling New'!$W:$W),"")</f>
        <v>0.16856349137350896</v>
      </c>
      <c r="AG79" s="148">
        <f>IFERROR(_xlfn.XLOOKUP($D79,'Modelling New'!$D:$D,'Modelling New'!AE:AE),"")</f>
        <v>0.995</v>
      </c>
      <c r="AH79" s="148">
        <f>IFERROR(_xlfn.XLOOKUP($D79,'Modelling New'!$D:$D,'Modelling New'!AF:AF),"")</f>
        <v>0.98550000000000004</v>
      </c>
      <c r="AN79" s="145"/>
      <c r="AO79" s="148"/>
      <c r="AP79" s="148"/>
      <c r="AQ79" s="148"/>
      <c r="AR79" s="143">
        <f>IFERROR(_xlfn.XLOOKUP($D79,'Modelling New'!$D:$D,'Modelling New'!$N:$N),"")</f>
        <v>11.72</v>
      </c>
      <c r="AT79" s="143">
        <f>IFERROR(_xlfn.XLOOKUP(Table13[[#This Row],[Date]],'Raw Data'!$G:$G,'Raw Data'!$AJ:$AJ),"")</f>
        <v>0</v>
      </c>
      <c r="AU79" s="143">
        <f>IFERROR(_xlfn.XLOOKUP(Table13[[#This Row],[Month Year]],'Modelling New'!$D:$D,'Modelling New'!$AO:$AO),"")</f>
        <v>10</v>
      </c>
      <c r="AV79" s="143"/>
    </row>
    <row r="80" spans="1:48">
      <c r="A80" s="142">
        <f t="shared" si="7"/>
        <v>45823</v>
      </c>
      <c r="B80" s="143">
        <f>YEAR(Table13[[#This Row],[Date]])+IF(MONTH(Table13[[#This Row],[Date]])&gt;=4,1,0)</f>
        <v>2026</v>
      </c>
      <c r="C80" s="116">
        <f>YEAR(Table13[[#This Row],[Date]])</f>
        <v>2025</v>
      </c>
      <c r="D80" s="144">
        <f>Table13[[#This Row],[Date]]-DAY(Table13[[#This Row],[Date]])+1</f>
        <v>45809</v>
      </c>
      <c r="E80" s="116">
        <f t="shared" si="4"/>
        <v>30</v>
      </c>
      <c r="F80" s="117">
        <f>IFERROR(_xlfn.XLOOKUP($A80,'Raw Data'!$G:$G,'Raw Data'!$AH:$AH),"")</f>
        <v>12.299999999999999</v>
      </c>
      <c r="G80" s="118">
        <f>IFERROR(_xlfn.XLOOKUP($A80,'Raw Data'!$G:$G,'Raw Data'!$S:$S)/1000,"")</f>
        <v>0</v>
      </c>
      <c r="H80" s="118"/>
      <c r="I80" s="118">
        <f>IFERROR(_xlfn.XLOOKUP($A80,'Raw Data'!$G:$G,'Raw Data'!$AF:$AF)/1000,"")</f>
        <v>3.3050000000000002</v>
      </c>
      <c r="J80" s="118"/>
      <c r="K80" s="118">
        <f>IFERROR(_xlfn.XLOOKUP($A80,'Raw Data'!$G:$G,'Raw Data'!W:W),"")</f>
        <v>23</v>
      </c>
      <c r="L80" s="118">
        <f>IFERROR(_xlfn.XLOOKUP($A80,'Raw Data'!$G:$G,'Raw Data'!X:X),"")</f>
        <v>32</v>
      </c>
      <c r="M80" s="118">
        <f>IFERROR(_xlfn.XLOOKUP($A80,'Raw Data'!$G:$G,'Raw Data'!Y:Y),"")</f>
        <v>3</v>
      </c>
      <c r="N80" s="118">
        <f>IFERROR(_xlfn.XLOOKUP($A80,'Raw Data'!$G:$G,'Raw Data'!Z:Z),"")</f>
        <v>7</v>
      </c>
      <c r="O80" s="145">
        <f>IFERROR(1-SUMIF('Plant BD'!$B:$B,$A80,'Plant BD'!$AM:$AM)/($AA80+SUMIF('Plant BD'!$B:$B,$A80,'Plant BD'!$AM:$AM)),"")</f>
        <v>1</v>
      </c>
      <c r="P80" s="145"/>
      <c r="Q80" s="146"/>
      <c r="R80" s="145">
        <f>IFERROR(1-SUMIF('Grid BD'!$B:$B,$A80,'Grid BD'!$AE:$AE)/($AA80+SUMIF('Grid BD'!$B:$B,$A80,'Grid BD'!$AE:$AE)),"")</f>
        <v>0.62663290218533196</v>
      </c>
      <c r="T80" s="146">
        <f>IFERROR(1-SUMIF(Tracker_BD!$H:$H,$A80,Tracker_BD!AI:AI)/$F80,"")</f>
        <v>0.98569058966451739</v>
      </c>
      <c r="U80" s="147">
        <f t="shared" si="5"/>
        <v>0.45788003490428325</v>
      </c>
      <c r="V80" s="147"/>
      <c r="W80" s="148">
        <f t="shared" si="6"/>
        <v>6.3053896473277332E-2</v>
      </c>
      <c r="X80" s="143">
        <f>IFERROR(_xlfn.XLOOKUP($A80,'Raw Data'!$G:$G,'Raw Data'!$AB:$AB),"")</f>
        <v>17934</v>
      </c>
      <c r="Y80" s="143">
        <f>IFERROR(_xlfn.XLOOKUP($A80,'Raw Data'!$G:$G,'Raw Data'!AC:AC),"")</f>
        <v>17929.300000003423</v>
      </c>
      <c r="Z80" s="143">
        <f>IFERROR(_xlfn.XLOOKUP($A80,'Raw Data'!$G:$G,'Raw Data'!AD:AD),"")</f>
        <v>193.49999999997181</v>
      </c>
      <c r="AA80" s="143">
        <f>IFERROR(_xlfn.XLOOKUP($A80,'Raw Data'!$G:$G,'Raw Data'!AE:AE)*(1+(_xlfn.XLOOKUP(Table13[[#This Row],[Month Year]],JMR!$A:$A,JMR!$J:$J))),"")</f>
        <v>17735.800000003452</v>
      </c>
      <c r="AB80" s="143">
        <f>IFERROR(_xlfn.XLOOKUP($A80,'Raw Data'!$G:$G,'Raw Data'!$H:$H),"")</f>
        <v>11.72</v>
      </c>
      <c r="AC80" s="149">
        <f>IFERROR(_xlfn.XLOOKUP($D80,'Modelling New'!$D:$D,'Modelling New'!$P:$P),"")</f>
        <v>5.617271453333335</v>
      </c>
      <c r="AD80" s="143">
        <f>IFERROR(_xlfn.XLOOKUP($D80,'Modelling New'!$D:$D,'Modelling New'!$T:$T)*1000,"")</f>
        <v>47413.538853540602</v>
      </c>
      <c r="AE80" s="148">
        <f>IFERROR(_xlfn.XLOOKUP($D80,'Modelling New'!$D:$D,'Modelling New'!$O:$O),"")</f>
        <v>0.72019375003918806</v>
      </c>
      <c r="AF80" s="148">
        <f>IFERROR(_xlfn.XLOOKUP($D80,'Modelling New'!$D:$D,'Modelling New'!$W:$W),"")</f>
        <v>0.16856349137350896</v>
      </c>
      <c r="AG80" s="148">
        <f>IFERROR(_xlfn.XLOOKUP($D80,'Modelling New'!$D:$D,'Modelling New'!AE:AE),"")</f>
        <v>0.995</v>
      </c>
      <c r="AH80" s="148">
        <f>IFERROR(_xlfn.XLOOKUP($D80,'Modelling New'!$D:$D,'Modelling New'!AF:AF),"")</f>
        <v>0.98550000000000004</v>
      </c>
      <c r="AN80" s="145"/>
      <c r="AO80" s="148"/>
      <c r="AP80" s="148"/>
      <c r="AQ80" s="148"/>
      <c r="AR80" s="143">
        <f>IFERROR(_xlfn.XLOOKUP($D80,'Modelling New'!$D:$D,'Modelling New'!$N:$N),"")</f>
        <v>11.72</v>
      </c>
      <c r="AT80" s="143">
        <f>IFERROR(_xlfn.XLOOKUP(Table13[[#This Row],[Date]],'Raw Data'!$G:$G,'Raw Data'!$AJ:$AJ),"")</f>
        <v>0</v>
      </c>
      <c r="AU80" s="143">
        <f>IFERROR(_xlfn.XLOOKUP(Table13[[#This Row],[Month Year]],'Modelling New'!$D:$D,'Modelling New'!$AO:$AO),"")</f>
        <v>10</v>
      </c>
      <c r="AV80" s="143"/>
    </row>
    <row r="81" spans="1:48">
      <c r="A81" s="142">
        <f t="shared" si="7"/>
        <v>45824</v>
      </c>
      <c r="B81" s="143">
        <f>YEAR(Table13[[#This Row],[Date]])+IF(MONTH(Table13[[#This Row],[Date]])&gt;=4,1,0)</f>
        <v>2026</v>
      </c>
      <c r="C81" s="116">
        <f>YEAR(Table13[[#This Row],[Date]])</f>
        <v>2025</v>
      </c>
      <c r="D81" s="144">
        <f>Table13[[#This Row],[Date]]-DAY(Table13[[#This Row],[Date]])+1</f>
        <v>45809</v>
      </c>
      <c r="E81" s="116">
        <f t="shared" si="4"/>
        <v>30</v>
      </c>
      <c r="F81" s="117">
        <f>IFERROR(_xlfn.XLOOKUP($A81,'Raw Data'!$G:$G,'Raw Data'!$AH:$AH),"")</f>
        <v>11.916666666666668</v>
      </c>
      <c r="G81" s="118">
        <f>IFERROR(_xlfn.XLOOKUP($A81,'Raw Data'!$G:$G,'Raw Data'!$S:$S)/1000,"")</f>
        <v>0</v>
      </c>
      <c r="H81" s="118"/>
      <c r="I81" s="118">
        <f>IFERROR(_xlfn.XLOOKUP($A81,'Raw Data'!$G:$G,'Raw Data'!$AF:$AF)/1000,"")</f>
        <v>3.6589999999999998</v>
      </c>
      <c r="J81" s="118"/>
      <c r="K81" s="118">
        <f>IFERROR(_xlfn.XLOOKUP($A81,'Raw Data'!$G:$G,'Raw Data'!W:W),"")</f>
        <v>23</v>
      </c>
      <c r="L81" s="118">
        <f>IFERROR(_xlfn.XLOOKUP($A81,'Raw Data'!$G:$G,'Raw Data'!X:X),"")</f>
        <v>33</v>
      </c>
      <c r="M81" s="118">
        <f>IFERROR(_xlfn.XLOOKUP($A81,'Raw Data'!$G:$G,'Raw Data'!Y:Y),"")</f>
        <v>4</v>
      </c>
      <c r="N81" s="118">
        <f>IFERROR(_xlfn.XLOOKUP($A81,'Raw Data'!$G:$G,'Raw Data'!Z:Z),"")</f>
        <v>9</v>
      </c>
      <c r="O81" s="145">
        <f>IFERROR(1-SUMIF('Plant BD'!$B:$B,$A81,'Plant BD'!$AM:$AM)/($AA81+SUMIF('Plant BD'!$B:$B,$A81,'Plant BD'!$AM:$AM)),"")</f>
        <v>1</v>
      </c>
      <c r="P81" s="145"/>
      <c r="Q81" s="146"/>
      <c r="R81" s="145">
        <f>IFERROR(1-SUMIF('Grid BD'!$B:$B,$A81,'Grid BD'!$AE:$AE)/($AA81+SUMIF('Grid BD'!$B:$B,$A81,'Grid BD'!$AE:$AE)),"")</f>
        <v>0.83925777108390198</v>
      </c>
      <c r="T81" s="146">
        <f>IFERROR(1-SUMIF(Tracker_BD!$H:$H,$A81,Tracker_BD!AI:AI)/$F81,"")</f>
        <v>0.98545133027891652</v>
      </c>
      <c r="U81" s="147">
        <f t="shared" si="5"/>
        <v>0.63458002941880276</v>
      </c>
      <c r="V81" s="147"/>
      <c r="W81" s="148">
        <f t="shared" si="6"/>
        <v>9.6747013651808281E-2</v>
      </c>
      <c r="X81" s="143">
        <f>IFERROR(_xlfn.XLOOKUP($A81,'Raw Data'!$G:$G,'Raw Data'!$AB:$AB),"")</f>
        <v>27484</v>
      </c>
      <c r="Y81" s="143">
        <f>IFERROR(_xlfn.XLOOKUP($A81,'Raw Data'!$G:$G,'Raw Data'!AC:AC),"")</f>
        <v>27394.199999980628</v>
      </c>
      <c r="Z81" s="143">
        <f>IFERROR(_xlfn.XLOOKUP($A81,'Raw Data'!$G:$G,'Raw Data'!AD:AD),"")</f>
        <v>181.19999999998981</v>
      </c>
      <c r="AA81" s="143">
        <f>IFERROR(_xlfn.XLOOKUP($A81,'Raw Data'!$G:$G,'Raw Data'!AE:AE)*(1+(_xlfn.XLOOKUP(Table13[[#This Row],[Month Year]],JMR!$A:$A,JMR!$J:$J))),"")</f>
        <v>27212.999999980639</v>
      </c>
      <c r="AB81" s="143">
        <f>IFERROR(_xlfn.XLOOKUP($A81,'Raw Data'!$G:$G,'Raw Data'!$H:$H),"")</f>
        <v>11.72</v>
      </c>
      <c r="AC81" s="149">
        <f>IFERROR(_xlfn.XLOOKUP($D81,'Modelling New'!$D:$D,'Modelling New'!$P:$P),"")</f>
        <v>5.617271453333335</v>
      </c>
      <c r="AD81" s="143">
        <f>IFERROR(_xlfn.XLOOKUP($D81,'Modelling New'!$D:$D,'Modelling New'!$T:$T)*1000,"")</f>
        <v>47413.538853540602</v>
      </c>
      <c r="AE81" s="148">
        <f>IFERROR(_xlfn.XLOOKUP($D81,'Modelling New'!$D:$D,'Modelling New'!$O:$O),"")</f>
        <v>0.72019375003918806</v>
      </c>
      <c r="AF81" s="148">
        <f>IFERROR(_xlfn.XLOOKUP($D81,'Modelling New'!$D:$D,'Modelling New'!$W:$W),"")</f>
        <v>0.16856349137350896</v>
      </c>
      <c r="AG81" s="148">
        <f>IFERROR(_xlfn.XLOOKUP($D81,'Modelling New'!$D:$D,'Modelling New'!AE:AE),"")</f>
        <v>0.995</v>
      </c>
      <c r="AH81" s="148">
        <f>IFERROR(_xlfn.XLOOKUP($D81,'Modelling New'!$D:$D,'Modelling New'!AF:AF),"")</f>
        <v>0.98550000000000004</v>
      </c>
      <c r="AN81" s="145"/>
      <c r="AO81" s="148"/>
      <c r="AP81" s="148"/>
      <c r="AQ81" s="148"/>
      <c r="AR81" s="143">
        <f>IFERROR(_xlfn.XLOOKUP($D81,'Modelling New'!$D:$D,'Modelling New'!$N:$N),"")</f>
        <v>11.72</v>
      </c>
      <c r="AT81" s="143">
        <f>IFERROR(_xlfn.XLOOKUP(Table13[[#This Row],[Date]],'Raw Data'!$G:$G,'Raw Data'!$AJ:$AJ),"")</f>
        <v>0</v>
      </c>
      <c r="AU81" s="143">
        <f>IFERROR(_xlfn.XLOOKUP(Table13[[#This Row],[Month Year]],'Modelling New'!$D:$D,'Modelling New'!$AO:$AO),"")</f>
        <v>10</v>
      </c>
      <c r="AV81" s="143"/>
    </row>
    <row r="82" spans="1:48">
      <c r="A82" s="142">
        <f t="shared" si="7"/>
        <v>45825</v>
      </c>
      <c r="B82" s="143">
        <f>YEAR(Table13[[#This Row],[Date]])+IF(MONTH(Table13[[#This Row],[Date]])&gt;=4,1,0)</f>
        <v>2026</v>
      </c>
      <c r="C82" s="116">
        <f>YEAR(Table13[[#This Row],[Date]])</f>
        <v>2025</v>
      </c>
      <c r="D82" s="144">
        <f>Table13[[#This Row],[Date]]-DAY(Table13[[#This Row],[Date]])+1</f>
        <v>45809</v>
      </c>
      <c r="E82" s="116">
        <f t="shared" si="4"/>
        <v>30</v>
      </c>
      <c r="F82" s="117">
        <f>IFERROR(_xlfn.XLOOKUP($A82,'Raw Data'!$G:$G,'Raw Data'!$AH:$AH),"")</f>
        <v>12.833333333333332</v>
      </c>
      <c r="G82" s="118">
        <f>IFERROR(_xlfn.XLOOKUP($A82,'Raw Data'!$G:$G,'Raw Data'!$S:$S)/1000,"")</f>
        <v>0</v>
      </c>
      <c r="H82" s="118"/>
      <c r="I82" s="118">
        <f>IFERROR(_xlfn.XLOOKUP($A82,'Raw Data'!$G:$G,'Raw Data'!$AF:$AF)/1000,"")</f>
        <v>7.0994999999999999</v>
      </c>
      <c r="J82" s="118"/>
      <c r="K82" s="118">
        <f>IFERROR(_xlfn.XLOOKUP($A82,'Raw Data'!$G:$G,'Raw Data'!W:W),"")</f>
        <v>23</v>
      </c>
      <c r="L82" s="118">
        <f>IFERROR(_xlfn.XLOOKUP($A82,'Raw Data'!$G:$G,'Raw Data'!X:X),"")</f>
        <v>40</v>
      </c>
      <c r="M82" s="118">
        <f>IFERROR(_xlfn.XLOOKUP($A82,'Raw Data'!$G:$G,'Raw Data'!Y:Y),"")</f>
        <v>5</v>
      </c>
      <c r="N82" s="118">
        <f>IFERROR(_xlfn.XLOOKUP($A82,'Raw Data'!$G:$G,'Raw Data'!Z:Z),"")</f>
        <v>10</v>
      </c>
      <c r="O82" s="145">
        <f>IFERROR(1-SUMIF('Plant BD'!$B:$B,$A82,'Plant BD'!$AM:$AM)/($AA82+SUMIF('Plant BD'!$B:$B,$A82,'Plant BD'!$AM:$AM)),"")</f>
        <v>1</v>
      </c>
      <c r="P82" s="145"/>
      <c r="Q82" s="146"/>
      <c r="R82" s="145">
        <f>IFERROR(1-SUMIF('Grid BD'!$B:$B,$A82,'Grid BD'!$AE:$AE)/($AA82+SUMIF('Grid BD'!$B:$B,$A82,'Grid BD'!$AE:$AE)),"")</f>
        <v>1</v>
      </c>
      <c r="T82" s="146">
        <f>IFERROR(1-SUMIF(Tracker_BD!$H:$H,$A82,Tracker_BD!AI:AI)/$F82,"")</f>
        <v>0.98624794745484401</v>
      </c>
      <c r="U82" s="147">
        <f t="shared" si="5"/>
        <v>0.72415569331800622</v>
      </c>
      <c r="V82" s="147"/>
      <c r="W82" s="148">
        <f t="shared" si="6"/>
        <v>0.21421430602963265</v>
      </c>
      <c r="X82" s="143">
        <f>IFERROR(_xlfn.XLOOKUP($A82,'Raw Data'!$G:$G,'Raw Data'!$AB:$AB),"")</f>
        <v>60514</v>
      </c>
      <c r="Y82" s="143">
        <f>IFERROR(_xlfn.XLOOKUP($A82,'Raw Data'!$G:$G,'Raw Data'!AC:AC),"")</f>
        <v>60456.200000015087</v>
      </c>
      <c r="Z82" s="143">
        <f>IFERROR(_xlfn.XLOOKUP($A82,'Raw Data'!$G:$G,'Raw Data'!AD:AD),"")</f>
        <v>201.99999999999818</v>
      </c>
      <c r="AA82" s="143">
        <f>IFERROR(_xlfn.XLOOKUP($A82,'Raw Data'!$G:$G,'Raw Data'!AE:AE)*(1+(_xlfn.XLOOKUP(Table13[[#This Row],[Month Year]],JMR!$A:$A,JMR!$J:$J))),"")</f>
        <v>60254.200000015087</v>
      </c>
      <c r="AB82" s="143">
        <f>IFERROR(_xlfn.XLOOKUP($A82,'Raw Data'!$G:$G,'Raw Data'!$H:$H),"")</f>
        <v>11.72</v>
      </c>
      <c r="AC82" s="149">
        <f>IFERROR(_xlfn.XLOOKUP($D82,'Modelling New'!$D:$D,'Modelling New'!$P:$P),"")</f>
        <v>5.617271453333335</v>
      </c>
      <c r="AD82" s="143">
        <f>IFERROR(_xlfn.XLOOKUP($D82,'Modelling New'!$D:$D,'Modelling New'!$T:$T)*1000,"")</f>
        <v>47413.538853540602</v>
      </c>
      <c r="AE82" s="148">
        <f>IFERROR(_xlfn.XLOOKUP($D82,'Modelling New'!$D:$D,'Modelling New'!$O:$O),"")</f>
        <v>0.72019375003918806</v>
      </c>
      <c r="AF82" s="148">
        <f>IFERROR(_xlfn.XLOOKUP($D82,'Modelling New'!$D:$D,'Modelling New'!$W:$W),"")</f>
        <v>0.16856349137350896</v>
      </c>
      <c r="AG82" s="148">
        <f>IFERROR(_xlfn.XLOOKUP($D82,'Modelling New'!$D:$D,'Modelling New'!AE:AE),"")</f>
        <v>0.995</v>
      </c>
      <c r="AH82" s="148">
        <f>IFERROR(_xlfn.XLOOKUP($D82,'Modelling New'!$D:$D,'Modelling New'!AF:AF),"")</f>
        <v>0.98550000000000004</v>
      </c>
      <c r="AN82" s="145"/>
      <c r="AO82" s="148"/>
      <c r="AP82" s="148"/>
      <c r="AQ82" s="148"/>
      <c r="AR82" s="143">
        <f>IFERROR(_xlfn.XLOOKUP($D82,'Modelling New'!$D:$D,'Modelling New'!$N:$N),"")</f>
        <v>11.72</v>
      </c>
      <c r="AT82" s="143">
        <f>IFERROR(_xlfn.XLOOKUP(Table13[[#This Row],[Date]],'Raw Data'!$G:$G,'Raw Data'!$AJ:$AJ),"")</f>
        <v>0</v>
      </c>
      <c r="AU82" s="143">
        <f>IFERROR(_xlfn.XLOOKUP(Table13[[#This Row],[Month Year]],'Modelling New'!$D:$D,'Modelling New'!$AO:$AO),"")</f>
        <v>10</v>
      </c>
      <c r="AV82" s="143"/>
    </row>
    <row r="83" spans="1:48">
      <c r="A83" s="142">
        <f t="shared" si="7"/>
        <v>45826</v>
      </c>
      <c r="B83" s="143">
        <f>YEAR(Table13[[#This Row],[Date]])+IF(MONTH(Table13[[#This Row],[Date]])&gt;=4,1,0)</f>
        <v>2026</v>
      </c>
      <c r="C83" s="116">
        <f>YEAR(Table13[[#This Row],[Date]])</f>
        <v>2025</v>
      </c>
      <c r="D83" s="144">
        <f>Table13[[#This Row],[Date]]-DAY(Table13[[#This Row],[Date]])+1</f>
        <v>45809</v>
      </c>
      <c r="E83" s="116">
        <f t="shared" si="4"/>
        <v>30</v>
      </c>
      <c r="F83" s="117">
        <f>IFERROR(_xlfn.XLOOKUP($A83,'Raw Data'!$G:$G,'Raw Data'!$AH:$AH),"")</f>
        <v>12.716666666666667</v>
      </c>
      <c r="G83" s="118">
        <f>IFERROR(_xlfn.XLOOKUP($A83,'Raw Data'!$G:$G,'Raw Data'!$S:$S)/1000,"")</f>
        <v>0</v>
      </c>
      <c r="H83" s="118"/>
      <c r="I83" s="118">
        <f>IFERROR(_xlfn.XLOOKUP($A83,'Raw Data'!$G:$G,'Raw Data'!$AF:$AF)/1000,"")</f>
        <v>5.8425000000000002</v>
      </c>
      <c r="J83" s="118"/>
      <c r="K83" s="118">
        <f>IFERROR(_xlfn.XLOOKUP($A83,'Raw Data'!$G:$G,'Raw Data'!W:W),"")</f>
        <v>23</v>
      </c>
      <c r="L83" s="118">
        <f>IFERROR(_xlfn.XLOOKUP($A83,'Raw Data'!$G:$G,'Raw Data'!X:X),"")</f>
        <v>38</v>
      </c>
      <c r="M83" s="118">
        <f>IFERROR(_xlfn.XLOOKUP($A83,'Raw Data'!$G:$G,'Raw Data'!Y:Y),"")</f>
        <v>5</v>
      </c>
      <c r="N83" s="118">
        <f>IFERROR(_xlfn.XLOOKUP($A83,'Raw Data'!$G:$G,'Raw Data'!Z:Z),"")</f>
        <v>10</v>
      </c>
      <c r="O83" s="145">
        <f>IFERROR(1-SUMIF('Plant BD'!$B:$B,$A83,'Plant BD'!$AM:$AM)/($AA83+SUMIF('Plant BD'!$B:$B,$A83,'Plant BD'!$AM:$AM)),"")</f>
        <v>0.215749773195411</v>
      </c>
      <c r="P83" s="145"/>
      <c r="Q83" s="146"/>
      <c r="R83" s="145">
        <f>IFERROR(1-SUMIF('Grid BD'!$B:$B,$A83,'Grid BD'!$AE:$AE)/($AA83+SUMIF('Grid BD'!$B:$B,$A83,'Grid BD'!$AE:$AE)),"")</f>
        <v>0.81073101611722709</v>
      </c>
      <c r="T83" s="146">
        <f>IFERROR(1-SUMIF(Tracker_BD!$H:$H,$A83,Tracker_BD!AI:AI)/$F83,"")</f>
        <v>0.98600879769813654</v>
      </c>
      <c r="U83" s="147">
        <f t="shared" si="5"/>
        <v>0.59247949224574348</v>
      </c>
      <c r="V83" s="147"/>
      <c r="W83" s="148">
        <f t="shared" si="6"/>
        <v>0.14423172639357315</v>
      </c>
      <c r="X83" s="143">
        <f>IFERROR(_xlfn.XLOOKUP($A83,'Raw Data'!$G:$G,'Raw Data'!$AB:$AB),"")</f>
        <v>40682</v>
      </c>
      <c r="Y83" s="143">
        <f>IFERROR(_xlfn.XLOOKUP($A83,'Raw Data'!$G:$G,'Raw Data'!AC:AC),"")</f>
        <v>40765.599999984261</v>
      </c>
      <c r="Z83" s="143">
        <f>IFERROR(_xlfn.XLOOKUP($A83,'Raw Data'!$G:$G,'Raw Data'!AD:AD),"")</f>
        <v>196.10000000000127</v>
      </c>
      <c r="AA83" s="143">
        <f>IFERROR(_xlfn.XLOOKUP($A83,'Raw Data'!$G:$G,'Raw Data'!AE:AE)*(1+(_xlfn.XLOOKUP(Table13[[#This Row],[Month Year]],JMR!$A:$A,JMR!$J:$J))),"")</f>
        <v>40569.499999984262</v>
      </c>
      <c r="AB83" s="143">
        <f>IFERROR(_xlfn.XLOOKUP($A83,'Raw Data'!$G:$G,'Raw Data'!$H:$H),"")</f>
        <v>11.72</v>
      </c>
      <c r="AC83" s="149">
        <f>IFERROR(_xlfn.XLOOKUP($D83,'Modelling New'!$D:$D,'Modelling New'!$P:$P),"")</f>
        <v>5.617271453333335</v>
      </c>
      <c r="AD83" s="143">
        <f>IFERROR(_xlfn.XLOOKUP($D83,'Modelling New'!$D:$D,'Modelling New'!$T:$T)*1000,"")</f>
        <v>47413.538853540602</v>
      </c>
      <c r="AE83" s="148">
        <f>IFERROR(_xlfn.XLOOKUP($D83,'Modelling New'!$D:$D,'Modelling New'!$O:$O),"")</f>
        <v>0.72019375003918806</v>
      </c>
      <c r="AF83" s="148">
        <f>IFERROR(_xlfn.XLOOKUP($D83,'Modelling New'!$D:$D,'Modelling New'!$W:$W),"")</f>
        <v>0.16856349137350896</v>
      </c>
      <c r="AG83" s="148">
        <f>IFERROR(_xlfn.XLOOKUP($D83,'Modelling New'!$D:$D,'Modelling New'!AE:AE),"")</f>
        <v>0.995</v>
      </c>
      <c r="AH83" s="148">
        <f>IFERROR(_xlfn.XLOOKUP($D83,'Modelling New'!$D:$D,'Modelling New'!AF:AF),"")</f>
        <v>0.98550000000000004</v>
      </c>
      <c r="AN83" s="145"/>
      <c r="AO83" s="148"/>
      <c r="AP83" s="148"/>
      <c r="AQ83" s="148"/>
      <c r="AR83" s="143">
        <f>IFERROR(_xlfn.XLOOKUP($D83,'Modelling New'!$D:$D,'Modelling New'!$N:$N),"")</f>
        <v>11.72</v>
      </c>
      <c r="AT83" s="143">
        <f>IFERROR(_xlfn.XLOOKUP(Table13[[#This Row],[Date]],'Raw Data'!$G:$G,'Raw Data'!$AJ:$AJ),"")</f>
        <v>0</v>
      </c>
      <c r="AU83" s="143">
        <f>IFERROR(_xlfn.XLOOKUP(Table13[[#This Row],[Month Year]],'Modelling New'!$D:$D,'Modelling New'!$AO:$AO),"")</f>
        <v>10</v>
      </c>
      <c r="AV83" s="143"/>
    </row>
    <row r="84" spans="1:48">
      <c r="A84" s="142">
        <f t="shared" si="7"/>
        <v>45827</v>
      </c>
      <c r="B84" s="143">
        <f>YEAR(Table13[[#This Row],[Date]])+IF(MONTH(Table13[[#This Row],[Date]])&gt;=4,1,0)</f>
        <v>2026</v>
      </c>
      <c r="C84" s="116">
        <f>YEAR(Table13[[#This Row],[Date]])</f>
        <v>2025</v>
      </c>
      <c r="D84" s="144">
        <f>Table13[[#This Row],[Date]]-DAY(Table13[[#This Row],[Date]])+1</f>
        <v>45809</v>
      </c>
      <c r="E84" s="116">
        <f t="shared" si="4"/>
        <v>30</v>
      </c>
      <c r="F84" s="117">
        <f>IFERROR(_xlfn.XLOOKUP($A84,'Raw Data'!$G:$G,'Raw Data'!$AH:$AH),"")</f>
        <v>12.533333333333335</v>
      </c>
      <c r="G84" s="118">
        <f>IFERROR(_xlfn.XLOOKUP($A84,'Raw Data'!$G:$G,'Raw Data'!$S:$S)/1000,"")</f>
        <v>0</v>
      </c>
      <c r="H84" s="118"/>
      <c r="I84" s="118">
        <f>IFERROR(_xlfn.XLOOKUP($A84,'Raw Data'!$G:$G,'Raw Data'!$AF:$AF)/1000,"")</f>
        <v>5.3230000000000004</v>
      </c>
      <c r="J84" s="118"/>
      <c r="K84" s="118">
        <f>IFERROR(_xlfn.XLOOKUP($A84,'Raw Data'!$G:$G,'Raw Data'!W:W),"")</f>
        <v>23</v>
      </c>
      <c r="L84" s="118">
        <f>IFERROR(_xlfn.XLOOKUP($A84,'Raw Data'!$G:$G,'Raw Data'!X:X),"")</f>
        <v>40</v>
      </c>
      <c r="M84" s="118">
        <f>IFERROR(_xlfn.XLOOKUP($A84,'Raw Data'!$G:$G,'Raw Data'!Y:Y),"")</f>
        <v>5</v>
      </c>
      <c r="N84" s="118">
        <f>IFERROR(_xlfn.XLOOKUP($A84,'Raw Data'!$G:$G,'Raw Data'!Z:Z),"")</f>
        <v>9</v>
      </c>
      <c r="O84" s="145">
        <f>IFERROR(1-SUMIF('Plant BD'!$B:$B,$A84,'Plant BD'!$AM:$AM)/($AA84+SUMIF('Plant BD'!$B:$B,$A84,'Plant BD'!$AM:$AM)),"")</f>
        <v>1</v>
      </c>
      <c r="P84" s="145"/>
      <c r="Q84" s="146"/>
      <c r="R84" s="145">
        <f>IFERROR(1-SUMIF('Grid BD'!$B:$B,$A84,'Grid BD'!$AE:$AE)/($AA84+SUMIF('Grid BD'!$B:$B,$A84,'Grid BD'!$AE:$AE)),"")</f>
        <v>8.3632283418682341E-2</v>
      </c>
      <c r="T84" s="146">
        <f>IFERROR(1-SUMIF(Tracker_BD!$H:$H,$A84,Tracker_BD!AI:AI)/$F84,"")</f>
        <v>0.98591877598434829</v>
      </c>
      <c r="U84" s="147">
        <f t="shared" si="5"/>
        <v>6.3663770911228421E-2</v>
      </c>
      <c r="V84" s="147"/>
      <c r="W84" s="148">
        <f t="shared" si="6"/>
        <v>1.4120093856686201E-2</v>
      </c>
      <c r="X84" s="143">
        <f>IFERROR(_xlfn.XLOOKUP($A84,'Raw Data'!$G:$G,'Raw Data'!$AB:$AB),"")</f>
        <v>4149</v>
      </c>
      <c r="Y84" s="143">
        <f>IFERROR(_xlfn.XLOOKUP($A84,'Raw Data'!$G:$G,'Raw Data'!AC:AC),"")</f>
        <v>4164.4000000087544</v>
      </c>
      <c r="Z84" s="143">
        <f>IFERROR(_xlfn.XLOOKUP($A84,'Raw Data'!$G:$G,'Raw Data'!AD:AD),"")</f>
        <v>192.70000000005894</v>
      </c>
      <c r="AA84" s="143">
        <f>IFERROR(_xlfn.XLOOKUP($A84,'Raw Data'!$G:$G,'Raw Data'!AE:AE)*(1+(_xlfn.XLOOKUP(Table13[[#This Row],[Month Year]],JMR!$A:$A,JMR!$J:$J))),"")</f>
        <v>3971.7000000086955</v>
      </c>
      <c r="AB84" s="143">
        <f>IFERROR(_xlfn.XLOOKUP($A84,'Raw Data'!$G:$G,'Raw Data'!$H:$H),"")</f>
        <v>11.72</v>
      </c>
      <c r="AC84" s="149">
        <f>IFERROR(_xlfn.XLOOKUP($D84,'Modelling New'!$D:$D,'Modelling New'!$P:$P),"")</f>
        <v>5.617271453333335</v>
      </c>
      <c r="AD84" s="143">
        <f>IFERROR(_xlfn.XLOOKUP($D84,'Modelling New'!$D:$D,'Modelling New'!$T:$T)*1000,"")</f>
        <v>47413.538853540602</v>
      </c>
      <c r="AE84" s="148">
        <f>IFERROR(_xlfn.XLOOKUP($D84,'Modelling New'!$D:$D,'Modelling New'!$O:$O),"")</f>
        <v>0.72019375003918806</v>
      </c>
      <c r="AF84" s="148">
        <f>IFERROR(_xlfn.XLOOKUP($D84,'Modelling New'!$D:$D,'Modelling New'!$W:$W),"")</f>
        <v>0.16856349137350896</v>
      </c>
      <c r="AG84" s="148">
        <f>IFERROR(_xlfn.XLOOKUP($D84,'Modelling New'!$D:$D,'Modelling New'!AE:AE),"")</f>
        <v>0.995</v>
      </c>
      <c r="AH84" s="148">
        <f>IFERROR(_xlfn.XLOOKUP($D84,'Modelling New'!$D:$D,'Modelling New'!AF:AF),"")</f>
        <v>0.98550000000000004</v>
      </c>
      <c r="AN84" s="145"/>
      <c r="AO84" s="148"/>
      <c r="AP84" s="148"/>
      <c r="AQ84" s="148"/>
      <c r="AR84" s="143">
        <f>IFERROR(_xlfn.XLOOKUP($D84,'Modelling New'!$D:$D,'Modelling New'!$N:$N),"")</f>
        <v>11.72</v>
      </c>
      <c r="AT84" s="143">
        <f>IFERROR(_xlfn.XLOOKUP(Table13[[#This Row],[Date]],'Raw Data'!$G:$G,'Raw Data'!$AJ:$AJ),"")</f>
        <v>0</v>
      </c>
      <c r="AU84" s="143">
        <f>IFERROR(_xlfn.XLOOKUP(Table13[[#This Row],[Month Year]],'Modelling New'!$D:$D,'Modelling New'!$AO:$AO),"")</f>
        <v>10</v>
      </c>
      <c r="AV84" s="143"/>
    </row>
    <row r="85" spans="1:48">
      <c r="A85" s="142">
        <f t="shared" si="7"/>
        <v>45828</v>
      </c>
      <c r="B85" s="143">
        <f>YEAR(Table13[[#This Row],[Date]])+IF(MONTH(Table13[[#This Row],[Date]])&gt;=4,1,0)</f>
        <v>2026</v>
      </c>
      <c r="C85" s="116">
        <f>YEAR(Table13[[#This Row],[Date]])</f>
        <v>2025</v>
      </c>
      <c r="D85" s="144">
        <f>Table13[[#This Row],[Date]]-DAY(Table13[[#This Row],[Date]])+1</f>
        <v>45809</v>
      </c>
      <c r="E85" s="116">
        <f t="shared" si="4"/>
        <v>30</v>
      </c>
      <c r="F85" s="117">
        <f>IFERROR(_xlfn.XLOOKUP($A85,'Raw Data'!$G:$G,'Raw Data'!$AH:$AH),"")</f>
        <v>12.600000000000001</v>
      </c>
      <c r="G85" s="118">
        <f>IFERROR(_xlfn.XLOOKUP($A85,'Raw Data'!$G:$G,'Raw Data'!$S:$S)/1000,"")</f>
        <v>0</v>
      </c>
      <c r="H85" s="118"/>
      <c r="I85" s="118">
        <f>IFERROR(_xlfn.XLOOKUP($A85,'Raw Data'!$G:$G,'Raw Data'!$AF:$AF)/1000,"")</f>
        <v>5.6349999999999998</v>
      </c>
      <c r="J85" s="118"/>
      <c r="K85" s="118">
        <f>IFERROR(_xlfn.XLOOKUP($A85,'Raw Data'!$G:$G,'Raw Data'!W:W),"")</f>
        <v>23</v>
      </c>
      <c r="L85" s="118">
        <f>IFERROR(_xlfn.XLOOKUP($A85,'Raw Data'!$G:$G,'Raw Data'!X:X),"")</f>
        <v>40</v>
      </c>
      <c r="M85" s="118">
        <f>IFERROR(_xlfn.XLOOKUP($A85,'Raw Data'!$G:$G,'Raw Data'!Y:Y),"")</f>
        <v>5</v>
      </c>
      <c r="N85" s="118">
        <f>IFERROR(_xlfn.XLOOKUP($A85,'Raw Data'!$G:$G,'Raw Data'!Z:Z),"")</f>
        <v>9</v>
      </c>
      <c r="O85" s="145">
        <f>IFERROR(1-SUMIF('Plant BD'!$B:$B,$A85,'Plant BD'!$AM:$AM)/($AA85+SUMIF('Plant BD'!$B:$B,$A85,'Plant BD'!$AM:$AM)),"")</f>
        <v>6.9385809224601691E-2</v>
      </c>
      <c r="P85" s="145"/>
      <c r="Q85" s="146"/>
      <c r="R85" s="145">
        <f>IFERROR(1-SUMIF('Grid BD'!$B:$B,$A85,'Grid BD'!$AE:$AE)/($AA85+SUMIF('Grid BD'!$B:$B,$A85,'Grid BD'!$AE:$AE)),"")</f>
        <v>1</v>
      </c>
      <c r="T85" s="146">
        <f>IFERROR(1-SUMIF(Tracker_BD!$H:$H,$A85,Tracker_BD!AI:AI)/$F85,"")</f>
        <v>0.98606930000608162</v>
      </c>
      <c r="U85" s="147">
        <f t="shared" si="5"/>
        <v>0.72922767563762125</v>
      </c>
      <c r="V85" s="147"/>
      <c r="W85" s="148">
        <f t="shared" si="6"/>
        <v>0.17121658134241644</v>
      </c>
      <c r="X85" s="143">
        <f>IFERROR(_xlfn.XLOOKUP($A85,'Raw Data'!$G:$G,'Raw Data'!$AB:$AB),"")</f>
        <v>48444</v>
      </c>
      <c r="Y85" s="143">
        <f>IFERROR(_xlfn.XLOOKUP($A85,'Raw Data'!$G:$G,'Raw Data'!AC:AC),"")</f>
        <v>48365.699999994831</v>
      </c>
      <c r="Z85" s="143">
        <f>IFERROR(_xlfn.XLOOKUP($A85,'Raw Data'!$G:$G,'Raw Data'!AD:AD),"")</f>
        <v>205.8999999999287</v>
      </c>
      <c r="AA85" s="143">
        <f>IFERROR(_xlfn.XLOOKUP($A85,'Raw Data'!$G:$G,'Raw Data'!AE:AE)*(1+(_xlfn.XLOOKUP(Table13[[#This Row],[Month Year]],JMR!$A:$A,JMR!$J:$J))),"")</f>
        <v>48159.799999994902</v>
      </c>
      <c r="AB85" s="143">
        <f>IFERROR(_xlfn.XLOOKUP($A85,'Raw Data'!$G:$G,'Raw Data'!$H:$H),"")</f>
        <v>11.72</v>
      </c>
      <c r="AC85" s="149">
        <f>IFERROR(_xlfn.XLOOKUP($D85,'Modelling New'!$D:$D,'Modelling New'!$P:$P),"")</f>
        <v>5.617271453333335</v>
      </c>
      <c r="AD85" s="143">
        <f>IFERROR(_xlfn.XLOOKUP($D85,'Modelling New'!$D:$D,'Modelling New'!$T:$T)*1000,"")</f>
        <v>47413.538853540602</v>
      </c>
      <c r="AE85" s="148">
        <f>IFERROR(_xlfn.XLOOKUP($D85,'Modelling New'!$D:$D,'Modelling New'!$O:$O),"")</f>
        <v>0.72019375003918806</v>
      </c>
      <c r="AF85" s="148">
        <f>IFERROR(_xlfn.XLOOKUP($D85,'Modelling New'!$D:$D,'Modelling New'!$W:$W),"")</f>
        <v>0.16856349137350896</v>
      </c>
      <c r="AG85" s="148">
        <f>IFERROR(_xlfn.XLOOKUP($D85,'Modelling New'!$D:$D,'Modelling New'!AE:AE),"")</f>
        <v>0.995</v>
      </c>
      <c r="AH85" s="148">
        <f>IFERROR(_xlfn.XLOOKUP($D85,'Modelling New'!$D:$D,'Modelling New'!AF:AF),"")</f>
        <v>0.98550000000000004</v>
      </c>
      <c r="AN85" s="145"/>
      <c r="AO85" s="148"/>
      <c r="AP85" s="148"/>
      <c r="AQ85" s="148"/>
      <c r="AR85" s="143">
        <f>IFERROR(_xlfn.XLOOKUP($D85,'Modelling New'!$D:$D,'Modelling New'!$N:$N),"")</f>
        <v>11.72</v>
      </c>
      <c r="AT85" s="143">
        <f>IFERROR(_xlfn.XLOOKUP(Table13[[#This Row],[Date]],'Raw Data'!$G:$G,'Raw Data'!$AJ:$AJ),"")</f>
        <v>0</v>
      </c>
      <c r="AU85" s="143">
        <f>IFERROR(_xlfn.XLOOKUP(Table13[[#This Row],[Month Year]],'Modelling New'!$D:$D,'Modelling New'!$AO:$AO),"")</f>
        <v>10</v>
      </c>
      <c r="AV85" s="143"/>
    </row>
    <row r="86" spans="1:48">
      <c r="A86" s="142">
        <f t="shared" si="7"/>
        <v>45829</v>
      </c>
      <c r="B86" s="143">
        <f>YEAR(Table13[[#This Row],[Date]])+IF(MONTH(Table13[[#This Row],[Date]])&gt;=4,1,0)</f>
        <v>2026</v>
      </c>
      <c r="C86" s="116">
        <f>YEAR(Table13[[#This Row],[Date]])</f>
        <v>2025</v>
      </c>
      <c r="D86" s="144">
        <f>Table13[[#This Row],[Date]]-DAY(Table13[[#This Row],[Date]])+1</f>
        <v>45809</v>
      </c>
      <c r="E86" s="116">
        <f t="shared" si="4"/>
        <v>30</v>
      </c>
      <c r="F86" s="117">
        <f>IFERROR(_xlfn.XLOOKUP($A86,'Raw Data'!$G:$G,'Raw Data'!$AH:$AH),"")</f>
        <v>12.616666666666667</v>
      </c>
      <c r="G86" s="118">
        <f>IFERROR(_xlfn.XLOOKUP($A86,'Raw Data'!$G:$G,'Raw Data'!$S:$S)/1000,"")</f>
        <v>0</v>
      </c>
      <c r="H86" s="118"/>
      <c r="I86" s="118">
        <f>IFERROR(_xlfn.XLOOKUP($A86,'Raw Data'!$G:$G,'Raw Data'!$AF:$AF)/1000,"")</f>
        <v>7.4850000000000003</v>
      </c>
      <c r="J86" s="118"/>
      <c r="K86" s="118">
        <f>IFERROR(_xlfn.XLOOKUP($A86,'Raw Data'!$G:$G,'Raw Data'!W:W),"")</f>
        <v>23</v>
      </c>
      <c r="L86" s="118">
        <f>IFERROR(_xlfn.XLOOKUP($A86,'Raw Data'!$G:$G,'Raw Data'!X:X),"")</f>
        <v>40</v>
      </c>
      <c r="M86" s="118">
        <f>IFERROR(_xlfn.XLOOKUP($A86,'Raw Data'!$G:$G,'Raw Data'!Y:Y),"")</f>
        <v>5</v>
      </c>
      <c r="N86" s="118">
        <f>IFERROR(_xlfn.XLOOKUP($A86,'Raw Data'!$G:$G,'Raw Data'!Z:Z),"")</f>
        <v>9</v>
      </c>
      <c r="O86" s="145">
        <f>IFERROR(1-SUMIF('Plant BD'!$B:$B,$A86,'Plant BD'!$AM:$AM)/($AA86+SUMIF('Plant BD'!$B:$B,$A86,'Plant BD'!$AM:$AM)),"")</f>
        <v>1</v>
      </c>
      <c r="P86" s="145"/>
      <c r="Q86" s="146"/>
      <c r="R86" s="145">
        <f>IFERROR(1-SUMIF('Grid BD'!$B:$B,$A86,'Grid BD'!$AE:$AE)/($AA86+SUMIF('Grid BD'!$B:$B,$A86,'Grid BD'!$AE:$AE)),"")</f>
        <v>1</v>
      </c>
      <c r="T86" s="146">
        <f>IFERROR(1-SUMIF(Tracker_BD!$H:$H,$A86,Tracker_BD!AI:AI)/$F86,"")</f>
        <v>0.98606872257398381</v>
      </c>
      <c r="U86" s="147">
        <f t="shared" si="5"/>
        <v>0.72706391166859552</v>
      </c>
      <c r="V86" s="147"/>
      <c r="W86" s="148">
        <f t="shared" si="6"/>
        <v>0.2267530574516432</v>
      </c>
      <c r="X86" s="143">
        <f>IFERROR(_xlfn.XLOOKUP($A86,'Raw Data'!$G:$G,'Raw Data'!$AB:$AB),"")</f>
        <v>64022</v>
      </c>
      <c r="Y86" s="143">
        <f>IFERROR(_xlfn.XLOOKUP($A86,'Raw Data'!$G:$G,'Raw Data'!AC:AC),"")</f>
        <v>63968.09999999823</v>
      </c>
      <c r="Z86" s="143">
        <f>IFERROR(_xlfn.XLOOKUP($A86,'Raw Data'!$G:$G,'Raw Data'!AD:AD),"")</f>
        <v>187.00000000001182</v>
      </c>
      <c r="AA86" s="143">
        <f>IFERROR(_xlfn.XLOOKUP($A86,'Raw Data'!$G:$G,'Raw Data'!AE:AE)*(1+(_xlfn.XLOOKUP(Table13[[#This Row],[Month Year]],JMR!$A:$A,JMR!$J:$J))),"")</f>
        <v>63781.099999998216</v>
      </c>
      <c r="AB86" s="143">
        <f>IFERROR(_xlfn.XLOOKUP($A86,'Raw Data'!$G:$G,'Raw Data'!$H:$H),"")</f>
        <v>11.72</v>
      </c>
      <c r="AC86" s="149">
        <f>IFERROR(_xlfn.XLOOKUP($D86,'Modelling New'!$D:$D,'Modelling New'!$P:$P),"")</f>
        <v>5.617271453333335</v>
      </c>
      <c r="AD86" s="143">
        <f>IFERROR(_xlfn.XLOOKUP($D86,'Modelling New'!$D:$D,'Modelling New'!$T:$T)*1000,"")</f>
        <v>47413.538853540602</v>
      </c>
      <c r="AE86" s="148">
        <f>IFERROR(_xlfn.XLOOKUP($D86,'Modelling New'!$D:$D,'Modelling New'!$O:$O),"")</f>
        <v>0.72019375003918806</v>
      </c>
      <c r="AF86" s="148">
        <f>IFERROR(_xlfn.XLOOKUP($D86,'Modelling New'!$D:$D,'Modelling New'!$W:$W),"")</f>
        <v>0.16856349137350896</v>
      </c>
      <c r="AG86" s="148">
        <f>IFERROR(_xlfn.XLOOKUP($D86,'Modelling New'!$D:$D,'Modelling New'!AE:AE),"")</f>
        <v>0.995</v>
      </c>
      <c r="AH86" s="148">
        <f>IFERROR(_xlfn.XLOOKUP($D86,'Modelling New'!$D:$D,'Modelling New'!AF:AF),"")</f>
        <v>0.98550000000000004</v>
      </c>
      <c r="AN86" s="145"/>
      <c r="AO86" s="148"/>
      <c r="AP86" s="148"/>
      <c r="AQ86" s="148"/>
      <c r="AR86" s="143">
        <f>IFERROR(_xlfn.XLOOKUP($D86,'Modelling New'!$D:$D,'Modelling New'!$N:$N),"")</f>
        <v>11.72</v>
      </c>
      <c r="AT86" s="143">
        <f>IFERROR(_xlfn.XLOOKUP(Table13[[#This Row],[Date]],'Raw Data'!$G:$G,'Raw Data'!$AJ:$AJ),"")</f>
        <v>0</v>
      </c>
      <c r="AU86" s="143">
        <f>IFERROR(_xlfn.XLOOKUP(Table13[[#This Row],[Month Year]],'Modelling New'!$D:$D,'Modelling New'!$AO:$AO),"")</f>
        <v>10</v>
      </c>
      <c r="AV86" s="143"/>
    </row>
    <row r="87" spans="1:48">
      <c r="A87" s="142">
        <f t="shared" si="7"/>
        <v>45830</v>
      </c>
      <c r="B87" s="143">
        <f>YEAR(Table13[[#This Row],[Date]])+IF(MONTH(Table13[[#This Row],[Date]])&gt;=4,1,0)</f>
        <v>2026</v>
      </c>
      <c r="C87" s="116">
        <f>YEAR(Table13[[#This Row],[Date]])</f>
        <v>2025</v>
      </c>
      <c r="D87" s="144">
        <f>Table13[[#This Row],[Date]]-DAY(Table13[[#This Row],[Date]])+1</f>
        <v>45809</v>
      </c>
      <c r="E87" s="116">
        <f t="shared" si="4"/>
        <v>30</v>
      </c>
      <c r="F87" s="117">
        <f>IFERROR(_xlfn.XLOOKUP($A87,'Raw Data'!$G:$G,'Raw Data'!$AH:$AH),"")</f>
        <v>12.666666666666668</v>
      </c>
      <c r="G87" s="118">
        <f>IFERROR(_xlfn.XLOOKUP($A87,'Raw Data'!$G:$G,'Raw Data'!$S:$S)/1000,"")</f>
        <v>0</v>
      </c>
      <c r="H87" s="118"/>
      <c r="I87" s="118">
        <f>IFERROR(_xlfn.XLOOKUP($A87,'Raw Data'!$G:$G,'Raw Data'!$AF:$AF)/1000,"")</f>
        <v>6.9329999999999998</v>
      </c>
      <c r="J87" s="118"/>
      <c r="K87" s="118">
        <f>IFERROR(_xlfn.XLOOKUP($A87,'Raw Data'!$G:$G,'Raw Data'!W:W),"")</f>
        <v>23</v>
      </c>
      <c r="L87" s="118">
        <f>IFERROR(_xlfn.XLOOKUP($A87,'Raw Data'!$G:$G,'Raw Data'!X:X),"")</f>
        <v>40</v>
      </c>
      <c r="M87" s="118">
        <f>IFERROR(_xlfn.XLOOKUP($A87,'Raw Data'!$G:$G,'Raw Data'!Y:Y),"")</f>
        <v>5</v>
      </c>
      <c r="N87" s="118">
        <f>IFERROR(_xlfn.XLOOKUP($A87,'Raw Data'!$G:$G,'Raw Data'!Z:Z),"")</f>
        <v>12</v>
      </c>
      <c r="O87" s="145">
        <f>IFERROR(1-SUMIF('Plant BD'!$B:$B,$A87,'Plant BD'!$AM:$AM)/($AA87+SUMIF('Plant BD'!$B:$B,$A87,'Plant BD'!$AM:$AM)),"")</f>
        <v>0.27257692804155564</v>
      </c>
      <c r="P87" s="145"/>
      <c r="Q87" s="146"/>
      <c r="R87" s="145">
        <f>IFERROR(1-SUMIF('Grid BD'!$B:$B,$A87,'Grid BD'!$AE:$AE)/($AA87+SUMIF('Grid BD'!$B:$B,$A87,'Grid BD'!$AE:$AE)),"")</f>
        <v>1</v>
      </c>
      <c r="T87" s="146">
        <f>IFERROR(1-SUMIF(Tracker_BD!$H:$H,$A87,Tracker_BD!AI:AI)/$F87,"")</f>
        <v>0.98601028433151849</v>
      </c>
      <c r="U87" s="147">
        <f t="shared" si="5"/>
        <v>0.72456555160610869</v>
      </c>
      <c r="V87" s="147"/>
      <c r="W87" s="148">
        <f t="shared" si="6"/>
        <v>0.20930887372021462</v>
      </c>
      <c r="X87" s="143">
        <f>IFERROR(_xlfn.XLOOKUP($A87,'Raw Data'!$G:$G,'Raw Data'!$AB:$AB),"")</f>
        <v>59104</v>
      </c>
      <c r="Y87" s="143">
        <f>IFERROR(_xlfn.XLOOKUP($A87,'Raw Data'!$G:$G,'Raw Data'!AC:AC),"")</f>
        <v>59059.900000022026</v>
      </c>
      <c r="Z87" s="143">
        <f>IFERROR(_xlfn.XLOOKUP($A87,'Raw Data'!$G:$G,'Raw Data'!AD:AD),"")</f>
        <v>185.50000000004729</v>
      </c>
      <c r="AA87" s="143">
        <f>IFERROR(_xlfn.XLOOKUP($A87,'Raw Data'!$G:$G,'Raw Data'!AE:AE)*(1+(_xlfn.XLOOKUP(Table13[[#This Row],[Month Year]],JMR!$A:$A,JMR!$J:$J))),"")</f>
        <v>58874.400000021982</v>
      </c>
      <c r="AB87" s="143">
        <f>IFERROR(_xlfn.XLOOKUP($A87,'Raw Data'!$G:$G,'Raw Data'!$H:$H),"")</f>
        <v>11.72</v>
      </c>
      <c r="AC87" s="149">
        <f>IFERROR(_xlfn.XLOOKUP($D87,'Modelling New'!$D:$D,'Modelling New'!$P:$P),"")</f>
        <v>5.617271453333335</v>
      </c>
      <c r="AD87" s="143">
        <f>IFERROR(_xlfn.XLOOKUP($D87,'Modelling New'!$D:$D,'Modelling New'!$T:$T)*1000,"")</f>
        <v>47413.538853540602</v>
      </c>
      <c r="AE87" s="148">
        <f>IFERROR(_xlfn.XLOOKUP($D87,'Modelling New'!$D:$D,'Modelling New'!$O:$O),"")</f>
        <v>0.72019375003918806</v>
      </c>
      <c r="AF87" s="148">
        <f>IFERROR(_xlfn.XLOOKUP($D87,'Modelling New'!$D:$D,'Modelling New'!$W:$W),"")</f>
        <v>0.16856349137350896</v>
      </c>
      <c r="AG87" s="148">
        <f>IFERROR(_xlfn.XLOOKUP($D87,'Modelling New'!$D:$D,'Modelling New'!AE:AE),"")</f>
        <v>0.995</v>
      </c>
      <c r="AH87" s="148">
        <f>IFERROR(_xlfn.XLOOKUP($D87,'Modelling New'!$D:$D,'Modelling New'!AF:AF),"")</f>
        <v>0.98550000000000004</v>
      </c>
      <c r="AN87" s="145"/>
      <c r="AO87" s="148"/>
      <c r="AP87" s="148"/>
      <c r="AQ87" s="148"/>
      <c r="AR87" s="143">
        <f>IFERROR(_xlfn.XLOOKUP($D87,'Modelling New'!$D:$D,'Modelling New'!$N:$N),"")</f>
        <v>11.72</v>
      </c>
      <c r="AT87" s="143">
        <f>IFERROR(_xlfn.XLOOKUP(Table13[[#This Row],[Date]],'Raw Data'!$G:$G,'Raw Data'!$AJ:$AJ),"")</f>
        <v>0</v>
      </c>
      <c r="AU87" s="143">
        <f>IFERROR(_xlfn.XLOOKUP(Table13[[#This Row],[Month Year]],'Modelling New'!$D:$D,'Modelling New'!$AO:$AO),"")</f>
        <v>10</v>
      </c>
      <c r="AV87" s="143"/>
    </row>
    <row r="88" spans="1:48">
      <c r="A88" s="142">
        <f t="shared" si="7"/>
        <v>45831</v>
      </c>
      <c r="B88" s="143">
        <f>YEAR(Table13[[#This Row],[Date]])+IF(MONTH(Table13[[#This Row],[Date]])&gt;=4,1,0)</f>
        <v>2026</v>
      </c>
      <c r="C88" s="116">
        <f>YEAR(Table13[[#This Row],[Date]])</f>
        <v>2025</v>
      </c>
      <c r="D88" s="144">
        <f>Table13[[#This Row],[Date]]-DAY(Table13[[#This Row],[Date]])+1</f>
        <v>45809</v>
      </c>
      <c r="E88" s="116">
        <f t="shared" si="4"/>
        <v>30</v>
      </c>
      <c r="F88" s="117">
        <f>IFERROR(_xlfn.XLOOKUP($A88,'Raw Data'!$G:$G,'Raw Data'!$AH:$AH),"")</f>
        <v>12.55</v>
      </c>
      <c r="G88" s="118">
        <f>IFERROR(_xlfn.XLOOKUP($A88,'Raw Data'!$G:$G,'Raw Data'!$S:$S)/1000,"")</f>
        <v>0</v>
      </c>
      <c r="H88" s="118"/>
      <c r="I88" s="118">
        <f>IFERROR(_xlfn.XLOOKUP($A88,'Raw Data'!$G:$G,'Raw Data'!$AF:$AF)/1000,"")</f>
        <v>4.8875000000000002</v>
      </c>
      <c r="J88" s="118"/>
      <c r="K88" s="118">
        <f>IFERROR(_xlfn.XLOOKUP($A88,'Raw Data'!$G:$G,'Raw Data'!W:W),"")</f>
        <v>23</v>
      </c>
      <c r="L88" s="118">
        <f>IFERROR(_xlfn.XLOOKUP($A88,'Raw Data'!$G:$G,'Raw Data'!X:X),"")</f>
        <v>35.5</v>
      </c>
      <c r="M88" s="118">
        <f>IFERROR(_xlfn.XLOOKUP($A88,'Raw Data'!$G:$G,'Raw Data'!Y:Y),"")</f>
        <v>6</v>
      </c>
      <c r="N88" s="118">
        <f>IFERROR(_xlfn.XLOOKUP($A88,'Raw Data'!$G:$G,'Raw Data'!Z:Z),"")</f>
        <v>11</v>
      </c>
      <c r="O88" s="145">
        <f>IFERROR(1-SUMIF('Plant BD'!$B:$B,$A88,'Plant BD'!$AM:$AM)/($AA88+SUMIF('Plant BD'!$B:$B,$A88,'Plant BD'!$AM:$AM)),"")</f>
        <v>1</v>
      </c>
      <c r="P88" s="145"/>
      <c r="Q88" s="146"/>
      <c r="R88" s="145">
        <f>IFERROR(1-SUMIF('Grid BD'!$B:$B,$A88,'Grid BD'!$AE:$AE)/($AA88+SUMIF('Grid BD'!$B:$B,$A88,'Grid BD'!$AE:$AE)),"")</f>
        <v>1</v>
      </c>
      <c r="T88" s="146">
        <f>IFERROR(1-SUMIF(Tracker_BD!$H:$H,$A88,Tracker_BD!AI:AI)/$F88,"")</f>
        <v>0.98591839538398129</v>
      </c>
      <c r="U88" s="147">
        <f t="shared" si="5"/>
        <v>0.75673646814410334</v>
      </c>
      <c r="V88" s="147"/>
      <c r="W88" s="148">
        <f t="shared" si="6"/>
        <v>0.15410622866892934</v>
      </c>
      <c r="X88" s="143">
        <f>IFERROR(_xlfn.XLOOKUP($A88,'Raw Data'!$G:$G,'Raw Data'!$AB:$AB),"")</f>
        <v>43601</v>
      </c>
      <c r="Y88" s="143">
        <f>IFERROR(_xlfn.XLOOKUP($A88,'Raw Data'!$G:$G,'Raw Data'!AC:AC),"")</f>
        <v>43532.399999996414</v>
      </c>
      <c r="Z88" s="143">
        <f>IFERROR(_xlfn.XLOOKUP($A88,'Raw Data'!$G:$G,'Raw Data'!AD:AD),"")</f>
        <v>185.39999999995871</v>
      </c>
      <c r="AA88" s="143">
        <f>IFERROR(_xlfn.XLOOKUP($A88,'Raw Data'!$G:$G,'Raw Data'!AE:AE)*(1+(_xlfn.XLOOKUP(Table13[[#This Row],[Month Year]],JMR!$A:$A,JMR!$J:$J))),"")</f>
        <v>43346.999999996457</v>
      </c>
      <c r="AB88" s="143">
        <f>IFERROR(_xlfn.XLOOKUP($A88,'Raw Data'!$G:$G,'Raw Data'!$H:$H),"")</f>
        <v>11.72</v>
      </c>
      <c r="AC88" s="149">
        <f>IFERROR(_xlfn.XLOOKUP($D88,'Modelling New'!$D:$D,'Modelling New'!$P:$P),"")</f>
        <v>5.617271453333335</v>
      </c>
      <c r="AD88" s="143">
        <f>IFERROR(_xlfn.XLOOKUP($D88,'Modelling New'!$D:$D,'Modelling New'!$T:$T)*1000,"")</f>
        <v>47413.538853540602</v>
      </c>
      <c r="AE88" s="148">
        <f>IFERROR(_xlfn.XLOOKUP($D88,'Modelling New'!$D:$D,'Modelling New'!$O:$O),"")</f>
        <v>0.72019375003918806</v>
      </c>
      <c r="AF88" s="148">
        <f>IFERROR(_xlfn.XLOOKUP($D88,'Modelling New'!$D:$D,'Modelling New'!$W:$W),"")</f>
        <v>0.16856349137350896</v>
      </c>
      <c r="AG88" s="148">
        <f>IFERROR(_xlfn.XLOOKUP($D88,'Modelling New'!$D:$D,'Modelling New'!AE:AE),"")</f>
        <v>0.995</v>
      </c>
      <c r="AH88" s="148">
        <f>IFERROR(_xlfn.XLOOKUP($D88,'Modelling New'!$D:$D,'Modelling New'!AF:AF),"")</f>
        <v>0.98550000000000004</v>
      </c>
      <c r="AN88" s="145"/>
      <c r="AO88" s="148"/>
      <c r="AP88" s="148"/>
      <c r="AQ88" s="148"/>
      <c r="AR88" s="143">
        <f>IFERROR(_xlfn.XLOOKUP($D88,'Modelling New'!$D:$D,'Modelling New'!$N:$N),"")</f>
        <v>11.72</v>
      </c>
      <c r="AT88" s="143">
        <f>IFERROR(_xlfn.XLOOKUP(Table13[[#This Row],[Date]],'Raw Data'!$G:$G,'Raw Data'!$AJ:$AJ),"")</f>
        <v>0</v>
      </c>
      <c r="AU88" s="143">
        <f>IFERROR(_xlfn.XLOOKUP(Table13[[#This Row],[Month Year]],'Modelling New'!$D:$D,'Modelling New'!$AO:$AO),"")</f>
        <v>10</v>
      </c>
      <c r="AV88" s="143"/>
    </row>
    <row r="89" spans="1:48">
      <c r="A89" s="142">
        <f t="shared" si="7"/>
        <v>45832</v>
      </c>
      <c r="B89" s="143">
        <f>YEAR(Table13[[#This Row],[Date]])+IF(MONTH(Table13[[#This Row],[Date]])&gt;=4,1,0)</f>
        <v>2026</v>
      </c>
      <c r="C89" s="116">
        <f>YEAR(Table13[[#This Row],[Date]])</f>
        <v>2025</v>
      </c>
      <c r="D89" s="144">
        <f>Table13[[#This Row],[Date]]-DAY(Table13[[#This Row],[Date]])+1</f>
        <v>45809</v>
      </c>
      <c r="E89" s="116">
        <f t="shared" si="4"/>
        <v>30</v>
      </c>
      <c r="F89" s="117">
        <f>IFERROR(_xlfn.XLOOKUP($A89,'Raw Data'!$G:$G,'Raw Data'!$AH:$AH),"")</f>
        <v>12.416666666666668</v>
      </c>
      <c r="G89" s="118">
        <f>IFERROR(_xlfn.XLOOKUP($A89,'Raw Data'!$G:$G,'Raw Data'!$S:$S)/1000,"")</f>
        <v>0</v>
      </c>
      <c r="H89" s="118"/>
      <c r="I89" s="118">
        <f>IFERROR(_xlfn.XLOOKUP($A89,'Raw Data'!$G:$G,'Raw Data'!$AF:$AF)/1000,"")</f>
        <v>4.1139999999999999</v>
      </c>
      <c r="J89" s="118"/>
      <c r="K89" s="118">
        <f>IFERROR(_xlfn.XLOOKUP($A89,'Raw Data'!$G:$G,'Raw Data'!W:W),"")</f>
        <v>23</v>
      </c>
      <c r="L89" s="118">
        <f>IFERROR(_xlfn.XLOOKUP($A89,'Raw Data'!$G:$G,'Raw Data'!X:X),"")</f>
        <v>35</v>
      </c>
      <c r="M89" s="118">
        <f>IFERROR(_xlfn.XLOOKUP($A89,'Raw Data'!$G:$G,'Raw Data'!Y:Y),"")</f>
        <v>6</v>
      </c>
      <c r="N89" s="118">
        <f>IFERROR(_xlfn.XLOOKUP($A89,'Raw Data'!$G:$G,'Raw Data'!Z:Z),"")</f>
        <v>11</v>
      </c>
      <c r="O89" s="145">
        <f>IFERROR(1-SUMIF('Plant BD'!$B:$B,$A89,'Plant BD'!$AM:$AM)/($AA89+SUMIF('Plant BD'!$B:$B,$A89,'Plant BD'!$AM:$AM)),"")</f>
        <v>1</v>
      </c>
      <c r="P89" s="145"/>
      <c r="Q89" s="146"/>
      <c r="R89" s="145">
        <f>IFERROR(1-SUMIF('Grid BD'!$B:$B,$A89,'Grid BD'!$AE:$AE)/($AA89+SUMIF('Grid BD'!$B:$B,$A89,'Grid BD'!$AE:$AE)),"")</f>
        <v>1</v>
      </c>
      <c r="T89" s="146">
        <f>IFERROR(1-SUMIF(Tracker_BD!$H:$H,$A89,Tracker_BD!AI:AI)/$F89,"")</f>
        <v>0.98592146879580345</v>
      </c>
      <c r="U89" s="147">
        <f t="shared" si="5"/>
        <v>0.79374142402268122</v>
      </c>
      <c r="V89" s="147"/>
      <c r="W89" s="148">
        <f t="shared" si="6"/>
        <v>0.13606050910122125</v>
      </c>
      <c r="X89" s="143">
        <f>IFERROR(_xlfn.XLOOKUP($A89,'Raw Data'!$G:$G,'Raw Data'!$AB:$AB),"")</f>
        <v>38480</v>
      </c>
      <c r="Y89" s="143">
        <f>IFERROR(_xlfn.XLOOKUP($A89,'Raw Data'!$G:$G,'Raw Data'!AC:AC),"")</f>
        <v>38474.699999991572</v>
      </c>
      <c r="Z89" s="143">
        <f>IFERROR(_xlfn.XLOOKUP($A89,'Raw Data'!$G:$G,'Raw Data'!AD:AD),"")</f>
        <v>203.6000000000513</v>
      </c>
      <c r="AA89" s="143">
        <f>IFERROR(_xlfn.XLOOKUP($A89,'Raw Data'!$G:$G,'Raw Data'!AE:AE)*(1+(_xlfn.XLOOKUP(Table13[[#This Row],[Month Year]],JMR!$A:$A,JMR!$J:$J))),"")</f>
        <v>38271.099999991522</v>
      </c>
      <c r="AB89" s="143">
        <f>IFERROR(_xlfn.XLOOKUP($A89,'Raw Data'!$G:$G,'Raw Data'!$H:$H),"")</f>
        <v>11.72</v>
      </c>
      <c r="AC89" s="149">
        <f>IFERROR(_xlfn.XLOOKUP($D89,'Modelling New'!$D:$D,'Modelling New'!$P:$P),"")</f>
        <v>5.617271453333335</v>
      </c>
      <c r="AD89" s="143">
        <f>IFERROR(_xlfn.XLOOKUP($D89,'Modelling New'!$D:$D,'Modelling New'!$T:$T)*1000,"")</f>
        <v>47413.538853540602</v>
      </c>
      <c r="AE89" s="148">
        <f>IFERROR(_xlfn.XLOOKUP($D89,'Modelling New'!$D:$D,'Modelling New'!$O:$O),"")</f>
        <v>0.72019375003918806</v>
      </c>
      <c r="AF89" s="148">
        <f>IFERROR(_xlfn.XLOOKUP($D89,'Modelling New'!$D:$D,'Modelling New'!$W:$W),"")</f>
        <v>0.16856349137350896</v>
      </c>
      <c r="AG89" s="148">
        <f>IFERROR(_xlfn.XLOOKUP($D89,'Modelling New'!$D:$D,'Modelling New'!AE:AE),"")</f>
        <v>0.995</v>
      </c>
      <c r="AH89" s="148">
        <f>IFERROR(_xlfn.XLOOKUP($D89,'Modelling New'!$D:$D,'Modelling New'!AF:AF),"")</f>
        <v>0.98550000000000004</v>
      </c>
      <c r="AN89" s="145"/>
      <c r="AO89" s="148"/>
      <c r="AP89" s="148"/>
      <c r="AQ89" s="148"/>
      <c r="AR89" s="143">
        <f>IFERROR(_xlfn.XLOOKUP($D89,'Modelling New'!$D:$D,'Modelling New'!$N:$N),"")</f>
        <v>11.72</v>
      </c>
      <c r="AT89" s="143">
        <f>IFERROR(_xlfn.XLOOKUP(Table13[[#This Row],[Date]],'Raw Data'!$G:$G,'Raw Data'!$AJ:$AJ),"")</f>
        <v>0</v>
      </c>
      <c r="AU89" s="143">
        <f>IFERROR(_xlfn.XLOOKUP(Table13[[#This Row],[Month Year]],'Modelling New'!$D:$D,'Modelling New'!$AO:$AO),"")</f>
        <v>10</v>
      </c>
      <c r="AV89" s="143"/>
    </row>
    <row r="90" spans="1:48">
      <c r="A90" s="142">
        <f t="shared" si="7"/>
        <v>45833</v>
      </c>
      <c r="B90" s="143">
        <f>YEAR(Table13[[#This Row],[Date]])+IF(MONTH(Table13[[#This Row],[Date]])&gt;=4,1,0)</f>
        <v>2026</v>
      </c>
      <c r="C90" s="116">
        <f>YEAR(Table13[[#This Row],[Date]])</f>
        <v>2025</v>
      </c>
      <c r="D90" s="144">
        <f>Table13[[#This Row],[Date]]-DAY(Table13[[#This Row],[Date]])+1</f>
        <v>45809</v>
      </c>
      <c r="E90" s="116">
        <f t="shared" si="4"/>
        <v>30</v>
      </c>
      <c r="F90" s="117">
        <f>IFERROR(_xlfn.XLOOKUP($A90,'Raw Data'!$G:$G,'Raw Data'!$AH:$AH),"")</f>
        <v>12.566666666666666</v>
      </c>
      <c r="G90" s="118">
        <f>IFERROR(_xlfn.XLOOKUP($A90,'Raw Data'!$G:$G,'Raw Data'!$S:$S)/1000,"")</f>
        <v>0</v>
      </c>
      <c r="H90" s="118"/>
      <c r="I90" s="118">
        <f>IFERROR(_xlfn.XLOOKUP($A90,'Raw Data'!$G:$G,'Raw Data'!$AF:$AF)/1000,"")</f>
        <v>4.8259999999999996</v>
      </c>
      <c r="J90" s="118"/>
      <c r="K90" s="118">
        <f>IFERROR(_xlfn.XLOOKUP($A90,'Raw Data'!$G:$G,'Raw Data'!W:W),"")</f>
        <v>23</v>
      </c>
      <c r="L90" s="118">
        <f>IFERROR(_xlfn.XLOOKUP($A90,'Raw Data'!$G:$G,'Raw Data'!X:X),"")</f>
        <v>36</v>
      </c>
      <c r="M90" s="118">
        <f>IFERROR(_xlfn.XLOOKUP($A90,'Raw Data'!$G:$G,'Raw Data'!Y:Y),"")</f>
        <v>4</v>
      </c>
      <c r="N90" s="118">
        <f>IFERROR(_xlfn.XLOOKUP($A90,'Raw Data'!$G:$G,'Raw Data'!Z:Z),"")</f>
        <v>8</v>
      </c>
      <c r="O90" s="145">
        <f>IFERROR(1-SUMIF('Plant BD'!$B:$B,$A90,'Plant BD'!$AM:$AM)/($AA90+SUMIF('Plant BD'!$B:$B,$A90,'Plant BD'!$AM:$AM)),"")</f>
        <v>1</v>
      </c>
      <c r="P90" s="145"/>
      <c r="Q90" s="146"/>
      <c r="R90" s="145">
        <f>IFERROR(1-SUMIF('Grid BD'!$B:$B,$A90,'Grid BD'!$AE:$AE)/($AA90+SUMIF('Grid BD'!$B:$B,$A90,'Grid BD'!$AE:$AE)),"")</f>
        <v>0.97568292896655862</v>
      </c>
      <c r="T90" s="146">
        <f>IFERROR(1-SUMIF(Tracker_BD!$H:$H,$A90,Tracker_BD!AI:AI)/$F90,"")</f>
        <v>0.9861085703832434</v>
      </c>
      <c r="U90" s="147">
        <f t="shared" si="5"/>
        <v>0.74186820818403199</v>
      </c>
      <c r="V90" s="147"/>
      <c r="W90" s="148">
        <f t="shared" si="6"/>
        <v>0.14917733219567242</v>
      </c>
      <c r="X90" s="143">
        <f>IFERROR(_xlfn.XLOOKUP($A90,'Raw Data'!$G:$G,'Raw Data'!$AB:$AB),"")</f>
        <v>42248</v>
      </c>
      <c r="Y90" s="143">
        <f>IFERROR(_xlfn.XLOOKUP($A90,'Raw Data'!$G:$G,'Raw Data'!AC:AC),"")</f>
        <v>42164.79999999865</v>
      </c>
      <c r="Z90" s="143">
        <f>IFERROR(_xlfn.XLOOKUP($A90,'Raw Data'!$G:$G,'Raw Data'!AD:AD),"")</f>
        <v>204.19999999990068</v>
      </c>
      <c r="AA90" s="143">
        <f>IFERROR(_xlfn.XLOOKUP($A90,'Raw Data'!$G:$G,'Raw Data'!AE:AE)*(1+(_xlfn.XLOOKUP(Table13[[#This Row],[Month Year]],JMR!$A:$A,JMR!$J:$J))),"")</f>
        <v>41960.599999998747</v>
      </c>
      <c r="AB90" s="143">
        <f>IFERROR(_xlfn.XLOOKUP($A90,'Raw Data'!$G:$G,'Raw Data'!$H:$H),"")</f>
        <v>11.72</v>
      </c>
      <c r="AC90" s="149">
        <f>IFERROR(_xlfn.XLOOKUP($D90,'Modelling New'!$D:$D,'Modelling New'!$P:$P),"")</f>
        <v>5.617271453333335</v>
      </c>
      <c r="AD90" s="143">
        <f>IFERROR(_xlfn.XLOOKUP($D90,'Modelling New'!$D:$D,'Modelling New'!$T:$T)*1000,"")</f>
        <v>47413.538853540602</v>
      </c>
      <c r="AE90" s="148">
        <f>IFERROR(_xlfn.XLOOKUP($D90,'Modelling New'!$D:$D,'Modelling New'!$O:$O),"")</f>
        <v>0.72019375003918806</v>
      </c>
      <c r="AF90" s="148">
        <f>IFERROR(_xlfn.XLOOKUP($D90,'Modelling New'!$D:$D,'Modelling New'!$W:$W),"")</f>
        <v>0.16856349137350896</v>
      </c>
      <c r="AG90" s="148">
        <f>IFERROR(_xlfn.XLOOKUP($D90,'Modelling New'!$D:$D,'Modelling New'!AE:AE),"")</f>
        <v>0.995</v>
      </c>
      <c r="AH90" s="148">
        <f>IFERROR(_xlfn.XLOOKUP($D90,'Modelling New'!$D:$D,'Modelling New'!AF:AF),"")</f>
        <v>0.98550000000000004</v>
      </c>
      <c r="AN90" s="145"/>
      <c r="AO90" s="148"/>
      <c r="AP90" s="148"/>
      <c r="AQ90" s="148"/>
      <c r="AR90" s="143">
        <f>IFERROR(_xlfn.XLOOKUP($D90,'Modelling New'!$D:$D,'Modelling New'!$N:$N),"")</f>
        <v>11.72</v>
      </c>
      <c r="AT90" s="143">
        <f>IFERROR(_xlfn.XLOOKUP(Table13[[#This Row],[Date]],'Raw Data'!$G:$G,'Raw Data'!$AJ:$AJ),"")</f>
        <v>0</v>
      </c>
      <c r="AU90" s="143">
        <f>IFERROR(_xlfn.XLOOKUP(Table13[[#This Row],[Month Year]],'Modelling New'!$D:$D,'Modelling New'!$AO:$AO),"")</f>
        <v>10</v>
      </c>
      <c r="AV90" s="143"/>
    </row>
    <row r="91" spans="1:48">
      <c r="A91" s="142">
        <f t="shared" si="7"/>
        <v>45834</v>
      </c>
      <c r="B91" s="143">
        <f>YEAR(Table13[[#This Row],[Date]])+IF(MONTH(Table13[[#This Row],[Date]])&gt;=4,1,0)</f>
        <v>2026</v>
      </c>
      <c r="C91" s="116">
        <f>YEAR(Table13[[#This Row],[Date]])</f>
        <v>2025</v>
      </c>
      <c r="D91" s="144">
        <f>Table13[[#This Row],[Date]]-DAY(Table13[[#This Row],[Date]])+1</f>
        <v>45809</v>
      </c>
      <c r="E91" s="116">
        <f t="shared" si="4"/>
        <v>30</v>
      </c>
      <c r="F91" s="117">
        <f>IFERROR(_xlfn.XLOOKUP($A91,'Raw Data'!$G:$G,'Raw Data'!$AH:$AH),"")</f>
        <v>12.583333333333334</v>
      </c>
      <c r="G91" s="118">
        <f>IFERROR(_xlfn.XLOOKUP($A91,'Raw Data'!$G:$G,'Raw Data'!$S:$S)/1000,"")</f>
        <v>0</v>
      </c>
      <c r="H91" s="118"/>
      <c r="I91" s="118">
        <f>IFERROR(_xlfn.XLOOKUP($A91,'Raw Data'!$G:$G,'Raw Data'!$AF:$AF)/1000,"")</f>
        <v>3.7280000000000002</v>
      </c>
      <c r="J91" s="118"/>
      <c r="K91" s="118">
        <f>IFERROR(_xlfn.XLOOKUP($A91,'Raw Data'!$G:$G,'Raw Data'!W:W),"")</f>
        <v>23</v>
      </c>
      <c r="L91" s="118">
        <f>IFERROR(_xlfn.XLOOKUP($A91,'Raw Data'!$G:$G,'Raw Data'!X:X),"")</f>
        <v>33.5</v>
      </c>
      <c r="M91" s="118">
        <f>IFERROR(_xlfn.XLOOKUP($A91,'Raw Data'!$G:$G,'Raw Data'!Y:Y),"")</f>
        <v>4</v>
      </c>
      <c r="N91" s="118">
        <f>IFERROR(_xlfn.XLOOKUP($A91,'Raw Data'!$G:$G,'Raw Data'!Z:Z),"")</f>
        <v>8</v>
      </c>
      <c r="O91" s="145">
        <f>IFERROR(1-SUMIF('Plant BD'!$B:$B,$A91,'Plant BD'!$AM:$AM)/($AA91+SUMIF('Plant BD'!$B:$B,$A91,'Plant BD'!$AM:$AM)),"")</f>
        <v>1</v>
      </c>
      <c r="P91" s="145"/>
      <c r="Q91" s="146"/>
      <c r="R91" s="145">
        <f>IFERROR(1-SUMIF('Grid BD'!$B:$B,$A91,'Grid BD'!$AE:$AE)/($AA91+SUMIF('Grid BD'!$B:$B,$A91,'Grid BD'!$AE:$AE)),"")</f>
        <v>1</v>
      </c>
      <c r="T91" s="146">
        <f>IFERROR(1-SUMIF(Tracker_BD!$H:$H,$A91,Tracker_BD!AI:AI)/$F91,"")</f>
        <v>0.98620309050772625</v>
      </c>
      <c r="U91" s="147">
        <f t="shared" si="5"/>
        <v>0.78960847895815445</v>
      </c>
      <c r="V91" s="147"/>
      <c r="W91" s="148">
        <f t="shared" si="6"/>
        <v>0.12265251706483332</v>
      </c>
      <c r="X91" s="143">
        <f>IFERROR(_xlfn.XLOOKUP($A91,'Raw Data'!$G:$G,'Raw Data'!$AB:$AB),"")</f>
        <v>34650</v>
      </c>
      <c r="Y91" s="143">
        <f>IFERROR(_xlfn.XLOOKUP($A91,'Raw Data'!$G:$G,'Raw Data'!AC:AC),"")</f>
        <v>34657.399999996414</v>
      </c>
      <c r="Z91" s="143">
        <f>IFERROR(_xlfn.XLOOKUP($A91,'Raw Data'!$G:$G,'Raw Data'!AD:AD),"")</f>
        <v>157.70000000009077</v>
      </c>
      <c r="AA91" s="143">
        <f>IFERROR(_xlfn.XLOOKUP($A91,'Raw Data'!$G:$G,'Raw Data'!AE:AE)*(1+(_xlfn.XLOOKUP(Table13[[#This Row],[Month Year]],JMR!$A:$A,JMR!$J:$J))),"")</f>
        <v>34499.699999996323</v>
      </c>
      <c r="AB91" s="143">
        <f>IFERROR(_xlfn.XLOOKUP($A91,'Raw Data'!$G:$G,'Raw Data'!$H:$H),"")</f>
        <v>11.72</v>
      </c>
      <c r="AC91" s="149">
        <f>IFERROR(_xlfn.XLOOKUP($D91,'Modelling New'!$D:$D,'Modelling New'!$P:$P),"")</f>
        <v>5.617271453333335</v>
      </c>
      <c r="AD91" s="143">
        <f>IFERROR(_xlfn.XLOOKUP($D91,'Modelling New'!$D:$D,'Modelling New'!$T:$T)*1000,"")</f>
        <v>47413.538853540602</v>
      </c>
      <c r="AE91" s="148">
        <f>IFERROR(_xlfn.XLOOKUP($D91,'Modelling New'!$D:$D,'Modelling New'!$O:$O),"")</f>
        <v>0.72019375003918806</v>
      </c>
      <c r="AF91" s="148">
        <f>IFERROR(_xlfn.XLOOKUP($D91,'Modelling New'!$D:$D,'Modelling New'!$W:$W),"")</f>
        <v>0.16856349137350896</v>
      </c>
      <c r="AG91" s="148">
        <f>IFERROR(_xlfn.XLOOKUP($D91,'Modelling New'!$D:$D,'Modelling New'!AE:AE),"")</f>
        <v>0.995</v>
      </c>
      <c r="AH91" s="148">
        <f>IFERROR(_xlfn.XLOOKUP($D91,'Modelling New'!$D:$D,'Modelling New'!AF:AF),"")</f>
        <v>0.98550000000000004</v>
      </c>
      <c r="AN91" s="145"/>
      <c r="AO91" s="148"/>
      <c r="AP91" s="148"/>
      <c r="AQ91" s="148"/>
      <c r="AR91" s="143">
        <f>IFERROR(_xlfn.XLOOKUP($D91,'Modelling New'!$D:$D,'Modelling New'!$N:$N),"")</f>
        <v>11.72</v>
      </c>
      <c r="AT91" s="143">
        <f>IFERROR(_xlfn.XLOOKUP(Table13[[#This Row],[Date]],'Raw Data'!$G:$G,'Raw Data'!$AJ:$AJ),"")</f>
        <v>0</v>
      </c>
      <c r="AU91" s="143">
        <f>IFERROR(_xlfn.XLOOKUP(Table13[[#This Row],[Month Year]],'Modelling New'!$D:$D,'Modelling New'!$AO:$AO),"")</f>
        <v>10</v>
      </c>
      <c r="AV91" s="143"/>
    </row>
    <row r="92" spans="1:48">
      <c r="A92" s="142">
        <f t="shared" si="7"/>
        <v>45835</v>
      </c>
      <c r="B92" s="143">
        <f>YEAR(Table13[[#This Row],[Date]])+IF(MONTH(Table13[[#This Row],[Date]])&gt;=4,1,0)</f>
        <v>2026</v>
      </c>
      <c r="C92" s="116">
        <f>YEAR(Table13[[#This Row],[Date]])</f>
        <v>2025</v>
      </c>
      <c r="D92" s="144">
        <f>Table13[[#This Row],[Date]]-DAY(Table13[[#This Row],[Date]])+1</f>
        <v>45809</v>
      </c>
      <c r="E92" s="116">
        <f t="shared" si="4"/>
        <v>30</v>
      </c>
      <c r="F92" s="117">
        <f>IFERROR(_xlfn.XLOOKUP($A92,'Raw Data'!$G:$G,'Raw Data'!$AH:$AH),"")</f>
        <v>12.766666666666666</v>
      </c>
      <c r="G92" s="118">
        <f>IFERROR(_xlfn.XLOOKUP($A92,'Raw Data'!$G:$G,'Raw Data'!$S:$S)/1000,"")</f>
        <v>0</v>
      </c>
      <c r="H92" s="118"/>
      <c r="I92" s="118">
        <f>IFERROR(_xlfn.XLOOKUP($A92,'Raw Data'!$G:$G,'Raw Data'!$AF:$AF)/1000,"")</f>
        <v>6.3665000000000003</v>
      </c>
      <c r="J92" s="118"/>
      <c r="K92" s="118">
        <f>IFERROR(_xlfn.XLOOKUP($A92,'Raw Data'!$G:$G,'Raw Data'!W:W),"")</f>
        <v>24</v>
      </c>
      <c r="L92" s="118">
        <f>IFERROR(_xlfn.XLOOKUP($A92,'Raw Data'!$G:$G,'Raw Data'!X:X),"")</f>
        <v>39</v>
      </c>
      <c r="M92" s="118">
        <f>IFERROR(_xlfn.XLOOKUP($A92,'Raw Data'!$G:$G,'Raw Data'!Y:Y),"")</f>
        <v>4</v>
      </c>
      <c r="N92" s="118">
        <f>IFERROR(_xlfn.XLOOKUP($A92,'Raw Data'!$G:$G,'Raw Data'!Z:Z),"")</f>
        <v>8</v>
      </c>
      <c r="O92" s="145">
        <f>IFERROR(1-SUMIF('Plant BD'!$B:$B,$A92,'Plant BD'!$AM:$AM)/($AA92+SUMIF('Plant BD'!$B:$B,$A92,'Plant BD'!$AM:$AM)),"")</f>
        <v>1</v>
      </c>
      <c r="P92" s="145"/>
      <c r="Q92" s="146"/>
      <c r="R92" s="145">
        <f>IFERROR(1-SUMIF('Grid BD'!$B:$B,$A92,'Grid BD'!$AE:$AE)/($AA92+SUMIF('Grid BD'!$B:$B,$A92,'Grid BD'!$AE:$AE)),"")</f>
        <v>1</v>
      </c>
      <c r="T92" s="146">
        <f>IFERROR(1-SUMIF(Tracker_BD!$H:$H,$A92,Tracker_BD!AI:AI)/$F92,"")</f>
        <v>0.98625116293028425</v>
      </c>
      <c r="U92" s="147">
        <f t="shared" si="5"/>
        <v>0.7239539623067095</v>
      </c>
      <c r="V92" s="147"/>
      <c r="W92" s="148">
        <f t="shared" si="6"/>
        <v>0.19204387087606939</v>
      </c>
      <c r="X92" s="143">
        <f>IFERROR(_xlfn.XLOOKUP($A92,'Raw Data'!$G:$G,'Raw Data'!$AB:$AB),"")</f>
        <v>54258</v>
      </c>
      <c r="Y92" s="143">
        <f>IFERROR(_xlfn.XLOOKUP($A92,'Raw Data'!$G:$G,'Raw Data'!AC:AC),"")</f>
        <v>54219.800000020768</v>
      </c>
      <c r="Z92" s="143">
        <f>IFERROR(_xlfn.XLOOKUP($A92,'Raw Data'!$G:$G,'Raw Data'!AD:AD),"")</f>
        <v>201.6999999999598</v>
      </c>
      <c r="AA92" s="143">
        <f>IFERROR(_xlfn.XLOOKUP($A92,'Raw Data'!$G:$G,'Raw Data'!AE:AE)*(1+(_xlfn.XLOOKUP(Table13[[#This Row],[Month Year]],JMR!$A:$A,JMR!$J:$J))),"")</f>
        <v>54018.100000020808</v>
      </c>
      <c r="AB92" s="143">
        <f>IFERROR(_xlfn.XLOOKUP($A92,'Raw Data'!$G:$G,'Raw Data'!$H:$H),"")</f>
        <v>11.72</v>
      </c>
      <c r="AC92" s="149">
        <f>IFERROR(_xlfn.XLOOKUP($D92,'Modelling New'!$D:$D,'Modelling New'!$P:$P),"")</f>
        <v>5.617271453333335</v>
      </c>
      <c r="AD92" s="143">
        <f>IFERROR(_xlfn.XLOOKUP($D92,'Modelling New'!$D:$D,'Modelling New'!$T:$T)*1000,"")</f>
        <v>47413.538853540602</v>
      </c>
      <c r="AE92" s="148">
        <f>IFERROR(_xlfn.XLOOKUP($D92,'Modelling New'!$D:$D,'Modelling New'!$O:$O),"")</f>
        <v>0.72019375003918806</v>
      </c>
      <c r="AF92" s="148">
        <f>IFERROR(_xlfn.XLOOKUP($D92,'Modelling New'!$D:$D,'Modelling New'!$W:$W),"")</f>
        <v>0.16856349137350896</v>
      </c>
      <c r="AG92" s="148">
        <f>IFERROR(_xlfn.XLOOKUP($D92,'Modelling New'!$D:$D,'Modelling New'!AE:AE),"")</f>
        <v>0.995</v>
      </c>
      <c r="AH92" s="148">
        <f>IFERROR(_xlfn.XLOOKUP($D92,'Modelling New'!$D:$D,'Modelling New'!AF:AF),"")</f>
        <v>0.98550000000000004</v>
      </c>
      <c r="AN92" s="145"/>
      <c r="AO92" s="148"/>
      <c r="AP92" s="148"/>
      <c r="AQ92" s="148"/>
      <c r="AR92" s="143">
        <f>IFERROR(_xlfn.XLOOKUP($D92,'Modelling New'!$D:$D,'Modelling New'!$N:$N),"")</f>
        <v>11.72</v>
      </c>
      <c r="AT92" s="143">
        <f>IFERROR(_xlfn.XLOOKUP(Table13[[#This Row],[Date]],'Raw Data'!$G:$G,'Raw Data'!$AJ:$AJ),"")</f>
        <v>0</v>
      </c>
      <c r="AU92" s="143">
        <f>IFERROR(_xlfn.XLOOKUP(Table13[[#This Row],[Month Year]],'Modelling New'!$D:$D,'Modelling New'!$AO:$AO),"")</f>
        <v>10</v>
      </c>
      <c r="AV92" s="143"/>
    </row>
    <row r="93" spans="1:48">
      <c r="A93" s="142">
        <f t="shared" si="7"/>
        <v>45836</v>
      </c>
      <c r="B93" s="143">
        <f>YEAR(Table13[[#This Row],[Date]])+IF(MONTH(Table13[[#This Row],[Date]])&gt;=4,1,0)</f>
        <v>2026</v>
      </c>
      <c r="C93" s="116">
        <f>YEAR(Table13[[#This Row],[Date]])</f>
        <v>2025</v>
      </c>
      <c r="D93" s="144">
        <f>Table13[[#This Row],[Date]]-DAY(Table13[[#This Row],[Date]])+1</f>
        <v>45809</v>
      </c>
      <c r="E93" s="116">
        <f t="shared" si="4"/>
        <v>30</v>
      </c>
      <c r="F93" s="117">
        <f>IFERROR(_xlfn.XLOOKUP($A93,'Raw Data'!$G:$G,'Raw Data'!$AH:$AH),"")</f>
        <v>12.8</v>
      </c>
      <c r="G93" s="118">
        <f>IFERROR(_xlfn.XLOOKUP($A93,'Raw Data'!$G:$G,'Raw Data'!$S:$S)/1000,"")</f>
        <v>0</v>
      </c>
      <c r="H93" s="118"/>
      <c r="I93" s="118">
        <f>IFERROR(_xlfn.XLOOKUP($A93,'Raw Data'!$G:$G,'Raw Data'!$AF:$AF)/1000,"")</f>
        <v>5.7450000000000001</v>
      </c>
      <c r="J93" s="118"/>
      <c r="K93" s="118">
        <f>IFERROR(_xlfn.XLOOKUP($A93,'Raw Data'!$G:$G,'Raw Data'!W:W),"")</f>
        <v>24</v>
      </c>
      <c r="L93" s="118">
        <f>IFERROR(_xlfn.XLOOKUP($A93,'Raw Data'!$G:$G,'Raw Data'!X:X),"")</f>
        <v>39</v>
      </c>
      <c r="M93" s="118">
        <f>IFERROR(_xlfn.XLOOKUP($A93,'Raw Data'!$G:$G,'Raw Data'!Y:Y),"")</f>
        <v>4</v>
      </c>
      <c r="N93" s="118">
        <f>IFERROR(_xlfn.XLOOKUP($A93,'Raw Data'!$G:$G,'Raw Data'!Z:Z),"")</f>
        <v>9</v>
      </c>
      <c r="O93" s="145">
        <f>IFERROR(1-SUMIF('Plant BD'!$B:$B,$A93,'Plant BD'!$AM:$AM)/($AA93+SUMIF('Plant BD'!$B:$B,$A93,'Plant BD'!$AM:$AM)),"")</f>
        <v>1</v>
      </c>
      <c r="P93" s="145"/>
      <c r="Q93" s="146"/>
      <c r="R93" s="145">
        <f>IFERROR(1-SUMIF('Grid BD'!$B:$B,$A93,'Grid BD'!$AE:$AE)/($AA93+SUMIF('Grid BD'!$B:$B,$A93,'Grid BD'!$AE:$AE)),"")</f>
        <v>1</v>
      </c>
      <c r="T93" s="146">
        <f>IFERROR(1-SUMIF(Tracker_BD!$H:$H,$A93,Tracker_BD!AI:AI)/$F93,"")</f>
        <v>0.98628696719348663</v>
      </c>
      <c r="U93" s="147">
        <f t="shared" si="5"/>
        <v>0.73524833881339546</v>
      </c>
      <c r="V93" s="147"/>
      <c r="W93" s="148">
        <f t="shared" si="6"/>
        <v>0.1760000711034565</v>
      </c>
      <c r="X93" s="143">
        <f>IFERROR(_xlfn.XLOOKUP($A93,'Raw Data'!$G:$G,'Raw Data'!$AB:$AB),"")</f>
        <v>49754</v>
      </c>
      <c r="Y93" s="143">
        <f>IFERROR(_xlfn.XLOOKUP($A93,'Raw Data'!$G:$G,'Raw Data'!AC:AC),"")</f>
        <v>49697.499999980209</v>
      </c>
      <c r="Z93" s="143">
        <f>IFERROR(_xlfn.XLOOKUP($A93,'Raw Data'!$G:$G,'Raw Data'!AD:AD),"")</f>
        <v>192.19999999995707</v>
      </c>
      <c r="AA93" s="143">
        <f>IFERROR(_xlfn.XLOOKUP($A93,'Raw Data'!$G:$G,'Raw Data'!AE:AE)*(1+(_xlfn.XLOOKUP(Table13[[#This Row],[Month Year]],JMR!$A:$A,JMR!$J:$J))),"")</f>
        <v>49505.299999980256</v>
      </c>
      <c r="AB93" s="143">
        <f>IFERROR(_xlfn.XLOOKUP($A93,'Raw Data'!$G:$G,'Raw Data'!$H:$H),"")</f>
        <v>11.72</v>
      </c>
      <c r="AC93" s="149">
        <f>IFERROR(_xlfn.XLOOKUP($D93,'Modelling New'!$D:$D,'Modelling New'!$P:$P),"")</f>
        <v>5.617271453333335</v>
      </c>
      <c r="AD93" s="143">
        <f>IFERROR(_xlfn.XLOOKUP($D93,'Modelling New'!$D:$D,'Modelling New'!$T:$T)*1000,"")</f>
        <v>47413.538853540602</v>
      </c>
      <c r="AE93" s="148">
        <f>IFERROR(_xlfn.XLOOKUP($D93,'Modelling New'!$D:$D,'Modelling New'!$O:$O),"")</f>
        <v>0.72019375003918806</v>
      </c>
      <c r="AF93" s="148">
        <f>IFERROR(_xlfn.XLOOKUP($D93,'Modelling New'!$D:$D,'Modelling New'!$W:$W),"")</f>
        <v>0.16856349137350896</v>
      </c>
      <c r="AG93" s="148">
        <f>IFERROR(_xlfn.XLOOKUP($D93,'Modelling New'!$D:$D,'Modelling New'!AE:AE),"")</f>
        <v>0.995</v>
      </c>
      <c r="AH93" s="148">
        <f>IFERROR(_xlfn.XLOOKUP($D93,'Modelling New'!$D:$D,'Modelling New'!AF:AF),"")</f>
        <v>0.98550000000000004</v>
      </c>
      <c r="AN93" s="145"/>
      <c r="AO93" s="148"/>
      <c r="AP93" s="148"/>
      <c r="AQ93" s="148"/>
      <c r="AR93" s="143">
        <f>IFERROR(_xlfn.XLOOKUP($D93,'Modelling New'!$D:$D,'Modelling New'!$N:$N),"")</f>
        <v>11.72</v>
      </c>
      <c r="AT93" s="143">
        <f>IFERROR(_xlfn.XLOOKUP(Table13[[#This Row],[Date]],'Raw Data'!$G:$G,'Raw Data'!$AJ:$AJ),"")</f>
        <v>0</v>
      </c>
      <c r="AU93" s="143">
        <f>IFERROR(_xlfn.XLOOKUP(Table13[[#This Row],[Month Year]],'Modelling New'!$D:$D,'Modelling New'!$AO:$AO),"")</f>
        <v>10</v>
      </c>
      <c r="AV93" s="143"/>
    </row>
    <row r="94" spans="1:48">
      <c r="A94" s="142">
        <f t="shared" si="7"/>
        <v>45837</v>
      </c>
      <c r="B94" s="143">
        <f>YEAR(Table13[[#This Row],[Date]])+IF(MONTH(Table13[[#This Row],[Date]])&gt;=4,1,0)</f>
        <v>2026</v>
      </c>
      <c r="C94" s="116">
        <f>YEAR(Table13[[#This Row],[Date]])</f>
        <v>2025</v>
      </c>
      <c r="D94" s="144">
        <f>Table13[[#This Row],[Date]]-DAY(Table13[[#This Row],[Date]])+1</f>
        <v>45809</v>
      </c>
      <c r="E94" s="116">
        <f t="shared" si="4"/>
        <v>30</v>
      </c>
      <c r="F94" s="117">
        <f>IFERROR(_xlfn.XLOOKUP($A94,'Raw Data'!$G:$G,'Raw Data'!$AH:$AH),"")</f>
        <v>12.65</v>
      </c>
      <c r="G94" s="118">
        <f>IFERROR(_xlfn.XLOOKUP($A94,'Raw Data'!$G:$G,'Raw Data'!$S:$S)/1000,"")</f>
        <v>0</v>
      </c>
      <c r="H94" s="118"/>
      <c r="I94" s="118">
        <f>IFERROR(_xlfn.XLOOKUP($A94,'Raw Data'!$G:$G,'Raw Data'!$AF:$AF)/1000,"")</f>
        <v>4.0374999999999996</v>
      </c>
      <c r="J94" s="118"/>
      <c r="K94" s="118">
        <f>IFERROR(_xlfn.XLOOKUP($A94,'Raw Data'!$G:$G,'Raw Data'!W:W),"")</f>
        <v>23</v>
      </c>
      <c r="L94" s="118">
        <f>IFERROR(_xlfn.XLOOKUP($A94,'Raw Data'!$G:$G,'Raw Data'!X:X),"")</f>
        <v>32</v>
      </c>
      <c r="M94" s="118">
        <f>IFERROR(_xlfn.XLOOKUP($A94,'Raw Data'!$G:$G,'Raw Data'!Y:Y),"")</f>
        <v>5</v>
      </c>
      <c r="N94" s="118">
        <f>IFERROR(_xlfn.XLOOKUP($A94,'Raw Data'!$G:$G,'Raw Data'!Z:Z),"")</f>
        <v>9</v>
      </c>
      <c r="O94" s="145">
        <f>IFERROR(1-SUMIF('Plant BD'!$B:$B,$A94,'Plant BD'!$AM:$AM)/($AA94+SUMIF('Plant BD'!$B:$B,$A94,'Plant BD'!$AM:$AM)),"")</f>
        <v>1</v>
      </c>
      <c r="P94" s="145"/>
      <c r="Q94" s="146"/>
      <c r="R94" s="145">
        <f>IFERROR(1-SUMIF('Grid BD'!$B:$B,$A94,'Grid BD'!$AE:$AE)/($AA94+SUMIF('Grid BD'!$B:$B,$A94,'Grid BD'!$AE:$AE)),"")</f>
        <v>1</v>
      </c>
      <c r="T94" s="146">
        <f>IFERROR(1-SUMIF(Tracker_BD!$H:$H,$A94,Tracker_BD!AI:AI)/$F94,"")</f>
        <v>0.98606757227446884</v>
      </c>
      <c r="U94" s="147">
        <f t="shared" si="5"/>
        <v>0.76478830080646132</v>
      </c>
      <c r="V94" s="147"/>
      <c r="W94" s="148">
        <f t="shared" si="6"/>
        <v>0.12865969852108694</v>
      </c>
      <c r="X94" s="143">
        <f>IFERROR(_xlfn.XLOOKUP($A94,'Raw Data'!$G:$G,'Raw Data'!$AB:$AB),"")</f>
        <v>36426</v>
      </c>
      <c r="Y94" s="143">
        <f>IFERROR(_xlfn.XLOOKUP($A94,'Raw Data'!$G:$G,'Raw Data'!AC:AC),"")</f>
        <v>36402.200000011362</v>
      </c>
      <c r="Z94" s="143">
        <f>IFERROR(_xlfn.XLOOKUP($A94,'Raw Data'!$G:$G,'Raw Data'!AD:AD),"")</f>
        <v>212.80000000001564</v>
      </c>
      <c r="AA94" s="143">
        <f>IFERROR(_xlfn.XLOOKUP($A94,'Raw Data'!$G:$G,'Raw Data'!AE:AE)*(1+(_xlfn.XLOOKUP(Table13[[#This Row],[Month Year]],JMR!$A:$A,JMR!$J:$J))),"")</f>
        <v>36189.400000011345</v>
      </c>
      <c r="AB94" s="143">
        <f>IFERROR(_xlfn.XLOOKUP($A94,'Raw Data'!$G:$G,'Raw Data'!$H:$H),"")</f>
        <v>11.72</v>
      </c>
      <c r="AC94" s="149">
        <f>IFERROR(_xlfn.XLOOKUP($D94,'Modelling New'!$D:$D,'Modelling New'!$P:$P),"")</f>
        <v>5.617271453333335</v>
      </c>
      <c r="AD94" s="143">
        <f>IFERROR(_xlfn.XLOOKUP($D94,'Modelling New'!$D:$D,'Modelling New'!$T:$T)*1000,"")</f>
        <v>47413.538853540602</v>
      </c>
      <c r="AE94" s="148">
        <f>IFERROR(_xlfn.XLOOKUP($D94,'Modelling New'!$D:$D,'Modelling New'!$O:$O),"")</f>
        <v>0.72019375003918806</v>
      </c>
      <c r="AF94" s="148">
        <f>IFERROR(_xlfn.XLOOKUP($D94,'Modelling New'!$D:$D,'Modelling New'!$W:$W),"")</f>
        <v>0.16856349137350896</v>
      </c>
      <c r="AG94" s="148">
        <f>IFERROR(_xlfn.XLOOKUP($D94,'Modelling New'!$D:$D,'Modelling New'!AE:AE),"")</f>
        <v>0.995</v>
      </c>
      <c r="AH94" s="148">
        <f>IFERROR(_xlfn.XLOOKUP($D94,'Modelling New'!$D:$D,'Modelling New'!AF:AF),"")</f>
        <v>0.98550000000000004</v>
      </c>
      <c r="AN94" s="145"/>
      <c r="AO94" s="148"/>
      <c r="AP94" s="148"/>
      <c r="AQ94" s="148"/>
      <c r="AR94" s="143">
        <f>IFERROR(_xlfn.XLOOKUP($D94,'Modelling New'!$D:$D,'Modelling New'!$N:$N),"")</f>
        <v>11.72</v>
      </c>
      <c r="AT94" s="143">
        <f>IFERROR(_xlfn.XLOOKUP(Table13[[#This Row],[Date]],'Raw Data'!$G:$G,'Raw Data'!$AJ:$AJ),"")</f>
        <v>0</v>
      </c>
      <c r="AU94" s="143">
        <f>IFERROR(_xlfn.XLOOKUP(Table13[[#This Row],[Month Year]],'Modelling New'!$D:$D,'Modelling New'!$AO:$AO),"")</f>
        <v>10</v>
      </c>
      <c r="AV94" s="143"/>
    </row>
    <row r="95" spans="1:48">
      <c r="A95" s="142">
        <f t="shared" si="7"/>
        <v>45838</v>
      </c>
      <c r="B95" s="143">
        <f>YEAR(Table13[[#This Row],[Date]])+IF(MONTH(Table13[[#This Row],[Date]])&gt;=4,1,0)</f>
        <v>2026</v>
      </c>
      <c r="C95" s="116">
        <f>YEAR(Table13[[#This Row],[Date]])</f>
        <v>2025</v>
      </c>
      <c r="D95" s="144">
        <f>Table13[[#This Row],[Date]]-DAY(Table13[[#This Row],[Date]])+1</f>
        <v>45809</v>
      </c>
      <c r="E95" s="116">
        <f t="shared" si="4"/>
        <v>30</v>
      </c>
      <c r="F95" s="117">
        <f>IFERROR(_xlfn.XLOOKUP($A95,'Raw Data'!$G:$G,'Raw Data'!$AH:$AH),"")</f>
        <v>11.6</v>
      </c>
      <c r="G95" s="118">
        <f>IFERROR(_xlfn.XLOOKUP($A95,'Raw Data'!$G:$G,'Raw Data'!$S:$S)/1000,"")</f>
        <v>0</v>
      </c>
      <c r="H95" s="118"/>
      <c r="I95" s="118">
        <f>IFERROR(_xlfn.XLOOKUP($A95,'Raw Data'!$G:$G,'Raw Data'!$AF:$AF)/1000,"")</f>
        <v>3.536</v>
      </c>
      <c r="J95" s="118"/>
      <c r="K95" s="118">
        <f>IFERROR(_xlfn.XLOOKUP($A95,'Raw Data'!$G:$G,'Raw Data'!W:W),"")</f>
        <v>23</v>
      </c>
      <c r="L95" s="118">
        <f>IFERROR(_xlfn.XLOOKUP($A95,'Raw Data'!$G:$G,'Raw Data'!X:X),"")</f>
        <v>33</v>
      </c>
      <c r="M95" s="118">
        <f>IFERROR(_xlfn.XLOOKUP($A95,'Raw Data'!$G:$G,'Raw Data'!Y:Y),"")</f>
        <v>4</v>
      </c>
      <c r="N95" s="118">
        <f>IFERROR(_xlfn.XLOOKUP($A95,'Raw Data'!$G:$G,'Raw Data'!Z:Z),"")</f>
        <v>9</v>
      </c>
      <c r="O95" s="145">
        <f>IFERROR(1-SUMIF('Plant BD'!$B:$B,$A95,'Plant BD'!$AM:$AM)/($AA95+SUMIF('Plant BD'!$B:$B,$A95,'Plant BD'!$AM:$AM)),"")</f>
        <v>1</v>
      </c>
      <c r="P95" s="145"/>
      <c r="Q95" s="146"/>
      <c r="R95" s="145">
        <f>IFERROR(1-SUMIF('Grid BD'!$B:$B,$A95,'Grid BD'!$AE:$AE)/($AA95+SUMIF('Grid BD'!$B:$B,$A95,'Grid BD'!$AE:$AE)),"")</f>
        <v>1</v>
      </c>
      <c r="T95" s="146">
        <f>IFERROR(1-SUMIF(Tracker_BD!$H:$H,$A95,Tracker_BD!AI:AI)/$F95,"")</f>
        <v>0.98515738538776587</v>
      </c>
      <c r="U95" s="147">
        <f t="shared" si="5"/>
        <v>0.79750166015429902</v>
      </c>
      <c r="V95" s="147"/>
      <c r="W95" s="148">
        <f t="shared" si="6"/>
        <v>0.11749857792940004</v>
      </c>
      <c r="X95" s="143">
        <f>IFERROR(_xlfn.XLOOKUP($A95,'Raw Data'!$G:$G,'Raw Data'!$AB:$AB),"")</f>
        <v>33217</v>
      </c>
      <c r="Y95" s="143">
        <f>IFERROR(_xlfn.XLOOKUP($A95,'Raw Data'!$G:$G,'Raw Data'!AC:AC),"")</f>
        <v>33181.5999999817</v>
      </c>
      <c r="Z95" s="143">
        <f>IFERROR(_xlfn.XLOOKUP($A95,'Raw Data'!$G:$G,'Raw Data'!AD:AD),"")</f>
        <v>131.60000000004857</v>
      </c>
      <c r="AA95" s="143">
        <f>IFERROR(_xlfn.XLOOKUP($A95,'Raw Data'!$G:$G,'Raw Data'!AE:AE)*(1+(_xlfn.XLOOKUP(Table13[[#This Row],[Month Year]],JMR!$A:$A,JMR!$J:$J))),"")</f>
        <v>33049.99999998165</v>
      </c>
      <c r="AB95" s="143">
        <f>IFERROR(_xlfn.XLOOKUP($A95,'Raw Data'!$G:$G,'Raw Data'!$H:$H),"")</f>
        <v>11.72</v>
      </c>
      <c r="AC95" s="149">
        <f>IFERROR(_xlfn.XLOOKUP($D95,'Modelling New'!$D:$D,'Modelling New'!$P:$P),"")</f>
        <v>5.617271453333335</v>
      </c>
      <c r="AD95" s="143">
        <f>IFERROR(_xlfn.XLOOKUP($D95,'Modelling New'!$D:$D,'Modelling New'!$T:$T)*1000,"")</f>
        <v>47413.538853540602</v>
      </c>
      <c r="AE95" s="148">
        <f>IFERROR(_xlfn.XLOOKUP($D95,'Modelling New'!$D:$D,'Modelling New'!$O:$O),"")</f>
        <v>0.72019375003918806</v>
      </c>
      <c r="AF95" s="148">
        <f>IFERROR(_xlfn.XLOOKUP($D95,'Modelling New'!$D:$D,'Modelling New'!$W:$W),"")</f>
        <v>0.16856349137350896</v>
      </c>
      <c r="AG95" s="148">
        <f>IFERROR(_xlfn.XLOOKUP($D95,'Modelling New'!$D:$D,'Modelling New'!AE:AE),"")</f>
        <v>0.995</v>
      </c>
      <c r="AH95" s="148">
        <f>IFERROR(_xlfn.XLOOKUP($D95,'Modelling New'!$D:$D,'Modelling New'!AF:AF),"")</f>
        <v>0.98550000000000004</v>
      </c>
      <c r="AN95" s="145"/>
      <c r="AO95" s="148"/>
      <c r="AP95" s="148"/>
      <c r="AQ95" s="148"/>
      <c r="AR95" s="143">
        <f>IFERROR(_xlfn.XLOOKUP($D95,'Modelling New'!$D:$D,'Modelling New'!$N:$N),"")</f>
        <v>11.72</v>
      </c>
      <c r="AT95" s="143">
        <f>IFERROR(_xlfn.XLOOKUP(Table13[[#This Row],[Date]],'Raw Data'!$G:$G,'Raw Data'!$AJ:$AJ),"")</f>
        <v>0</v>
      </c>
      <c r="AU95" s="143">
        <f>IFERROR(_xlfn.XLOOKUP(Table13[[#This Row],[Month Year]],'Modelling New'!$D:$D,'Modelling New'!$AO:$AO),"")</f>
        <v>10</v>
      </c>
      <c r="AV95" s="143"/>
    </row>
    <row r="96" spans="1:48">
      <c r="A96" s="142">
        <f t="shared" si="7"/>
        <v>45839</v>
      </c>
      <c r="B96" s="143">
        <f>YEAR(Table13[[#This Row],[Date]])+IF(MONTH(Table13[[#This Row],[Date]])&gt;=4,1,0)</f>
        <v>2026</v>
      </c>
      <c r="C96" s="116">
        <f>YEAR(Table13[[#This Row],[Date]])</f>
        <v>2025</v>
      </c>
      <c r="D96" s="144">
        <f>Table13[[#This Row],[Date]]-DAY(Table13[[#This Row],[Date]])+1</f>
        <v>45839</v>
      </c>
      <c r="E96" s="116">
        <f t="shared" si="4"/>
        <v>31</v>
      </c>
      <c r="F96" s="117">
        <f>IFERROR(_xlfn.XLOOKUP($A96,'Raw Data'!$G:$G,'Raw Data'!$AH:$AH),"")</f>
        <v>12.299999999999999</v>
      </c>
      <c r="G96" s="118">
        <f>IFERROR(_xlfn.XLOOKUP($A96,'Raw Data'!$G:$G,'Raw Data'!$S:$S)/1000,"")</f>
        <v>0</v>
      </c>
      <c r="H96" s="118"/>
      <c r="I96" s="118">
        <f>IFERROR(_xlfn.XLOOKUP($A96,'Raw Data'!$G:$G,'Raw Data'!$AF:$AF)/1000,"")</f>
        <v>2.9095</v>
      </c>
      <c r="J96" s="118"/>
      <c r="K96" s="118">
        <f>IFERROR(_xlfn.XLOOKUP($A96,'Raw Data'!$G:$G,'Raw Data'!W:W),"")</f>
        <v>23</v>
      </c>
      <c r="L96" s="118">
        <f>IFERROR(_xlfn.XLOOKUP($A96,'Raw Data'!$G:$G,'Raw Data'!X:X),"")</f>
        <v>30</v>
      </c>
      <c r="M96" s="118">
        <f>IFERROR(_xlfn.XLOOKUP($A96,'Raw Data'!$G:$G,'Raw Data'!Y:Y),"")</f>
        <v>4</v>
      </c>
      <c r="N96" s="118">
        <f>IFERROR(_xlfn.XLOOKUP($A96,'Raw Data'!$G:$G,'Raw Data'!Z:Z),"")</f>
        <v>10</v>
      </c>
      <c r="O96" s="145">
        <f>IFERROR(1-SUMIF('Plant BD'!$B:$B,$A96,'Plant BD'!$AM:$AM)/($AA96+SUMIF('Plant BD'!$B:$B,$A96,'Plant BD'!$AM:$AM)),"")</f>
        <v>1</v>
      </c>
      <c r="P96" s="145"/>
      <c r="Q96" s="146"/>
      <c r="R96" s="145">
        <f>IFERROR(1-SUMIF('Grid BD'!$B:$B,$A96,'Grid BD'!$AE:$AE)/($AA96+SUMIF('Grid BD'!$B:$B,$A96,'Grid BD'!$AE:$AE)),"")</f>
        <v>0.83982659279954885</v>
      </c>
      <c r="T96" s="146">
        <f>IFERROR(1-SUMIF(Tracker_BD!$H:$H,$A96,Tracker_BD!AI:AI)/$F96,"")</f>
        <v>0.98592421269040276</v>
      </c>
      <c r="U96" s="147">
        <f t="shared" si="5"/>
        <v>0.68387833899498085</v>
      </c>
      <c r="V96" s="147"/>
      <c r="W96" s="148">
        <f t="shared" si="6"/>
        <v>8.2906001137745683E-2</v>
      </c>
      <c r="X96" s="143">
        <f>IFERROR(_xlfn.XLOOKUP($A96,'Raw Data'!$G:$G,'Raw Data'!$AB:$AB),"")</f>
        <v>23498</v>
      </c>
      <c r="Y96" s="143">
        <f>IFERROR(_xlfn.XLOOKUP($A96,'Raw Data'!$G:$G,'Raw Data'!AC:AC),"")</f>
        <v>23489.500000025146</v>
      </c>
      <c r="Z96" s="143">
        <f>IFERROR(_xlfn.XLOOKUP($A96,'Raw Data'!$G:$G,'Raw Data'!AD:AD),"")</f>
        <v>169.70000000003438</v>
      </c>
      <c r="AA96" s="143">
        <f>IFERROR(_xlfn.XLOOKUP($A96,'Raw Data'!$G:$G,'Raw Data'!AE:AE)*(1+(_xlfn.XLOOKUP(Table13[[#This Row],[Month Year]],JMR!$A:$A,JMR!$J:$J))),"")</f>
        <v>23319.800000025112</v>
      </c>
      <c r="AB96" s="143">
        <f>IFERROR(_xlfn.XLOOKUP($A96,'Raw Data'!$G:$G,'Raw Data'!$H:$H),"")</f>
        <v>11.72</v>
      </c>
      <c r="AC96" s="149">
        <f>IFERROR(_xlfn.XLOOKUP($D96,'Modelling New'!$D:$D,'Modelling New'!$P:$P),"")</f>
        <v>4.6269332580645148</v>
      </c>
      <c r="AD96" s="143">
        <f>IFERROR(_xlfn.XLOOKUP($D96,'Modelling New'!$D:$D,'Modelling New'!$T:$T)*1000,"")</f>
        <v>40702.654142805535</v>
      </c>
      <c r="AE96" s="148">
        <f>IFERROR(_xlfn.XLOOKUP($D96,'Modelling New'!$D:$D,'Modelling New'!$O:$O),"")</f>
        <v>0.75058845994317613</v>
      </c>
      <c r="AF96" s="148">
        <f>IFERROR(_xlfn.XLOOKUP($D96,'Modelling New'!$D:$D,'Modelling New'!$W:$W),"")</f>
        <v>0.14470511285127108</v>
      </c>
      <c r="AG96" s="148">
        <f>IFERROR(_xlfn.XLOOKUP($D96,'Modelling New'!$D:$D,'Modelling New'!AE:AE),"")</f>
        <v>0.995</v>
      </c>
      <c r="AH96" s="148">
        <f>IFERROR(_xlfn.XLOOKUP($D96,'Modelling New'!$D:$D,'Modelling New'!AF:AF),"")</f>
        <v>0.98550000000000004</v>
      </c>
      <c r="AN96" s="145"/>
      <c r="AO96" s="148"/>
      <c r="AP96" s="148"/>
      <c r="AQ96" s="148"/>
      <c r="AR96" s="143">
        <f>IFERROR(_xlfn.XLOOKUP($D96,'Modelling New'!$D:$D,'Modelling New'!$N:$N),"")</f>
        <v>11.72</v>
      </c>
      <c r="AT96" s="143">
        <f>IFERROR(_xlfn.XLOOKUP(Table13[[#This Row],[Date]],'Raw Data'!$G:$G,'Raw Data'!$AJ:$AJ),"")</f>
        <v>0</v>
      </c>
      <c r="AU96" s="143">
        <f>IFERROR(_xlfn.XLOOKUP(Table13[[#This Row],[Month Year]],'Modelling New'!$D:$D,'Modelling New'!$AO:$AO),"")</f>
        <v>10</v>
      </c>
      <c r="AV96" s="143"/>
    </row>
    <row r="97" spans="1:48">
      <c r="A97" s="142">
        <f t="shared" si="7"/>
        <v>45840</v>
      </c>
      <c r="B97" s="143">
        <f>YEAR(Table13[[#This Row],[Date]])+IF(MONTH(Table13[[#This Row],[Date]])&gt;=4,1,0)</f>
        <v>2026</v>
      </c>
      <c r="C97" s="116">
        <f>YEAR(Table13[[#This Row],[Date]])</f>
        <v>2025</v>
      </c>
      <c r="D97" s="144">
        <f>Table13[[#This Row],[Date]]-DAY(Table13[[#This Row],[Date]])+1</f>
        <v>45839</v>
      </c>
      <c r="E97" s="116">
        <f t="shared" si="4"/>
        <v>31</v>
      </c>
      <c r="F97" s="117">
        <f>IFERROR(_xlfn.XLOOKUP($A97,'Raw Data'!$G:$G,'Raw Data'!$AH:$AH),"")</f>
        <v>12.483333333333334</v>
      </c>
      <c r="G97" s="118">
        <f>IFERROR(_xlfn.XLOOKUP($A97,'Raw Data'!$G:$G,'Raw Data'!$S:$S)/1000,"")</f>
        <v>0</v>
      </c>
      <c r="H97" s="118"/>
      <c r="I97" s="118">
        <f>IFERROR(_xlfn.XLOOKUP($A97,'Raw Data'!$G:$G,'Raw Data'!$AF:$AF)/1000,"")</f>
        <v>1.8685</v>
      </c>
      <c r="J97" s="118"/>
      <c r="K97" s="118">
        <f>IFERROR(_xlfn.XLOOKUP($A97,'Raw Data'!$G:$G,'Raw Data'!W:W),"")</f>
        <v>23</v>
      </c>
      <c r="L97" s="118">
        <f>IFERROR(_xlfn.XLOOKUP($A97,'Raw Data'!$G:$G,'Raw Data'!X:X),"")</f>
        <v>27.8</v>
      </c>
      <c r="M97" s="118">
        <f>IFERROR(_xlfn.XLOOKUP($A97,'Raw Data'!$G:$G,'Raw Data'!Y:Y),"")</f>
        <v>4</v>
      </c>
      <c r="N97" s="118">
        <f>IFERROR(_xlfn.XLOOKUP($A97,'Raw Data'!$G:$G,'Raw Data'!Z:Z),"")</f>
        <v>7</v>
      </c>
      <c r="O97" s="145">
        <f>IFERROR(1-SUMIF('Plant BD'!$B:$B,$A97,'Plant BD'!$AM:$AM)/($AA97+SUMIF('Plant BD'!$B:$B,$A97,'Plant BD'!$AM:$AM)),"")</f>
        <v>1</v>
      </c>
      <c r="P97" s="145"/>
      <c r="Q97" s="146"/>
      <c r="R97" s="145">
        <f>IFERROR(1-SUMIF('Grid BD'!$B:$B,$A97,'Grid BD'!$AE:$AE)/($AA97+SUMIF('Grid BD'!$B:$B,$A97,'Grid BD'!$AE:$AE)),"")</f>
        <v>1</v>
      </c>
      <c r="T97" s="146">
        <f>IFERROR(1-SUMIF(Tracker_BD!$H:$H,$A97,Tracker_BD!AI:AI)/$F97,"")</f>
        <v>1.0118564215889385</v>
      </c>
      <c r="U97" s="147">
        <f t="shared" si="5"/>
        <v>0.84424183586094448</v>
      </c>
      <c r="V97" s="147"/>
      <c r="W97" s="148">
        <f t="shared" si="6"/>
        <v>6.5727744596090612E-2</v>
      </c>
      <c r="X97" s="143">
        <f>IFERROR(_xlfn.XLOOKUP($A97,'Raw Data'!$G:$G,'Raw Data'!$AB:$AB),"")</f>
        <v>18730</v>
      </c>
      <c r="Y97" s="143">
        <f>IFERROR(_xlfn.XLOOKUP($A97,'Raw Data'!$G:$G,'Raw Data'!AC:AC),"")</f>
        <v>18674.999999988358</v>
      </c>
      <c r="Z97" s="143">
        <f>IFERROR(_xlfn.XLOOKUP($A97,'Raw Data'!$G:$G,'Raw Data'!AD:AD),"")</f>
        <v>187.09999999998672</v>
      </c>
      <c r="AA97" s="143">
        <f>IFERROR(_xlfn.XLOOKUP($A97,'Raw Data'!$G:$G,'Raw Data'!AE:AE)*(1+(_xlfn.XLOOKUP(Table13[[#This Row],[Month Year]],JMR!$A:$A,JMR!$J:$J))),"")</f>
        <v>18487.899999988371</v>
      </c>
      <c r="AB97" s="143">
        <f>IFERROR(_xlfn.XLOOKUP($A97,'Raw Data'!$G:$G,'Raw Data'!$H:$H),"")</f>
        <v>11.72</v>
      </c>
      <c r="AC97" s="149">
        <f>IFERROR(_xlfn.XLOOKUP($D97,'Modelling New'!$D:$D,'Modelling New'!$P:$P),"")</f>
        <v>4.6269332580645148</v>
      </c>
      <c r="AD97" s="143">
        <f>IFERROR(_xlfn.XLOOKUP($D97,'Modelling New'!$D:$D,'Modelling New'!$T:$T)*1000,"")</f>
        <v>40702.654142805535</v>
      </c>
      <c r="AE97" s="148">
        <f>IFERROR(_xlfn.XLOOKUP($D97,'Modelling New'!$D:$D,'Modelling New'!$O:$O),"")</f>
        <v>0.75058845994317613</v>
      </c>
      <c r="AF97" s="148">
        <f>IFERROR(_xlfn.XLOOKUP($D97,'Modelling New'!$D:$D,'Modelling New'!$W:$W),"")</f>
        <v>0.14470511285127108</v>
      </c>
      <c r="AG97" s="148">
        <f>IFERROR(_xlfn.XLOOKUP($D97,'Modelling New'!$D:$D,'Modelling New'!AE:AE),"")</f>
        <v>0.995</v>
      </c>
      <c r="AH97" s="148">
        <f>IFERROR(_xlfn.XLOOKUP($D97,'Modelling New'!$D:$D,'Modelling New'!AF:AF),"")</f>
        <v>0.98550000000000004</v>
      </c>
      <c r="AN97" s="145"/>
      <c r="AO97" s="148"/>
      <c r="AP97" s="148"/>
      <c r="AQ97" s="148"/>
      <c r="AR97" s="143">
        <f>IFERROR(_xlfn.XLOOKUP($D97,'Modelling New'!$D:$D,'Modelling New'!$N:$N),"")</f>
        <v>11.72</v>
      </c>
      <c r="AT97" s="143">
        <f>IFERROR(_xlfn.XLOOKUP(Table13[[#This Row],[Date]],'Raw Data'!$G:$G,'Raw Data'!$AJ:$AJ),"")</f>
        <v>0</v>
      </c>
      <c r="AU97" s="143">
        <f>IFERROR(_xlfn.XLOOKUP(Table13[[#This Row],[Month Year]],'Modelling New'!$D:$D,'Modelling New'!$AO:$AO),"")</f>
        <v>10</v>
      </c>
      <c r="AV97" s="143"/>
    </row>
    <row r="98" spans="1:48">
      <c r="A98" s="142">
        <f t="shared" si="7"/>
        <v>45841</v>
      </c>
      <c r="B98" s="143">
        <f>YEAR(Table13[[#This Row],[Date]])+IF(MONTH(Table13[[#This Row],[Date]])&gt;=4,1,0)</f>
        <v>2026</v>
      </c>
      <c r="C98" s="116">
        <f>YEAR(Table13[[#This Row],[Date]])</f>
        <v>2025</v>
      </c>
      <c r="D98" s="144">
        <f>Table13[[#This Row],[Date]]-DAY(Table13[[#This Row],[Date]])+1</f>
        <v>45839</v>
      </c>
      <c r="E98" s="116">
        <f t="shared" si="4"/>
        <v>31</v>
      </c>
      <c r="F98" s="117">
        <f>IFERROR(_xlfn.XLOOKUP($A98,'Raw Data'!$G:$G,'Raw Data'!$AH:$AH),"")</f>
        <v>12.400000000000002</v>
      </c>
      <c r="G98" s="118">
        <f>IFERROR(_xlfn.XLOOKUP($A98,'Raw Data'!$G:$G,'Raw Data'!$S:$S)/1000,"")</f>
        <v>0</v>
      </c>
      <c r="H98" s="118"/>
      <c r="I98" s="118">
        <f>IFERROR(_xlfn.XLOOKUP($A98,'Raw Data'!$G:$G,'Raw Data'!$AF:$AF)/1000,"")</f>
        <v>2.9359999999999999</v>
      </c>
      <c r="J98" s="118"/>
      <c r="K98" s="118">
        <f>IFERROR(_xlfn.XLOOKUP($A98,'Raw Data'!$G:$G,'Raw Data'!W:W),"")</f>
        <v>23</v>
      </c>
      <c r="L98" s="118">
        <f>IFERROR(_xlfn.XLOOKUP($A98,'Raw Data'!$G:$G,'Raw Data'!X:X),"")</f>
        <v>31</v>
      </c>
      <c r="M98" s="118">
        <f>IFERROR(_xlfn.XLOOKUP($A98,'Raw Data'!$G:$G,'Raw Data'!Y:Y),"")</f>
        <v>4</v>
      </c>
      <c r="N98" s="118">
        <f>IFERROR(_xlfn.XLOOKUP($A98,'Raw Data'!$G:$G,'Raw Data'!Z:Z),"")</f>
        <v>8</v>
      </c>
      <c r="O98" s="145">
        <f>IFERROR(1-SUMIF('Plant BD'!$B:$B,$A98,'Plant BD'!$AM:$AM)/($AA98+SUMIF('Plant BD'!$B:$B,$A98,'Plant BD'!$AM:$AM)),"")</f>
        <v>1</v>
      </c>
      <c r="P98" s="145"/>
      <c r="Q98" s="146"/>
      <c r="R98" s="145">
        <f>IFERROR(1-SUMIF('Grid BD'!$B:$B,$A98,'Grid BD'!$AE:$AE)/($AA98+SUMIF('Grid BD'!$B:$B,$A98,'Grid BD'!$AE:$AE)),"")</f>
        <v>1</v>
      </c>
      <c r="T98" s="146">
        <f>IFERROR(1-SUMIF(Tracker_BD!$H:$H,$A98,Tracker_BD!AI:AI)/$F98,"")</f>
        <v>0.98601841552342107</v>
      </c>
      <c r="U98" s="147">
        <f t="shared" si="5"/>
        <v>0.82366654732088129</v>
      </c>
      <c r="V98" s="147"/>
      <c r="W98" s="148">
        <f t="shared" si="6"/>
        <v>0.10076187428892114</v>
      </c>
      <c r="X98" s="143">
        <f>IFERROR(_xlfn.XLOOKUP($A98,'Raw Data'!$G:$G,'Raw Data'!$AB:$AB),"")</f>
        <v>28582</v>
      </c>
      <c r="Y98" s="143">
        <f>IFERROR(_xlfn.XLOOKUP($A98,'Raw Data'!$G:$G,'Raw Data'!AC:AC),"")</f>
        <v>28521.799999987707</v>
      </c>
      <c r="Z98" s="143">
        <f>IFERROR(_xlfn.XLOOKUP($A98,'Raw Data'!$G:$G,'Raw Data'!AD:AD),"")</f>
        <v>179.4999999999618</v>
      </c>
      <c r="AA98" s="143">
        <f>IFERROR(_xlfn.XLOOKUP($A98,'Raw Data'!$G:$G,'Raw Data'!AE:AE)*(1+(_xlfn.XLOOKUP(Table13[[#This Row],[Month Year]],JMR!$A:$A,JMR!$J:$J))),"")</f>
        <v>28342.299999987743</v>
      </c>
      <c r="AB98" s="143">
        <f>IFERROR(_xlfn.XLOOKUP($A98,'Raw Data'!$G:$G,'Raw Data'!$H:$H),"")</f>
        <v>11.72</v>
      </c>
      <c r="AC98" s="149">
        <f>IFERROR(_xlfn.XLOOKUP($D98,'Modelling New'!$D:$D,'Modelling New'!$P:$P),"")</f>
        <v>4.6269332580645148</v>
      </c>
      <c r="AD98" s="143">
        <f>IFERROR(_xlfn.XLOOKUP($D98,'Modelling New'!$D:$D,'Modelling New'!$T:$T)*1000,"")</f>
        <v>40702.654142805535</v>
      </c>
      <c r="AE98" s="148">
        <f>IFERROR(_xlfn.XLOOKUP($D98,'Modelling New'!$D:$D,'Modelling New'!$O:$O),"")</f>
        <v>0.75058845994317613</v>
      </c>
      <c r="AF98" s="148">
        <f>IFERROR(_xlfn.XLOOKUP($D98,'Modelling New'!$D:$D,'Modelling New'!$W:$W),"")</f>
        <v>0.14470511285127108</v>
      </c>
      <c r="AG98" s="148">
        <f>IFERROR(_xlfn.XLOOKUP($D98,'Modelling New'!$D:$D,'Modelling New'!AE:AE),"")</f>
        <v>0.995</v>
      </c>
      <c r="AH98" s="148">
        <f>IFERROR(_xlfn.XLOOKUP($D98,'Modelling New'!$D:$D,'Modelling New'!AF:AF),"")</f>
        <v>0.98550000000000004</v>
      </c>
      <c r="AN98" s="145"/>
      <c r="AO98" s="148"/>
      <c r="AP98" s="148"/>
      <c r="AQ98" s="148"/>
      <c r="AR98" s="143">
        <f>IFERROR(_xlfn.XLOOKUP($D98,'Modelling New'!$D:$D,'Modelling New'!$N:$N),"")</f>
        <v>11.72</v>
      </c>
      <c r="AT98" s="143">
        <f>IFERROR(_xlfn.XLOOKUP(Table13[[#This Row],[Date]],'Raw Data'!$G:$G,'Raw Data'!$AJ:$AJ),"")</f>
        <v>0</v>
      </c>
      <c r="AU98" s="143">
        <f>IFERROR(_xlfn.XLOOKUP(Table13[[#This Row],[Month Year]],'Modelling New'!$D:$D,'Modelling New'!$AO:$AO),"")</f>
        <v>10</v>
      </c>
      <c r="AV98" s="143"/>
    </row>
    <row r="99" spans="1:48">
      <c r="A99" s="142">
        <f t="shared" si="7"/>
        <v>45842</v>
      </c>
      <c r="B99" s="143">
        <f>YEAR(Table13[[#This Row],[Date]])+IF(MONTH(Table13[[#This Row],[Date]])&gt;=4,1,0)</f>
        <v>2026</v>
      </c>
      <c r="C99" s="116">
        <f>YEAR(Table13[[#This Row],[Date]])</f>
        <v>2025</v>
      </c>
      <c r="D99" s="144">
        <f>Table13[[#This Row],[Date]]-DAY(Table13[[#This Row],[Date]])+1</f>
        <v>45839</v>
      </c>
      <c r="E99" s="116">
        <f t="shared" si="4"/>
        <v>31</v>
      </c>
      <c r="F99" s="117">
        <f>IFERROR(_xlfn.XLOOKUP($A99,'Raw Data'!$G:$G,'Raw Data'!$AH:$AH),"")</f>
        <v>12.466666666666669</v>
      </c>
      <c r="G99" s="118">
        <f>IFERROR(_xlfn.XLOOKUP($A99,'Raw Data'!$G:$G,'Raw Data'!$S:$S)/1000,"")</f>
        <v>0</v>
      </c>
      <c r="H99" s="118"/>
      <c r="I99" s="118">
        <f>IFERROR(_xlfn.XLOOKUP($A99,'Raw Data'!$G:$G,'Raw Data'!$AF:$AF)/1000,"")</f>
        <v>5.2430000000000003</v>
      </c>
      <c r="J99" s="118"/>
      <c r="K99" s="118">
        <f>IFERROR(_xlfn.XLOOKUP($A99,'Raw Data'!$G:$G,'Raw Data'!W:W),"")</f>
        <v>23</v>
      </c>
      <c r="L99" s="118">
        <f>IFERROR(_xlfn.XLOOKUP($A99,'Raw Data'!$G:$G,'Raw Data'!X:X),"")</f>
        <v>36</v>
      </c>
      <c r="M99" s="118">
        <f>IFERROR(_xlfn.XLOOKUP($A99,'Raw Data'!$G:$G,'Raw Data'!Y:Y),"")</f>
        <v>4.7</v>
      </c>
      <c r="N99" s="118">
        <f>IFERROR(_xlfn.XLOOKUP($A99,'Raw Data'!$G:$G,'Raw Data'!Z:Z),"")</f>
        <v>8</v>
      </c>
      <c r="O99" s="145">
        <f>IFERROR(1-SUMIF('Plant BD'!$B:$B,$A99,'Plant BD'!$AM:$AM)/($AA99+SUMIF('Plant BD'!$B:$B,$A99,'Plant BD'!$AM:$AM)),"")</f>
        <v>1</v>
      </c>
      <c r="P99" s="145"/>
      <c r="Q99" s="146"/>
      <c r="R99" s="145">
        <f>IFERROR(1-SUMIF('Grid BD'!$B:$B,$A99,'Grid BD'!$AE:$AE)/($AA99+SUMIF('Grid BD'!$B:$B,$A99,'Grid BD'!$AE:$AE)),"")</f>
        <v>1</v>
      </c>
      <c r="T99" s="146">
        <f>IFERROR(1-SUMIF(Tracker_BD!$H:$H,$A99,Tracker_BD!AI:AI)/$F99,"")</f>
        <v>0.98597793349314644</v>
      </c>
      <c r="U99" s="147">
        <f t="shared" si="5"/>
        <v>0.75018112887742472</v>
      </c>
      <c r="V99" s="147"/>
      <c r="W99" s="148">
        <f t="shared" si="6"/>
        <v>0.16388331911268075</v>
      </c>
      <c r="X99" s="143">
        <f>IFERROR(_xlfn.XLOOKUP($A99,'Raw Data'!$G:$G,'Raw Data'!$AB:$AB),"")</f>
        <v>46331</v>
      </c>
      <c r="Y99" s="143">
        <f>IFERROR(_xlfn.XLOOKUP($A99,'Raw Data'!$G:$G,'Raw Data'!AC:AC),"")</f>
        <v>46278.500000014901</v>
      </c>
      <c r="Z99" s="143">
        <f>IFERROR(_xlfn.XLOOKUP($A99,'Raw Data'!$G:$G,'Raw Data'!AD:AD),"")</f>
        <v>181.4000000000533</v>
      </c>
      <c r="AA99" s="143">
        <f>IFERROR(_xlfn.XLOOKUP($A99,'Raw Data'!$G:$G,'Raw Data'!AE:AE)*(1+(_xlfn.XLOOKUP(Table13[[#This Row],[Month Year]],JMR!$A:$A,JMR!$J:$J))),"")</f>
        <v>46097.100000014849</v>
      </c>
      <c r="AB99" s="143">
        <f>IFERROR(_xlfn.XLOOKUP($A99,'Raw Data'!$G:$G,'Raw Data'!$H:$H),"")</f>
        <v>11.72</v>
      </c>
      <c r="AC99" s="149">
        <f>IFERROR(_xlfn.XLOOKUP($D99,'Modelling New'!$D:$D,'Modelling New'!$P:$P),"")</f>
        <v>4.6269332580645148</v>
      </c>
      <c r="AD99" s="143">
        <f>IFERROR(_xlfn.XLOOKUP($D99,'Modelling New'!$D:$D,'Modelling New'!$T:$T)*1000,"")</f>
        <v>40702.654142805535</v>
      </c>
      <c r="AE99" s="148">
        <f>IFERROR(_xlfn.XLOOKUP($D99,'Modelling New'!$D:$D,'Modelling New'!$O:$O),"")</f>
        <v>0.75058845994317613</v>
      </c>
      <c r="AF99" s="148">
        <f>IFERROR(_xlfn.XLOOKUP($D99,'Modelling New'!$D:$D,'Modelling New'!$W:$W),"")</f>
        <v>0.14470511285127108</v>
      </c>
      <c r="AG99" s="148">
        <f>IFERROR(_xlfn.XLOOKUP($D99,'Modelling New'!$D:$D,'Modelling New'!AE:AE),"")</f>
        <v>0.995</v>
      </c>
      <c r="AH99" s="148">
        <f>IFERROR(_xlfn.XLOOKUP($D99,'Modelling New'!$D:$D,'Modelling New'!AF:AF),"")</f>
        <v>0.98550000000000004</v>
      </c>
      <c r="AN99" s="145"/>
      <c r="AO99" s="148"/>
      <c r="AP99" s="148"/>
      <c r="AQ99" s="148"/>
      <c r="AR99" s="143">
        <f>IFERROR(_xlfn.XLOOKUP($D99,'Modelling New'!$D:$D,'Modelling New'!$N:$N),"")</f>
        <v>11.72</v>
      </c>
      <c r="AT99" s="143">
        <f>IFERROR(_xlfn.XLOOKUP(Table13[[#This Row],[Date]],'Raw Data'!$G:$G,'Raw Data'!$AJ:$AJ),"")</f>
        <v>0</v>
      </c>
      <c r="AU99" s="143">
        <f>IFERROR(_xlfn.XLOOKUP(Table13[[#This Row],[Month Year]],'Modelling New'!$D:$D,'Modelling New'!$AO:$AO),"")</f>
        <v>10</v>
      </c>
      <c r="AV99" s="143"/>
    </row>
    <row r="100" spans="1:48">
      <c r="A100" s="142">
        <f t="shared" si="7"/>
        <v>45843</v>
      </c>
      <c r="B100" s="143">
        <f>YEAR(Table13[[#This Row],[Date]])+IF(MONTH(Table13[[#This Row],[Date]])&gt;=4,1,0)</f>
        <v>2026</v>
      </c>
      <c r="C100" s="116">
        <f>YEAR(Table13[[#This Row],[Date]])</f>
        <v>2025</v>
      </c>
      <c r="D100" s="144">
        <f>Table13[[#This Row],[Date]]-DAY(Table13[[#This Row],[Date]])+1</f>
        <v>45839</v>
      </c>
      <c r="E100" s="116">
        <f t="shared" si="4"/>
        <v>31</v>
      </c>
      <c r="F100" s="117">
        <f>IFERROR(_xlfn.XLOOKUP($A100,'Raw Data'!$G:$G,'Raw Data'!$AH:$AH),"")</f>
        <v>12.683333333333334</v>
      </c>
      <c r="G100" s="118">
        <f>IFERROR(_xlfn.XLOOKUP($A100,'Raw Data'!$G:$G,'Raw Data'!$S:$S)/1000,"")</f>
        <v>0</v>
      </c>
      <c r="H100" s="118"/>
      <c r="I100" s="118">
        <f>IFERROR(_xlfn.XLOOKUP($A100,'Raw Data'!$G:$G,'Raw Data'!$AF:$AF)/1000,"")</f>
        <v>5.5305</v>
      </c>
      <c r="J100" s="118"/>
      <c r="K100" s="118">
        <f>IFERROR(_xlfn.XLOOKUP($A100,'Raw Data'!$G:$G,'Raw Data'!W:W),"")</f>
        <v>23</v>
      </c>
      <c r="L100" s="118">
        <f>IFERROR(_xlfn.XLOOKUP($A100,'Raw Data'!$G:$G,'Raw Data'!X:X),"")</f>
        <v>35</v>
      </c>
      <c r="M100" s="118">
        <f>IFERROR(_xlfn.XLOOKUP($A100,'Raw Data'!$G:$G,'Raw Data'!Y:Y),"")</f>
        <v>5</v>
      </c>
      <c r="N100" s="118">
        <f>IFERROR(_xlfn.XLOOKUP($A100,'Raw Data'!$G:$G,'Raw Data'!Z:Z),"")</f>
        <v>10</v>
      </c>
      <c r="O100" s="145">
        <f>IFERROR(1-SUMIF('Plant BD'!$B:$B,$A100,'Plant BD'!$AM:$AM)/($AA100+SUMIF('Plant BD'!$B:$B,$A100,'Plant BD'!$AM:$AM)),"")</f>
        <v>1</v>
      </c>
      <c r="P100" s="145"/>
      <c r="Q100" s="146"/>
      <c r="R100" s="145">
        <f>IFERROR(1-SUMIF('Grid BD'!$B:$B,$A100,'Grid BD'!$AE:$AE)/($AA100+SUMIF('Grid BD'!$B:$B,$A100,'Grid BD'!$AE:$AE)),"")</f>
        <v>1</v>
      </c>
      <c r="T100" s="146">
        <f>IFERROR(1-SUMIF(Tracker_BD!$H:$H,$A100,Tracker_BD!AI:AI)/$F100,"")</f>
        <v>0.98610418837887237</v>
      </c>
      <c r="U100" s="147">
        <f t="shared" si="5"/>
        <v>0.75474879762320668</v>
      </c>
      <c r="V100" s="147"/>
      <c r="W100" s="148">
        <f t="shared" si="6"/>
        <v>0.17392242605229766</v>
      </c>
      <c r="X100" s="143">
        <f>IFERROR(_xlfn.XLOOKUP($A100,'Raw Data'!$G:$G,'Raw Data'!$AB:$AB),"")</f>
        <v>49145</v>
      </c>
      <c r="Y100" s="143">
        <f>IFERROR(_xlfn.XLOOKUP($A100,'Raw Data'!$G:$G,'Raw Data'!AC:AC),"")</f>
        <v>49076.999999990221</v>
      </c>
      <c r="Z100" s="143">
        <f>IFERROR(_xlfn.XLOOKUP($A100,'Raw Data'!$G:$G,'Raw Data'!AD:AD),"")</f>
        <v>156.09999999992397</v>
      </c>
      <c r="AA100" s="143">
        <f>IFERROR(_xlfn.XLOOKUP($A100,'Raw Data'!$G:$G,'Raw Data'!AE:AE)*(1+(_xlfn.XLOOKUP(Table13[[#This Row],[Month Year]],JMR!$A:$A,JMR!$J:$J))),"")</f>
        <v>48920.899999990295</v>
      </c>
      <c r="AB100" s="143">
        <f>IFERROR(_xlfn.XLOOKUP($A100,'Raw Data'!$G:$G,'Raw Data'!$H:$H),"")</f>
        <v>11.72</v>
      </c>
      <c r="AC100" s="149">
        <f>IFERROR(_xlfn.XLOOKUP($D100,'Modelling New'!$D:$D,'Modelling New'!$P:$P),"")</f>
        <v>4.6269332580645148</v>
      </c>
      <c r="AD100" s="143">
        <f>IFERROR(_xlfn.XLOOKUP($D100,'Modelling New'!$D:$D,'Modelling New'!$T:$T)*1000,"")</f>
        <v>40702.654142805535</v>
      </c>
      <c r="AE100" s="148">
        <f>IFERROR(_xlfn.XLOOKUP($D100,'Modelling New'!$D:$D,'Modelling New'!$O:$O),"")</f>
        <v>0.75058845994317613</v>
      </c>
      <c r="AF100" s="148">
        <f>IFERROR(_xlfn.XLOOKUP($D100,'Modelling New'!$D:$D,'Modelling New'!$W:$W),"")</f>
        <v>0.14470511285127108</v>
      </c>
      <c r="AG100" s="148">
        <f>IFERROR(_xlfn.XLOOKUP($D100,'Modelling New'!$D:$D,'Modelling New'!AE:AE),"")</f>
        <v>0.995</v>
      </c>
      <c r="AH100" s="148">
        <f>IFERROR(_xlfn.XLOOKUP($D100,'Modelling New'!$D:$D,'Modelling New'!AF:AF),"")</f>
        <v>0.98550000000000004</v>
      </c>
      <c r="AN100" s="145"/>
      <c r="AO100" s="148"/>
      <c r="AP100" s="148"/>
      <c r="AQ100" s="148"/>
      <c r="AR100" s="143">
        <f>IFERROR(_xlfn.XLOOKUP($D100,'Modelling New'!$D:$D,'Modelling New'!$N:$N),"")</f>
        <v>11.72</v>
      </c>
      <c r="AT100" s="143">
        <f>IFERROR(_xlfn.XLOOKUP(Table13[[#This Row],[Date]],'Raw Data'!$G:$G,'Raw Data'!$AJ:$AJ),"")</f>
        <v>0</v>
      </c>
      <c r="AU100" s="143">
        <f>IFERROR(_xlfn.XLOOKUP(Table13[[#This Row],[Month Year]],'Modelling New'!$D:$D,'Modelling New'!$AO:$AO),"")</f>
        <v>10</v>
      </c>
      <c r="AV100" s="143"/>
    </row>
    <row r="101" spans="1:48">
      <c r="A101" s="142">
        <f t="shared" si="7"/>
        <v>45844</v>
      </c>
      <c r="B101" s="143">
        <f>YEAR(Table13[[#This Row],[Date]])+IF(MONTH(Table13[[#This Row],[Date]])&gt;=4,1,0)</f>
        <v>2026</v>
      </c>
      <c r="C101" s="116">
        <f>YEAR(Table13[[#This Row],[Date]])</f>
        <v>2025</v>
      </c>
      <c r="D101" s="144">
        <f>Table13[[#This Row],[Date]]-DAY(Table13[[#This Row],[Date]])+1</f>
        <v>45839</v>
      </c>
      <c r="E101" s="116">
        <f t="shared" si="4"/>
        <v>31</v>
      </c>
      <c r="F101" s="117">
        <f>IFERROR(_xlfn.XLOOKUP($A101,'Raw Data'!$G:$G,'Raw Data'!$AH:$AH),"")</f>
        <v>12.416666666666668</v>
      </c>
      <c r="G101" s="118">
        <f>IFERROR(_xlfn.XLOOKUP($A101,'Raw Data'!$G:$G,'Raw Data'!$S:$S)/1000,"")</f>
        <v>0</v>
      </c>
      <c r="H101" s="118"/>
      <c r="I101" s="118">
        <f>IFERROR(_xlfn.XLOOKUP($A101,'Raw Data'!$G:$G,'Raw Data'!$AF:$AF)/1000,"")</f>
        <v>5.7975000000000003</v>
      </c>
      <c r="J101" s="118"/>
      <c r="K101" s="118">
        <f>IFERROR(_xlfn.XLOOKUP($A101,'Raw Data'!$G:$G,'Raw Data'!W:W),"")</f>
        <v>23</v>
      </c>
      <c r="L101" s="118">
        <f>IFERROR(_xlfn.XLOOKUP($A101,'Raw Data'!$G:$G,'Raw Data'!X:X),"")</f>
        <v>36.5</v>
      </c>
      <c r="M101" s="118">
        <f>IFERROR(_xlfn.XLOOKUP($A101,'Raw Data'!$G:$G,'Raw Data'!Y:Y),"")</f>
        <v>5</v>
      </c>
      <c r="N101" s="118">
        <f>IFERROR(_xlfn.XLOOKUP($A101,'Raw Data'!$G:$G,'Raw Data'!Z:Z),"")</f>
        <v>10</v>
      </c>
      <c r="O101" s="145">
        <f>IFERROR(1-SUMIF('Plant BD'!$B:$B,$A101,'Plant BD'!$AM:$AM)/($AA101+SUMIF('Plant BD'!$B:$B,$A101,'Plant BD'!$AM:$AM)),"")</f>
        <v>1</v>
      </c>
      <c r="P101" s="145"/>
      <c r="Q101" s="146"/>
      <c r="R101" s="145">
        <f>IFERROR(1-SUMIF('Grid BD'!$B:$B,$A101,'Grid BD'!$AE:$AE)/($AA101+SUMIF('Grid BD'!$B:$B,$A101,'Grid BD'!$AE:$AE)),"")</f>
        <v>1</v>
      </c>
      <c r="T101" s="146">
        <f>IFERROR(1-SUMIF(Tracker_BD!$H:$H,$A101,Tracker_BD!AI:AI)/$F101,"")</f>
        <v>0.98611432538764177</v>
      </c>
      <c r="U101" s="147">
        <f t="shared" si="5"/>
        <v>0.74940799185246254</v>
      </c>
      <c r="V101" s="147"/>
      <c r="W101" s="148">
        <f t="shared" si="6"/>
        <v>0.18102886803186044</v>
      </c>
      <c r="X101" s="143">
        <f>IFERROR(_xlfn.XLOOKUP($A101,'Raw Data'!$G:$G,'Raw Data'!$AB:$AB),"")</f>
        <v>51112</v>
      </c>
      <c r="Y101" s="143">
        <f>IFERROR(_xlfn.XLOOKUP($A101,'Raw Data'!$G:$G,'Raw Data'!AC:AC),"")</f>
        <v>51094.40000000177</v>
      </c>
      <c r="Z101" s="143">
        <f>IFERROR(_xlfn.XLOOKUP($A101,'Raw Data'!$G:$G,'Raw Data'!AD:AD),"")</f>
        <v>174.60000000005493</v>
      </c>
      <c r="AA101" s="143">
        <f>IFERROR(_xlfn.XLOOKUP($A101,'Raw Data'!$G:$G,'Raw Data'!AE:AE)*(1+(_xlfn.XLOOKUP(Table13[[#This Row],[Month Year]],JMR!$A:$A,JMR!$J:$J))),"")</f>
        <v>50919.800000001713</v>
      </c>
      <c r="AB101" s="143">
        <f>IFERROR(_xlfn.XLOOKUP($A101,'Raw Data'!$G:$G,'Raw Data'!$H:$H),"")</f>
        <v>11.72</v>
      </c>
      <c r="AC101" s="149">
        <f>IFERROR(_xlfn.XLOOKUP($D101,'Modelling New'!$D:$D,'Modelling New'!$P:$P),"")</f>
        <v>4.6269332580645148</v>
      </c>
      <c r="AD101" s="143">
        <f>IFERROR(_xlfn.XLOOKUP($D101,'Modelling New'!$D:$D,'Modelling New'!$T:$T)*1000,"")</f>
        <v>40702.654142805535</v>
      </c>
      <c r="AE101" s="148">
        <f>IFERROR(_xlfn.XLOOKUP($D101,'Modelling New'!$D:$D,'Modelling New'!$O:$O),"")</f>
        <v>0.75058845994317613</v>
      </c>
      <c r="AF101" s="148">
        <f>IFERROR(_xlfn.XLOOKUP($D101,'Modelling New'!$D:$D,'Modelling New'!$W:$W),"")</f>
        <v>0.14470511285127108</v>
      </c>
      <c r="AG101" s="148">
        <f>IFERROR(_xlfn.XLOOKUP($D101,'Modelling New'!$D:$D,'Modelling New'!AE:AE),"")</f>
        <v>0.995</v>
      </c>
      <c r="AH101" s="148">
        <f>IFERROR(_xlfn.XLOOKUP($D101,'Modelling New'!$D:$D,'Modelling New'!AF:AF),"")</f>
        <v>0.98550000000000004</v>
      </c>
      <c r="AN101" s="145"/>
      <c r="AO101" s="148"/>
      <c r="AP101" s="148"/>
      <c r="AQ101" s="148"/>
      <c r="AR101" s="143">
        <f>IFERROR(_xlfn.XLOOKUP($D101,'Modelling New'!$D:$D,'Modelling New'!$N:$N),"")</f>
        <v>11.72</v>
      </c>
      <c r="AT101" s="143">
        <f>IFERROR(_xlfn.XLOOKUP(Table13[[#This Row],[Date]],'Raw Data'!$G:$G,'Raw Data'!$AJ:$AJ),"")</f>
        <v>0</v>
      </c>
      <c r="AU101" s="143">
        <f>IFERROR(_xlfn.XLOOKUP(Table13[[#This Row],[Month Year]],'Modelling New'!$D:$D,'Modelling New'!$AO:$AO),"")</f>
        <v>10</v>
      </c>
      <c r="AV101" s="143"/>
    </row>
    <row r="102" spans="1:48">
      <c r="A102" s="142">
        <f t="shared" si="7"/>
        <v>45845</v>
      </c>
      <c r="B102" s="143">
        <f>YEAR(Table13[[#This Row],[Date]])+IF(MONTH(Table13[[#This Row],[Date]])&gt;=4,1,0)</f>
        <v>2026</v>
      </c>
      <c r="C102" s="116">
        <f>YEAR(Table13[[#This Row],[Date]])</f>
        <v>2025</v>
      </c>
      <c r="D102" s="144">
        <f>Table13[[#This Row],[Date]]-DAY(Table13[[#This Row],[Date]])+1</f>
        <v>45839</v>
      </c>
      <c r="E102" s="116">
        <f t="shared" si="4"/>
        <v>31</v>
      </c>
      <c r="F102" s="117">
        <f>IFERROR(_xlfn.XLOOKUP($A102,'Raw Data'!$G:$G,'Raw Data'!$AH:$AH),"")</f>
        <v>12.516666666666667</v>
      </c>
      <c r="G102" s="118">
        <f>IFERROR(_xlfn.XLOOKUP($A102,'Raw Data'!$G:$G,'Raw Data'!$S:$S)/1000,"")</f>
        <v>0</v>
      </c>
      <c r="H102" s="118"/>
      <c r="I102" s="118">
        <f>IFERROR(_xlfn.XLOOKUP($A102,'Raw Data'!$G:$G,'Raw Data'!$AF:$AF)/1000,"")</f>
        <v>2.2004999999999999</v>
      </c>
      <c r="J102" s="118"/>
      <c r="K102" s="118">
        <f>IFERROR(_xlfn.XLOOKUP($A102,'Raw Data'!$G:$G,'Raw Data'!W:W),"")</f>
        <v>23</v>
      </c>
      <c r="L102" s="118">
        <f>IFERROR(_xlfn.XLOOKUP($A102,'Raw Data'!$G:$G,'Raw Data'!X:X),"")</f>
        <v>29</v>
      </c>
      <c r="M102" s="118">
        <f>IFERROR(_xlfn.XLOOKUP($A102,'Raw Data'!$G:$G,'Raw Data'!Y:Y),"")</f>
        <v>4</v>
      </c>
      <c r="N102" s="118">
        <f>IFERROR(_xlfn.XLOOKUP($A102,'Raw Data'!$G:$G,'Raw Data'!Z:Z),"")</f>
        <v>6</v>
      </c>
      <c r="O102" s="145">
        <f>IFERROR(1-SUMIF('Plant BD'!$B:$B,$A102,'Plant BD'!$AM:$AM)/($AA102+SUMIF('Plant BD'!$B:$B,$A102,'Plant BD'!$AM:$AM)),"")</f>
        <v>1</v>
      </c>
      <c r="P102" s="145"/>
      <c r="Q102" s="146"/>
      <c r="R102" s="145">
        <f>IFERROR(1-SUMIF('Grid BD'!$B:$B,$A102,'Grid BD'!$AE:$AE)/($AA102+SUMIF('Grid BD'!$B:$B,$A102,'Grid BD'!$AE:$AE)),"")</f>
        <v>1</v>
      </c>
      <c r="T102" s="146">
        <f>IFERROR(1-SUMIF(Tracker_BD!$H:$H,$A102,Tracker_BD!AI:AI)/$F102,"")</f>
        <v>0.98620613128855017</v>
      </c>
      <c r="U102" s="147">
        <f t="shared" si="5"/>
        <v>0.84029537190193238</v>
      </c>
      <c r="V102" s="147"/>
      <c r="W102" s="148">
        <f t="shared" si="6"/>
        <v>7.7044581911258417E-2</v>
      </c>
      <c r="X102" s="143">
        <f>IFERROR(_xlfn.XLOOKUP($A102,'Raw Data'!$G:$G,'Raw Data'!$AB:$AB),"")</f>
        <v>21891</v>
      </c>
      <c r="Y102" s="143">
        <f>IFERROR(_xlfn.XLOOKUP($A102,'Raw Data'!$G:$G,'Raw Data'!AC:AC),"")</f>
        <v>21847.399999998743</v>
      </c>
      <c r="Z102" s="143">
        <f>IFERROR(_xlfn.XLOOKUP($A102,'Raw Data'!$G:$G,'Raw Data'!AD:AD),"")</f>
        <v>176.29999999996926</v>
      </c>
      <c r="AA102" s="143">
        <f>IFERROR(_xlfn.XLOOKUP($A102,'Raw Data'!$G:$G,'Raw Data'!AE:AE)*(1+(_xlfn.XLOOKUP(Table13[[#This Row],[Month Year]],JMR!$A:$A,JMR!$J:$J))),"")</f>
        <v>21671.099999998773</v>
      </c>
      <c r="AB102" s="143">
        <f>IFERROR(_xlfn.XLOOKUP($A102,'Raw Data'!$G:$G,'Raw Data'!$H:$H),"")</f>
        <v>11.72</v>
      </c>
      <c r="AC102" s="149">
        <f>IFERROR(_xlfn.XLOOKUP($D102,'Modelling New'!$D:$D,'Modelling New'!$P:$P),"")</f>
        <v>4.6269332580645148</v>
      </c>
      <c r="AD102" s="143">
        <f>IFERROR(_xlfn.XLOOKUP($D102,'Modelling New'!$D:$D,'Modelling New'!$T:$T)*1000,"")</f>
        <v>40702.654142805535</v>
      </c>
      <c r="AE102" s="148">
        <f>IFERROR(_xlfn.XLOOKUP($D102,'Modelling New'!$D:$D,'Modelling New'!$O:$O),"")</f>
        <v>0.75058845994317613</v>
      </c>
      <c r="AF102" s="148">
        <f>IFERROR(_xlfn.XLOOKUP($D102,'Modelling New'!$D:$D,'Modelling New'!$W:$W),"")</f>
        <v>0.14470511285127108</v>
      </c>
      <c r="AG102" s="148">
        <f>IFERROR(_xlfn.XLOOKUP($D102,'Modelling New'!$D:$D,'Modelling New'!AE:AE),"")</f>
        <v>0.995</v>
      </c>
      <c r="AH102" s="148">
        <f>IFERROR(_xlfn.XLOOKUP($D102,'Modelling New'!$D:$D,'Modelling New'!AF:AF),"")</f>
        <v>0.98550000000000004</v>
      </c>
      <c r="AN102" s="145"/>
      <c r="AO102" s="148"/>
      <c r="AP102" s="148"/>
      <c r="AQ102" s="148"/>
      <c r="AR102" s="143">
        <f>IFERROR(_xlfn.XLOOKUP($D102,'Modelling New'!$D:$D,'Modelling New'!$N:$N),"")</f>
        <v>11.72</v>
      </c>
      <c r="AT102" s="143">
        <f>IFERROR(_xlfn.XLOOKUP(Table13[[#This Row],[Date]],'Raw Data'!$G:$G,'Raw Data'!$AJ:$AJ),"")</f>
        <v>0</v>
      </c>
      <c r="AU102" s="143">
        <f>IFERROR(_xlfn.XLOOKUP(Table13[[#This Row],[Month Year]],'Modelling New'!$D:$D,'Modelling New'!$AO:$AO),"")</f>
        <v>10</v>
      </c>
      <c r="AV102" s="143"/>
    </row>
    <row r="103" spans="1:48">
      <c r="A103" s="142">
        <f t="shared" si="7"/>
        <v>45846</v>
      </c>
      <c r="B103" s="143">
        <f>YEAR(Table13[[#This Row],[Date]])+IF(MONTH(Table13[[#This Row],[Date]])&gt;=4,1,0)</f>
        <v>2026</v>
      </c>
      <c r="C103" s="116">
        <f>YEAR(Table13[[#This Row],[Date]])</f>
        <v>2025</v>
      </c>
      <c r="D103" s="144">
        <f>Table13[[#This Row],[Date]]-DAY(Table13[[#This Row],[Date]])+1</f>
        <v>45839</v>
      </c>
      <c r="E103" s="116">
        <f t="shared" si="4"/>
        <v>31</v>
      </c>
      <c r="F103" s="117">
        <f>IFERROR(_xlfn.XLOOKUP($A103,'Raw Data'!$G:$G,'Raw Data'!$AH:$AH),"")</f>
        <v>12.499999999999998</v>
      </c>
      <c r="G103" s="118">
        <f>IFERROR(_xlfn.XLOOKUP($A103,'Raw Data'!$G:$G,'Raw Data'!$S:$S)/1000,"")</f>
        <v>0</v>
      </c>
      <c r="H103" s="118"/>
      <c r="I103" s="118">
        <f>IFERROR(_xlfn.XLOOKUP($A103,'Raw Data'!$G:$G,'Raw Data'!$AF:$AF)/1000,"")</f>
        <v>3.3835000000000002</v>
      </c>
      <c r="J103" s="118"/>
      <c r="K103" s="118">
        <f>IFERROR(_xlfn.XLOOKUP($A103,'Raw Data'!$G:$G,'Raw Data'!W:W),"")</f>
        <v>23</v>
      </c>
      <c r="L103" s="118">
        <f>IFERROR(_xlfn.XLOOKUP($A103,'Raw Data'!$G:$G,'Raw Data'!X:X),"")</f>
        <v>31</v>
      </c>
      <c r="M103" s="118">
        <f>IFERROR(_xlfn.XLOOKUP($A103,'Raw Data'!$G:$G,'Raw Data'!Y:Y),"")</f>
        <v>4</v>
      </c>
      <c r="N103" s="118">
        <f>IFERROR(_xlfn.XLOOKUP($A103,'Raw Data'!$G:$G,'Raw Data'!Z:Z),"")</f>
        <v>8</v>
      </c>
      <c r="O103" s="145">
        <f>IFERROR(1-SUMIF('Plant BD'!$B:$B,$A103,'Plant BD'!$AM:$AM)/($AA103+SUMIF('Plant BD'!$B:$B,$A103,'Plant BD'!$AM:$AM)),"")</f>
        <v>1</v>
      </c>
      <c r="P103" s="145"/>
      <c r="Q103" s="146"/>
      <c r="R103" s="145">
        <f>IFERROR(1-SUMIF('Grid BD'!$B:$B,$A103,'Grid BD'!$AE:$AE)/($AA103+SUMIF('Grid BD'!$B:$B,$A103,'Grid BD'!$AE:$AE)),"")</f>
        <v>1</v>
      </c>
      <c r="T103" s="146">
        <f>IFERROR(1-SUMIF(Tracker_BD!$H:$H,$A103,Tracker_BD!AI:AI)/$F103,"")</f>
        <v>0.98614942528735627</v>
      </c>
      <c r="U103" s="147">
        <f t="shared" si="5"/>
        <v>0.8021133477009369</v>
      </c>
      <c r="V103" s="147"/>
      <c r="W103" s="148">
        <f t="shared" si="6"/>
        <v>0.11308127133108832</v>
      </c>
      <c r="X103" s="143">
        <f>IFERROR(_xlfn.XLOOKUP($A103,'Raw Data'!$G:$G,'Raw Data'!$AB:$AB),"")</f>
        <v>32028</v>
      </c>
      <c r="Y103" s="143">
        <f>IFERROR(_xlfn.XLOOKUP($A103,'Raw Data'!$G:$G,'Raw Data'!AC:AC),"")</f>
        <v>31986.700000008568</v>
      </c>
      <c r="Z103" s="143">
        <f>IFERROR(_xlfn.XLOOKUP($A103,'Raw Data'!$G:$G,'Raw Data'!AD:AD),"")</f>
        <v>179.20000000003711</v>
      </c>
      <c r="AA103" s="143">
        <f>IFERROR(_xlfn.XLOOKUP($A103,'Raw Data'!$G:$G,'Raw Data'!AE:AE)*(1+(_xlfn.XLOOKUP(Table13[[#This Row],[Month Year]],JMR!$A:$A,JMR!$J:$J))),"")</f>
        <v>31807.500000008531</v>
      </c>
      <c r="AB103" s="143">
        <f>IFERROR(_xlfn.XLOOKUP($A103,'Raw Data'!$G:$G,'Raw Data'!$H:$H),"")</f>
        <v>11.72</v>
      </c>
      <c r="AC103" s="149">
        <f>IFERROR(_xlfn.XLOOKUP($D103,'Modelling New'!$D:$D,'Modelling New'!$P:$P),"")</f>
        <v>4.6269332580645148</v>
      </c>
      <c r="AD103" s="143">
        <f>IFERROR(_xlfn.XLOOKUP($D103,'Modelling New'!$D:$D,'Modelling New'!$T:$T)*1000,"")</f>
        <v>40702.654142805535</v>
      </c>
      <c r="AE103" s="148">
        <f>IFERROR(_xlfn.XLOOKUP($D103,'Modelling New'!$D:$D,'Modelling New'!$O:$O),"")</f>
        <v>0.75058845994317613</v>
      </c>
      <c r="AF103" s="148">
        <f>IFERROR(_xlfn.XLOOKUP($D103,'Modelling New'!$D:$D,'Modelling New'!$W:$W),"")</f>
        <v>0.14470511285127108</v>
      </c>
      <c r="AG103" s="148">
        <f>IFERROR(_xlfn.XLOOKUP($D103,'Modelling New'!$D:$D,'Modelling New'!AE:AE),"")</f>
        <v>0.995</v>
      </c>
      <c r="AH103" s="148">
        <f>IFERROR(_xlfn.XLOOKUP($D103,'Modelling New'!$D:$D,'Modelling New'!AF:AF),"")</f>
        <v>0.98550000000000004</v>
      </c>
      <c r="AN103" s="145"/>
      <c r="AO103" s="148"/>
      <c r="AP103" s="148"/>
      <c r="AQ103" s="148"/>
      <c r="AR103" s="143">
        <f>IFERROR(_xlfn.XLOOKUP($D103,'Modelling New'!$D:$D,'Modelling New'!$N:$N),"")</f>
        <v>11.72</v>
      </c>
      <c r="AT103" s="143">
        <f>IFERROR(_xlfn.XLOOKUP(Table13[[#This Row],[Date]],'Raw Data'!$G:$G,'Raw Data'!$AJ:$AJ),"")</f>
        <v>0</v>
      </c>
      <c r="AU103" s="143">
        <f>IFERROR(_xlfn.XLOOKUP(Table13[[#This Row],[Month Year]],'Modelling New'!$D:$D,'Modelling New'!$AO:$AO),"")</f>
        <v>10</v>
      </c>
      <c r="AV103" s="143"/>
    </row>
    <row r="104" spans="1:48">
      <c r="A104" s="142">
        <f t="shared" si="7"/>
        <v>45847</v>
      </c>
      <c r="B104" s="143">
        <f>YEAR(Table13[[#This Row],[Date]])+IF(MONTH(Table13[[#This Row],[Date]])&gt;=4,1,0)</f>
        <v>2026</v>
      </c>
      <c r="C104" s="116">
        <f>YEAR(Table13[[#This Row],[Date]])</f>
        <v>2025</v>
      </c>
      <c r="D104" s="144">
        <f>Table13[[#This Row],[Date]]-DAY(Table13[[#This Row],[Date]])+1</f>
        <v>45839</v>
      </c>
      <c r="E104" s="116">
        <f t="shared" si="4"/>
        <v>31</v>
      </c>
      <c r="F104" s="117">
        <f>IFERROR(_xlfn.XLOOKUP($A104,'Raw Data'!$G:$G,'Raw Data'!$AH:$AH),"")</f>
        <v>12.316666666666668</v>
      </c>
      <c r="G104" s="118">
        <f>IFERROR(_xlfn.XLOOKUP($A104,'Raw Data'!$G:$G,'Raw Data'!$S:$S)/1000,"")</f>
        <v>0</v>
      </c>
      <c r="H104" s="118"/>
      <c r="I104" s="118">
        <f>IFERROR(_xlfn.XLOOKUP($A104,'Raw Data'!$G:$G,'Raw Data'!$AF:$AF)/1000,"")</f>
        <v>3.7805</v>
      </c>
      <c r="J104" s="118"/>
      <c r="K104" s="118">
        <f>IFERROR(_xlfn.XLOOKUP($A104,'Raw Data'!$G:$G,'Raw Data'!W:W),"")</f>
        <v>23</v>
      </c>
      <c r="L104" s="118">
        <f>IFERROR(_xlfn.XLOOKUP($A104,'Raw Data'!$G:$G,'Raw Data'!X:X),"")</f>
        <v>32</v>
      </c>
      <c r="M104" s="118">
        <f>IFERROR(_xlfn.XLOOKUP($A104,'Raw Data'!$G:$G,'Raw Data'!Y:Y),"")</f>
        <v>3</v>
      </c>
      <c r="N104" s="118">
        <f>IFERROR(_xlfn.XLOOKUP($A104,'Raw Data'!$G:$G,'Raw Data'!Z:Z),"")</f>
        <v>7</v>
      </c>
      <c r="O104" s="145">
        <f>IFERROR(1-SUMIF('Plant BD'!$B:$B,$A104,'Plant BD'!$AM:$AM)/($AA104+SUMIF('Plant BD'!$B:$B,$A104,'Plant BD'!$AM:$AM)),"")</f>
        <v>1</v>
      </c>
      <c r="P104" s="145"/>
      <c r="Q104" s="146"/>
      <c r="R104" s="145">
        <f>IFERROR(1-SUMIF('Grid BD'!$B:$B,$A104,'Grid BD'!$AE:$AE)/($AA104+SUMIF('Grid BD'!$B:$B,$A104,'Grid BD'!$AE:$AE)),"")</f>
        <v>1</v>
      </c>
      <c r="T104" s="146">
        <f>IFERROR(1-SUMIF(Tracker_BD!$H:$H,$A104,Tracker_BD!AI:AI)/$F104,"")</f>
        <v>0.9859627020048839</v>
      </c>
      <c r="U104" s="147">
        <f t="shared" si="5"/>
        <v>0.78706384884139158</v>
      </c>
      <c r="V104" s="147"/>
      <c r="W104" s="148">
        <f t="shared" si="6"/>
        <v>0.12397895335603668</v>
      </c>
      <c r="X104" s="143">
        <f>IFERROR(_xlfn.XLOOKUP($A104,'Raw Data'!$G:$G,'Raw Data'!$AB:$AB),"")</f>
        <v>35111</v>
      </c>
      <c r="Y104" s="143">
        <f>IFERROR(_xlfn.XLOOKUP($A104,'Raw Data'!$G:$G,'Raw Data'!AC:AC),"")</f>
        <v>35052.399999985937</v>
      </c>
      <c r="Z104" s="143">
        <f>IFERROR(_xlfn.XLOOKUP($A104,'Raw Data'!$G:$G,'Raw Data'!AD:AD),"")</f>
        <v>179.5999999999367</v>
      </c>
      <c r="AA104" s="143">
        <f>IFERROR(_xlfn.XLOOKUP($A104,'Raw Data'!$G:$G,'Raw Data'!AE:AE)*(1+(_xlfn.XLOOKUP(Table13[[#This Row],[Month Year]],JMR!$A:$A,JMR!$J:$J))),"")</f>
        <v>34872.799999986004</v>
      </c>
      <c r="AB104" s="143">
        <f>IFERROR(_xlfn.XLOOKUP($A104,'Raw Data'!$G:$G,'Raw Data'!$H:$H),"")</f>
        <v>11.72</v>
      </c>
      <c r="AC104" s="149">
        <f>IFERROR(_xlfn.XLOOKUP($D104,'Modelling New'!$D:$D,'Modelling New'!$P:$P),"")</f>
        <v>4.6269332580645148</v>
      </c>
      <c r="AD104" s="143">
        <f>IFERROR(_xlfn.XLOOKUP($D104,'Modelling New'!$D:$D,'Modelling New'!$T:$T)*1000,"")</f>
        <v>40702.654142805535</v>
      </c>
      <c r="AE104" s="148">
        <f>IFERROR(_xlfn.XLOOKUP($D104,'Modelling New'!$D:$D,'Modelling New'!$O:$O),"")</f>
        <v>0.75058845994317613</v>
      </c>
      <c r="AF104" s="148">
        <f>IFERROR(_xlfn.XLOOKUP($D104,'Modelling New'!$D:$D,'Modelling New'!$W:$W),"")</f>
        <v>0.14470511285127108</v>
      </c>
      <c r="AG104" s="148">
        <f>IFERROR(_xlfn.XLOOKUP($D104,'Modelling New'!$D:$D,'Modelling New'!AE:AE),"")</f>
        <v>0.995</v>
      </c>
      <c r="AH104" s="148">
        <f>IFERROR(_xlfn.XLOOKUP($D104,'Modelling New'!$D:$D,'Modelling New'!AF:AF),"")</f>
        <v>0.98550000000000004</v>
      </c>
      <c r="AN104" s="145"/>
      <c r="AO104" s="148"/>
      <c r="AP104" s="148"/>
      <c r="AQ104" s="148"/>
      <c r="AR104" s="143">
        <f>IFERROR(_xlfn.XLOOKUP($D104,'Modelling New'!$D:$D,'Modelling New'!$N:$N),"")</f>
        <v>11.72</v>
      </c>
      <c r="AT104" s="143">
        <f>IFERROR(_xlfn.XLOOKUP(Table13[[#This Row],[Date]],'Raw Data'!$G:$G,'Raw Data'!$AJ:$AJ),"")</f>
        <v>0</v>
      </c>
      <c r="AU104" s="143">
        <f>IFERROR(_xlfn.XLOOKUP(Table13[[#This Row],[Month Year]],'Modelling New'!$D:$D,'Modelling New'!$AO:$AO),"")</f>
        <v>10</v>
      </c>
      <c r="AV104" s="143"/>
    </row>
    <row r="105" spans="1:48">
      <c r="A105" s="142">
        <f t="shared" si="7"/>
        <v>45848</v>
      </c>
      <c r="B105" s="143">
        <f>YEAR(Table13[[#This Row],[Date]])+IF(MONTH(Table13[[#This Row],[Date]])&gt;=4,1,0)</f>
        <v>2026</v>
      </c>
      <c r="C105" s="116">
        <f>YEAR(Table13[[#This Row],[Date]])</f>
        <v>2025</v>
      </c>
      <c r="D105" s="144">
        <f>Table13[[#This Row],[Date]]-DAY(Table13[[#This Row],[Date]])+1</f>
        <v>45839</v>
      </c>
      <c r="E105" s="116">
        <f t="shared" si="4"/>
        <v>31</v>
      </c>
      <c r="F105" s="117">
        <f>IFERROR(_xlfn.XLOOKUP($A105,'Raw Data'!$G:$G,'Raw Data'!$AH:$AH),"")</f>
        <v>12.783333333333333</v>
      </c>
      <c r="G105" s="118">
        <f>IFERROR(_xlfn.XLOOKUP($A105,'Raw Data'!$G:$G,'Raw Data'!$S:$S)/1000,"")</f>
        <v>0</v>
      </c>
      <c r="H105" s="118"/>
      <c r="I105" s="118">
        <f>IFERROR(_xlfn.XLOOKUP($A105,'Raw Data'!$G:$G,'Raw Data'!$AF:$AF)/1000,"")</f>
        <v>5.3525</v>
      </c>
      <c r="J105" s="118"/>
      <c r="K105" s="118">
        <f>IFERROR(_xlfn.XLOOKUP($A105,'Raw Data'!$G:$G,'Raw Data'!W:W),"")</f>
        <v>23</v>
      </c>
      <c r="L105" s="118">
        <f>IFERROR(_xlfn.XLOOKUP($A105,'Raw Data'!$G:$G,'Raw Data'!X:X),"")</f>
        <v>36</v>
      </c>
      <c r="M105" s="118">
        <f>IFERROR(_xlfn.XLOOKUP($A105,'Raw Data'!$G:$G,'Raw Data'!Y:Y),"")</f>
        <v>2</v>
      </c>
      <c r="N105" s="118">
        <f>IFERROR(_xlfn.XLOOKUP($A105,'Raw Data'!$G:$G,'Raw Data'!Z:Z),"")</f>
        <v>5</v>
      </c>
      <c r="O105" s="145">
        <f>IFERROR(1-SUMIF('Plant BD'!$B:$B,$A105,'Plant BD'!$AM:$AM)/($AA105+SUMIF('Plant BD'!$B:$B,$A105,'Plant BD'!$AM:$AM)),"")</f>
        <v>1</v>
      </c>
      <c r="P105" s="145"/>
      <c r="Q105" s="146"/>
      <c r="R105" s="145">
        <f>IFERROR(1-SUMIF('Grid BD'!$B:$B,$A105,'Grid BD'!$AE:$AE)/($AA105+SUMIF('Grid BD'!$B:$B,$A105,'Grid BD'!$AE:$AE)),"")</f>
        <v>1</v>
      </c>
      <c r="T105" s="146">
        <f>IFERROR(1-SUMIF(Tracker_BD!$H:$H,$A105,Tracker_BD!AI:AI)/$F105,"")</f>
        <v>0.98634401834284946</v>
      </c>
      <c r="U105" s="147">
        <f t="shared" si="5"/>
        <v>0.75093294734851035</v>
      </c>
      <c r="V105" s="147"/>
      <c r="W105" s="148">
        <f t="shared" si="6"/>
        <v>0.16747369169512089</v>
      </c>
      <c r="X105" s="143">
        <f>IFERROR(_xlfn.XLOOKUP($A105,'Raw Data'!$G:$G,'Raw Data'!$AB:$AB),"")</f>
        <v>47305</v>
      </c>
      <c r="Y105" s="143">
        <f>IFERROR(_xlfn.XLOOKUP($A105,'Raw Data'!$G:$G,'Raw Data'!AC:AC),"")</f>
        <v>47280.100000003586</v>
      </c>
      <c r="Z105" s="143">
        <f>IFERROR(_xlfn.XLOOKUP($A105,'Raw Data'!$G:$G,'Raw Data'!AD:AD),"")</f>
        <v>173.09999999997672</v>
      </c>
      <c r="AA105" s="143">
        <f>IFERROR(_xlfn.XLOOKUP($A105,'Raw Data'!$G:$G,'Raw Data'!AE:AE)*(1+(_xlfn.XLOOKUP(Table13[[#This Row],[Month Year]],JMR!$A:$A,JMR!$J:$J))),"")</f>
        <v>47107.000000003609</v>
      </c>
      <c r="AB105" s="143">
        <f>IFERROR(_xlfn.XLOOKUP($A105,'Raw Data'!$G:$G,'Raw Data'!$H:$H),"")</f>
        <v>11.72</v>
      </c>
      <c r="AC105" s="149">
        <f>IFERROR(_xlfn.XLOOKUP($D105,'Modelling New'!$D:$D,'Modelling New'!$P:$P),"")</f>
        <v>4.6269332580645148</v>
      </c>
      <c r="AD105" s="143">
        <f>IFERROR(_xlfn.XLOOKUP($D105,'Modelling New'!$D:$D,'Modelling New'!$T:$T)*1000,"")</f>
        <v>40702.654142805535</v>
      </c>
      <c r="AE105" s="148">
        <f>IFERROR(_xlfn.XLOOKUP($D105,'Modelling New'!$D:$D,'Modelling New'!$O:$O),"")</f>
        <v>0.75058845994317613</v>
      </c>
      <c r="AF105" s="148">
        <f>IFERROR(_xlfn.XLOOKUP($D105,'Modelling New'!$D:$D,'Modelling New'!$W:$W),"")</f>
        <v>0.14470511285127108</v>
      </c>
      <c r="AG105" s="148">
        <f>IFERROR(_xlfn.XLOOKUP($D105,'Modelling New'!$D:$D,'Modelling New'!AE:AE),"")</f>
        <v>0.995</v>
      </c>
      <c r="AH105" s="148">
        <f>IFERROR(_xlfn.XLOOKUP($D105,'Modelling New'!$D:$D,'Modelling New'!AF:AF),"")</f>
        <v>0.98550000000000004</v>
      </c>
      <c r="AN105" s="145"/>
      <c r="AO105" s="148"/>
      <c r="AP105" s="148"/>
      <c r="AQ105" s="148"/>
      <c r="AR105" s="143">
        <f>IFERROR(_xlfn.XLOOKUP($D105,'Modelling New'!$D:$D,'Modelling New'!$N:$N),"")</f>
        <v>11.72</v>
      </c>
      <c r="AT105" s="143">
        <f>IFERROR(_xlfn.XLOOKUP(Table13[[#This Row],[Date]],'Raw Data'!$G:$G,'Raw Data'!$AJ:$AJ),"")</f>
        <v>0</v>
      </c>
      <c r="AU105" s="143">
        <f>IFERROR(_xlfn.XLOOKUP(Table13[[#This Row],[Month Year]],'Modelling New'!$D:$D,'Modelling New'!$AO:$AO),"")</f>
        <v>10</v>
      </c>
      <c r="AV105" s="143"/>
    </row>
    <row r="106" spans="1:48">
      <c r="A106" s="142">
        <f t="shared" si="7"/>
        <v>45849</v>
      </c>
      <c r="B106" s="143">
        <f>YEAR(Table13[[#This Row],[Date]])+IF(MONTH(Table13[[#This Row],[Date]])&gt;=4,1,0)</f>
        <v>2026</v>
      </c>
      <c r="C106" s="116">
        <f>YEAR(Table13[[#This Row],[Date]])</f>
        <v>2025</v>
      </c>
      <c r="D106" s="144">
        <f>Table13[[#This Row],[Date]]-DAY(Table13[[#This Row],[Date]])+1</f>
        <v>45839</v>
      </c>
      <c r="E106" s="116">
        <f t="shared" si="4"/>
        <v>31</v>
      </c>
      <c r="F106" s="117">
        <f>IFERROR(_xlfn.XLOOKUP($A106,'Raw Data'!$G:$G,'Raw Data'!$AH:$AH),"")</f>
        <v>12.55</v>
      </c>
      <c r="G106" s="118">
        <f>IFERROR(_xlfn.XLOOKUP($A106,'Raw Data'!$G:$G,'Raw Data'!$S:$S)/1000,"")</f>
        <v>0</v>
      </c>
      <c r="H106" s="118"/>
      <c r="I106" s="118">
        <f>IFERROR(_xlfn.XLOOKUP($A106,'Raw Data'!$G:$G,'Raw Data'!$AF:$AF)/1000,"")</f>
        <v>6.1589999999999998</v>
      </c>
      <c r="J106" s="118"/>
      <c r="K106" s="118">
        <f>IFERROR(_xlfn.XLOOKUP($A106,'Raw Data'!$G:$G,'Raw Data'!W:W),"")</f>
        <v>24</v>
      </c>
      <c r="L106" s="118">
        <f>IFERROR(_xlfn.XLOOKUP($A106,'Raw Data'!$G:$G,'Raw Data'!X:X),"")</f>
        <v>39</v>
      </c>
      <c r="M106" s="118">
        <f>IFERROR(_xlfn.XLOOKUP($A106,'Raw Data'!$G:$G,'Raw Data'!Y:Y),"")</f>
        <v>2</v>
      </c>
      <c r="N106" s="118">
        <f>IFERROR(_xlfn.XLOOKUP($A106,'Raw Data'!$G:$G,'Raw Data'!Z:Z),"")</f>
        <v>6</v>
      </c>
      <c r="O106" s="145">
        <f>IFERROR(1-SUMIF('Plant BD'!$B:$B,$A106,'Plant BD'!$AM:$AM)/($AA106+SUMIF('Plant BD'!$B:$B,$A106,'Plant BD'!$AM:$AM)),"")</f>
        <v>1</v>
      </c>
      <c r="P106" s="145"/>
      <c r="Q106" s="146"/>
      <c r="R106" s="145">
        <f>IFERROR(1-SUMIF('Grid BD'!$B:$B,$A106,'Grid BD'!$AE:$AE)/($AA106+SUMIF('Grid BD'!$B:$B,$A106,'Grid BD'!$AE:$AE)),"")</f>
        <v>1</v>
      </c>
      <c r="T106" s="146">
        <f>IFERROR(1-SUMIF(Tracker_BD!$H:$H,$A106,Tracker_BD!AI:AI)/$F106,"")</f>
        <v>0.98610920303460492</v>
      </c>
      <c r="U106" s="147">
        <f t="shared" si="5"/>
        <v>0.72905185507816639</v>
      </c>
      <c r="V106" s="147"/>
      <c r="W106" s="148">
        <f t="shared" si="6"/>
        <v>0.18709293230943438</v>
      </c>
      <c r="X106" s="143">
        <f>IFERROR(_xlfn.XLOOKUP($A106,'Raw Data'!$G:$G,'Raw Data'!$AB:$AB),"")</f>
        <v>52773</v>
      </c>
      <c r="Y106" s="143">
        <f>IFERROR(_xlfn.XLOOKUP($A106,'Raw Data'!$G:$G,'Raw Data'!AC:AC),"")</f>
        <v>52805.099999997765</v>
      </c>
      <c r="Z106" s="143">
        <f>IFERROR(_xlfn.XLOOKUP($A106,'Raw Data'!$G:$G,'Raw Data'!AD:AD),"")</f>
        <v>179.60000000005039</v>
      </c>
      <c r="AA106" s="143">
        <f>IFERROR(_xlfn.XLOOKUP($A106,'Raw Data'!$G:$G,'Raw Data'!AE:AE)*(1+(_xlfn.XLOOKUP(Table13[[#This Row],[Month Year]],JMR!$A:$A,JMR!$J:$J))),"")</f>
        <v>52625.499999997715</v>
      </c>
      <c r="AB106" s="143">
        <f>IFERROR(_xlfn.XLOOKUP($A106,'Raw Data'!$G:$G,'Raw Data'!$H:$H),"")</f>
        <v>11.72</v>
      </c>
      <c r="AC106" s="149">
        <f>IFERROR(_xlfn.XLOOKUP($D106,'Modelling New'!$D:$D,'Modelling New'!$P:$P),"")</f>
        <v>4.6269332580645148</v>
      </c>
      <c r="AD106" s="143">
        <f>IFERROR(_xlfn.XLOOKUP($D106,'Modelling New'!$D:$D,'Modelling New'!$T:$T)*1000,"")</f>
        <v>40702.654142805535</v>
      </c>
      <c r="AE106" s="148">
        <f>IFERROR(_xlfn.XLOOKUP($D106,'Modelling New'!$D:$D,'Modelling New'!$O:$O),"")</f>
        <v>0.75058845994317613</v>
      </c>
      <c r="AF106" s="148">
        <f>IFERROR(_xlfn.XLOOKUP($D106,'Modelling New'!$D:$D,'Modelling New'!$W:$W),"")</f>
        <v>0.14470511285127108</v>
      </c>
      <c r="AG106" s="148">
        <f>IFERROR(_xlfn.XLOOKUP($D106,'Modelling New'!$D:$D,'Modelling New'!AE:AE),"")</f>
        <v>0.995</v>
      </c>
      <c r="AH106" s="148">
        <f>IFERROR(_xlfn.XLOOKUP($D106,'Modelling New'!$D:$D,'Modelling New'!AF:AF),"")</f>
        <v>0.98550000000000004</v>
      </c>
      <c r="AN106" s="145"/>
      <c r="AO106" s="148"/>
      <c r="AP106" s="148"/>
      <c r="AQ106" s="148"/>
      <c r="AR106" s="143">
        <f>IFERROR(_xlfn.XLOOKUP($D106,'Modelling New'!$D:$D,'Modelling New'!$N:$N),"")</f>
        <v>11.72</v>
      </c>
      <c r="AT106" s="143">
        <f>IFERROR(_xlfn.XLOOKUP(Table13[[#This Row],[Date]],'Raw Data'!$G:$G,'Raw Data'!$AJ:$AJ),"")</f>
        <v>0</v>
      </c>
      <c r="AU106" s="143">
        <f>IFERROR(_xlfn.XLOOKUP(Table13[[#This Row],[Month Year]],'Modelling New'!$D:$D,'Modelling New'!$AO:$AO),"")</f>
        <v>10</v>
      </c>
      <c r="AV106" s="143"/>
    </row>
    <row r="107" spans="1:48">
      <c r="A107" s="142">
        <f t="shared" si="7"/>
        <v>45850</v>
      </c>
      <c r="B107" s="143">
        <f>YEAR(Table13[[#This Row],[Date]])+IF(MONTH(Table13[[#This Row],[Date]])&gt;=4,1,0)</f>
        <v>2026</v>
      </c>
      <c r="C107" s="116">
        <f>YEAR(Table13[[#This Row],[Date]])</f>
        <v>2025</v>
      </c>
      <c r="D107" s="144">
        <f>Table13[[#This Row],[Date]]-DAY(Table13[[#This Row],[Date]])+1</f>
        <v>45839</v>
      </c>
      <c r="E107" s="116">
        <f t="shared" si="4"/>
        <v>31</v>
      </c>
      <c r="F107" s="117">
        <f>IFERROR(_xlfn.XLOOKUP($A107,'Raw Data'!$G:$G,'Raw Data'!$AH:$AH),"")</f>
        <v>12.733333333333334</v>
      </c>
      <c r="G107" s="118">
        <f>IFERROR(_xlfn.XLOOKUP($A107,'Raw Data'!$G:$G,'Raw Data'!$S:$S)/1000,"")</f>
        <v>0</v>
      </c>
      <c r="H107" s="118"/>
      <c r="I107" s="118">
        <f>IFERROR(_xlfn.XLOOKUP($A107,'Raw Data'!$G:$G,'Raw Data'!$AF:$AF)/1000,"")</f>
        <v>6.5940000000000003</v>
      </c>
      <c r="J107" s="118"/>
      <c r="K107" s="118">
        <f>IFERROR(_xlfn.XLOOKUP($A107,'Raw Data'!$G:$G,'Raw Data'!W:W),"")</f>
        <v>24</v>
      </c>
      <c r="L107" s="118">
        <f>IFERROR(_xlfn.XLOOKUP($A107,'Raw Data'!$G:$G,'Raw Data'!X:X),"")</f>
        <v>39</v>
      </c>
      <c r="M107" s="118">
        <f>IFERROR(_xlfn.XLOOKUP($A107,'Raw Data'!$G:$G,'Raw Data'!Y:Y),"")</f>
        <v>3</v>
      </c>
      <c r="N107" s="118">
        <f>IFERROR(_xlfn.XLOOKUP($A107,'Raw Data'!$G:$G,'Raw Data'!Z:Z),"")</f>
        <v>6</v>
      </c>
      <c r="O107" s="145">
        <f>IFERROR(1-SUMIF('Plant BD'!$B:$B,$A107,'Plant BD'!$AM:$AM)/($AA107+SUMIF('Plant BD'!$B:$B,$A107,'Plant BD'!$AM:$AM)),"")</f>
        <v>1</v>
      </c>
      <c r="P107" s="145"/>
      <c r="Q107" s="146"/>
      <c r="R107" s="145">
        <f>IFERROR(1-SUMIF('Grid BD'!$B:$B,$A107,'Grid BD'!$AE:$AE)/($AA107+SUMIF('Grid BD'!$B:$B,$A107,'Grid BD'!$AE:$AE)),"")</f>
        <v>1</v>
      </c>
      <c r="T107" s="146">
        <f>IFERROR(1-SUMIF(Tracker_BD!$H:$H,$A107,Tracker_BD!AI:AI)/$F107,"")</f>
        <v>0.98629039537822716</v>
      </c>
      <c r="U107" s="147">
        <f t="shared" si="5"/>
        <v>0.71198762759837086</v>
      </c>
      <c r="V107" s="147"/>
      <c r="W107" s="148">
        <f t="shared" si="6"/>
        <v>0.19561860068265238</v>
      </c>
      <c r="X107" s="143">
        <f>IFERROR(_xlfn.XLOOKUP($A107,'Raw Data'!$G:$G,'Raw Data'!$AB:$AB),"")</f>
        <v>55062</v>
      </c>
      <c r="Y107" s="143">
        <f>IFERROR(_xlfn.XLOOKUP($A107,'Raw Data'!$G:$G,'Raw Data'!AC:AC),"")</f>
        <v>55041.400000016438</v>
      </c>
      <c r="Z107" s="143">
        <f>IFERROR(_xlfn.XLOOKUP($A107,'Raw Data'!$G:$G,'Raw Data'!AD:AD),"")</f>
        <v>17.799999999965621</v>
      </c>
      <c r="AA107" s="143">
        <f>IFERROR(_xlfn.XLOOKUP($A107,'Raw Data'!$G:$G,'Raw Data'!AE:AE)*(1+(_xlfn.XLOOKUP(Table13[[#This Row],[Month Year]],JMR!$A:$A,JMR!$J:$J))),"")</f>
        <v>55023.600000016471</v>
      </c>
      <c r="AB107" s="143">
        <f>IFERROR(_xlfn.XLOOKUP($A107,'Raw Data'!$G:$G,'Raw Data'!$H:$H),"")</f>
        <v>11.72</v>
      </c>
      <c r="AC107" s="149">
        <f>IFERROR(_xlfn.XLOOKUP($D107,'Modelling New'!$D:$D,'Modelling New'!$P:$P),"")</f>
        <v>4.6269332580645148</v>
      </c>
      <c r="AD107" s="143">
        <f>IFERROR(_xlfn.XLOOKUP($D107,'Modelling New'!$D:$D,'Modelling New'!$T:$T)*1000,"")</f>
        <v>40702.654142805535</v>
      </c>
      <c r="AE107" s="148">
        <f>IFERROR(_xlfn.XLOOKUP($D107,'Modelling New'!$D:$D,'Modelling New'!$O:$O),"")</f>
        <v>0.75058845994317613</v>
      </c>
      <c r="AF107" s="148">
        <f>IFERROR(_xlfn.XLOOKUP($D107,'Modelling New'!$D:$D,'Modelling New'!$W:$W),"")</f>
        <v>0.14470511285127108</v>
      </c>
      <c r="AG107" s="148">
        <f>IFERROR(_xlfn.XLOOKUP($D107,'Modelling New'!$D:$D,'Modelling New'!AE:AE),"")</f>
        <v>0.995</v>
      </c>
      <c r="AH107" s="148">
        <f>IFERROR(_xlfn.XLOOKUP($D107,'Modelling New'!$D:$D,'Modelling New'!AF:AF),"")</f>
        <v>0.98550000000000004</v>
      </c>
      <c r="AN107" s="145"/>
      <c r="AO107" s="148"/>
      <c r="AP107" s="148"/>
      <c r="AQ107" s="148"/>
      <c r="AR107" s="143">
        <f>IFERROR(_xlfn.XLOOKUP($D107,'Modelling New'!$D:$D,'Modelling New'!$N:$N),"")</f>
        <v>11.72</v>
      </c>
      <c r="AT107" s="143">
        <f>IFERROR(_xlfn.XLOOKUP(Table13[[#This Row],[Date]],'Raw Data'!$G:$G,'Raw Data'!$AJ:$AJ),"")</f>
        <v>0</v>
      </c>
      <c r="AU107" s="143">
        <f>IFERROR(_xlfn.XLOOKUP(Table13[[#This Row],[Month Year]],'Modelling New'!$D:$D,'Modelling New'!$AO:$AO),"")</f>
        <v>10</v>
      </c>
      <c r="AV107" s="143"/>
    </row>
    <row r="108" spans="1:48">
      <c r="A108" s="142">
        <f t="shared" si="7"/>
        <v>45851</v>
      </c>
      <c r="B108" s="143">
        <f>YEAR(Table13[[#This Row],[Date]])+IF(MONTH(Table13[[#This Row],[Date]])&gt;=4,1,0)</f>
        <v>2026</v>
      </c>
      <c r="C108" s="116">
        <f>YEAR(Table13[[#This Row],[Date]])</f>
        <v>2025</v>
      </c>
      <c r="D108" s="144">
        <f>Table13[[#This Row],[Date]]-DAY(Table13[[#This Row],[Date]])+1</f>
        <v>45839</v>
      </c>
      <c r="E108" s="116">
        <f t="shared" si="4"/>
        <v>31</v>
      </c>
      <c r="F108" s="117">
        <f>IFERROR(_xlfn.XLOOKUP($A108,'Raw Data'!$G:$G,'Raw Data'!$AH:$AH),"")</f>
        <v>12.716666666666667</v>
      </c>
      <c r="G108" s="118">
        <f>IFERROR(_xlfn.XLOOKUP($A108,'Raw Data'!$G:$G,'Raw Data'!$S:$S)/1000,"")</f>
        <v>0</v>
      </c>
      <c r="H108" s="118"/>
      <c r="I108" s="118">
        <f>IFERROR(_xlfn.XLOOKUP($A108,'Raw Data'!$G:$G,'Raw Data'!$AF:$AF)/1000,"")</f>
        <v>6.1085000000000003</v>
      </c>
      <c r="J108" s="118"/>
      <c r="K108" s="118">
        <f>IFERROR(_xlfn.XLOOKUP($A108,'Raw Data'!$G:$G,'Raw Data'!W:W),"")</f>
        <v>24</v>
      </c>
      <c r="L108" s="118">
        <f>IFERROR(_xlfn.XLOOKUP($A108,'Raw Data'!$G:$G,'Raw Data'!X:X),"")</f>
        <v>38</v>
      </c>
      <c r="M108" s="118">
        <f>IFERROR(_xlfn.XLOOKUP($A108,'Raw Data'!$G:$G,'Raw Data'!Y:Y),"")</f>
        <v>3</v>
      </c>
      <c r="N108" s="118">
        <f>IFERROR(_xlfn.XLOOKUP($A108,'Raw Data'!$G:$G,'Raw Data'!Z:Z),"")</f>
        <v>6</v>
      </c>
      <c r="O108" s="145">
        <f>IFERROR(1-SUMIF('Plant BD'!$B:$B,$A108,'Plant BD'!$AM:$AM)/($AA108+SUMIF('Plant BD'!$B:$B,$A108,'Plant BD'!$AM:$AM)),"")</f>
        <v>1</v>
      </c>
      <c r="P108" s="145"/>
      <c r="Q108" s="146"/>
      <c r="R108" s="145">
        <f>IFERROR(1-SUMIF('Grid BD'!$B:$B,$A108,'Grid BD'!$AE:$AE)/($AA108+SUMIF('Grid BD'!$B:$B,$A108,'Grid BD'!$AE:$AE)),"")</f>
        <v>1</v>
      </c>
      <c r="T108" s="146">
        <f>IFERROR(1-SUMIF(Tracker_BD!$H:$H,$A108,Tracker_BD!AI:AI)/$F108,"")</f>
        <v>0.98621593528268636</v>
      </c>
      <c r="U108" s="147">
        <f t="shared" si="5"/>
        <v>0.7304290641835528</v>
      </c>
      <c r="V108" s="147"/>
      <c r="W108" s="148">
        <f t="shared" si="6"/>
        <v>0.18590941410688466</v>
      </c>
      <c r="X108" s="143">
        <f>IFERROR(_xlfn.XLOOKUP($A108,'Raw Data'!$G:$G,'Raw Data'!$AB:$AB),"")</f>
        <v>52510</v>
      </c>
      <c r="Y108" s="143">
        <f>IFERROR(_xlfn.XLOOKUP($A108,'Raw Data'!$G:$G,'Raw Data'!AC:AC),"")</f>
        <v>52500.89999998454</v>
      </c>
      <c r="Z108" s="143">
        <f>IFERROR(_xlfn.XLOOKUP($A108,'Raw Data'!$G:$G,'Raw Data'!AD:AD),"")</f>
        <v>208.30000000000837</v>
      </c>
      <c r="AA108" s="143">
        <f>IFERROR(_xlfn.XLOOKUP($A108,'Raw Data'!$G:$G,'Raw Data'!AE:AE)*(1+(_xlfn.XLOOKUP(Table13[[#This Row],[Month Year]],JMR!$A:$A,JMR!$J:$J))),"")</f>
        <v>52292.59999998453</v>
      </c>
      <c r="AB108" s="143">
        <f>IFERROR(_xlfn.XLOOKUP($A108,'Raw Data'!$G:$G,'Raw Data'!$H:$H),"")</f>
        <v>11.72</v>
      </c>
      <c r="AC108" s="149">
        <f>IFERROR(_xlfn.XLOOKUP($D108,'Modelling New'!$D:$D,'Modelling New'!$P:$P),"")</f>
        <v>4.6269332580645148</v>
      </c>
      <c r="AD108" s="143">
        <f>IFERROR(_xlfn.XLOOKUP($D108,'Modelling New'!$D:$D,'Modelling New'!$T:$T)*1000,"")</f>
        <v>40702.654142805535</v>
      </c>
      <c r="AE108" s="148">
        <f>IFERROR(_xlfn.XLOOKUP($D108,'Modelling New'!$D:$D,'Modelling New'!$O:$O),"")</f>
        <v>0.75058845994317613</v>
      </c>
      <c r="AF108" s="148">
        <f>IFERROR(_xlfn.XLOOKUP($D108,'Modelling New'!$D:$D,'Modelling New'!$W:$W),"")</f>
        <v>0.14470511285127108</v>
      </c>
      <c r="AG108" s="148">
        <f>IFERROR(_xlfn.XLOOKUP($D108,'Modelling New'!$D:$D,'Modelling New'!AE:AE),"")</f>
        <v>0.995</v>
      </c>
      <c r="AH108" s="148">
        <f>IFERROR(_xlfn.XLOOKUP($D108,'Modelling New'!$D:$D,'Modelling New'!AF:AF),"")</f>
        <v>0.98550000000000004</v>
      </c>
      <c r="AN108" s="145"/>
      <c r="AO108" s="148"/>
      <c r="AP108" s="148"/>
      <c r="AQ108" s="148"/>
      <c r="AR108" s="143">
        <f>IFERROR(_xlfn.XLOOKUP($D108,'Modelling New'!$D:$D,'Modelling New'!$N:$N),"")</f>
        <v>11.72</v>
      </c>
      <c r="AT108" s="143">
        <f>IFERROR(_xlfn.XLOOKUP(Table13[[#This Row],[Date]],'Raw Data'!$G:$G,'Raw Data'!$AJ:$AJ),"")</f>
        <v>0</v>
      </c>
      <c r="AU108" s="143">
        <f>IFERROR(_xlfn.XLOOKUP(Table13[[#This Row],[Month Year]],'Modelling New'!$D:$D,'Modelling New'!$AO:$AO),"")</f>
        <v>10</v>
      </c>
      <c r="AV108" s="143"/>
    </row>
    <row r="109" spans="1:48">
      <c r="A109" s="142">
        <f t="shared" si="7"/>
        <v>45852</v>
      </c>
      <c r="B109" s="143">
        <f>YEAR(Table13[[#This Row],[Date]])+IF(MONTH(Table13[[#This Row],[Date]])&gt;=4,1,0)</f>
        <v>2026</v>
      </c>
      <c r="C109" s="116">
        <f>YEAR(Table13[[#This Row],[Date]])</f>
        <v>2025</v>
      </c>
      <c r="D109" s="144">
        <f>Table13[[#This Row],[Date]]-DAY(Table13[[#This Row],[Date]])+1</f>
        <v>45839</v>
      </c>
      <c r="E109" s="116">
        <f t="shared" si="4"/>
        <v>31</v>
      </c>
      <c r="F109" s="117">
        <f>IFERROR(_xlfn.XLOOKUP($A109,'Raw Data'!$G:$G,'Raw Data'!$AH:$AH),"")</f>
        <v>12.75</v>
      </c>
      <c r="G109" s="118">
        <f>IFERROR(_xlfn.XLOOKUP($A109,'Raw Data'!$G:$G,'Raw Data'!$S:$S)/1000,"")</f>
        <v>0</v>
      </c>
      <c r="H109" s="118"/>
      <c r="I109" s="118">
        <f>IFERROR(_xlfn.XLOOKUP($A109,'Raw Data'!$G:$G,'Raw Data'!$AF:$AF)/1000,"")</f>
        <v>6.7610000000000001</v>
      </c>
      <c r="J109" s="118"/>
      <c r="K109" s="118">
        <f>IFERROR(_xlfn.XLOOKUP($A109,'Raw Data'!$G:$G,'Raw Data'!W:W),"")</f>
        <v>24</v>
      </c>
      <c r="L109" s="118">
        <f>IFERROR(_xlfn.XLOOKUP($A109,'Raw Data'!$G:$G,'Raw Data'!X:X),"")</f>
        <v>37</v>
      </c>
      <c r="M109" s="118">
        <f>IFERROR(_xlfn.XLOOKUP($A109,'Raw Data'!$G:$G,'Raw Data'!Y:Y),"")</f>
        <v>3</v>
      </c>
      <c r="N109" s="118">
        <f>IFERROR(_xlfn.XLOOKUP($A109,'Raw Data'!$G:$G,'Raw Data'!Z:Z),"")</f>
        <v>7</v>
      </c>
      <c r="O109" s="145">
        <f>IFERROR(1-SUMIF('Plant BD'!$B:$B,$A109,'Plant BD'!$AM:$AM)/($AA109+SUMIF('Plant BD'!$B:$B,$A109,'Plant BD'!$AM:$AM)),"")</f>
        <v>1</v>
      </c>
      <c r="P109" s="145"/>
      <c r="Q109" s="146"/>
      <c r="R109" s="145">
        <f>IFERROR(1-SUMIF('Grid BD'!$B:$B,$A109,'Grid BD'!$AE:$AE)/($AA109+SUMIF('Grid BD'!$B:$B,$A109,'Grid BD'!$AE:$AE)),"")</f>
        <v>1</v>
      </c>
      <c r="T109" s="146">
        <f>IFERROR(1-SUMIF(Tracker_BD!$H:$H,$A109,Tracker_BD!AI:AI)/$F109,"")</f>
        <v>0.98625197205318904</v>
      </c>
      <c r="U109" s="147">
        <f t="shared" si="5"/>
        <v>0.71061165397025017</v>
      </c>
      <c r="V109" s="147"/>
      <c r="W109" s="148">
        <f t="shared" si="6"/>
        <v>0.20018522468720254</v>
      </c>
      <c r="X109" s="143">
        <f>IFERROR(_xlfn.XLOOKUP($A109,'Raw Data'!$G:$G,'Raw Data'!$AB:$AB),"")</f>
        <v>56530</v>
      </c>
      <c r="Y109" s="143">
        <f>IFERROR(_xlfn.XLOOKUP($A109,'Raw Data'!$G:$G,'Raw Data'!AC:AC),"")</f>
        <v>56483.800000016345</v>
      </c>
      <c r="Z109" s="143">
        <f>IFERROR(_xlfn.XLOOKUP($A109,'Raw Data'!$G:$G,'Raw Data'!AD:AD),"")</f>
        <v>175.70000000000618</v>
      </c>
      <c r="AA109" s="143">
        <f>IFERROR(_xlfn.XLOOKUP($A109,'Raw Data'!$G:$G,'Raw Data'!AE:AE)*(1+(_xlfn.XLOOKUP(Table13[[#This Row],[Month Year]],JMR!$A:$A,JMR!$J:$J))),"")</f>
        <v>56308.10000001634</v>
      </c>
      <c r="AB109" s="143">
        <f>IFERROR(_xlfn.XLOOKUP($A109,'Raw Data'!$G:$G,'Raw Data'!$H:$H),"")</f>
        <v>11.72</v>
      </c>
      <c r="AC109" s="149">
        <f>IFERROR(_xlfn.XLOOKUP($D109,'Modelling New'!$D:$D,'Modelling New'!$P:$P),"")</f>
        <v>4.6269332580645148</v>
      </c>
      <c r="AD109" s="143">
        <f>IFERROR(_xlfn.XLOOKUP($D109,'Modelling New'!$D:$D,'Modelling New'!$T:$T)*1000,"")</f>
        <v>40702.654142805535</v>
      </c>
      <c r="AE109" s="148">
        <f>IFERROR(_xlfn.XLOOKUP($D109,'Modelling New'!$D:$D,'Modelling New'!$O:$O),"")</f>
        <v>0.75058845994317613</v>
      </c>
      <c r="AF109" s="148">
        <f>IFERROR(_xlfn.XLOOKUP($D109,'Modelling New'!$D:$D,'Modelling New'!$W:$W),"")</f>
        <v>0.14470511285127108</v>
      </c>
      <c r="AG109" s="148">
        <f>IFERROR(_xlfn.XLOOKUP($D109,'Modelling New'!$D:$D,'Modelling New'!AE:AE),"")</f>
        <v>0.995</v>
      </c>
      <c r="AH109" s="148">
        <f>IFERROR(_xlfn.XLOOKUP($D109,'Modelling New'!$D:$D,'Modelling New'!AF:AF),"")</f>
        <v>0.98550000000000004</v>
      </c>
      <c r="AN109" s="145"/>
      <c r="AO109" s="148"/>
      <c r="AP109" s="148"/>
      <c r="AQ109" s="148"/>
      <c r="AR109" s="143">
        <f>IFERROR(_xlfn.XLOOKUP($D109,'Modelling New'!$D:$D,'Modelling New'!$N:$N),"")</f>
        <v>11.72</v>
      </c>
      <c r="AT109" s="143">
        <f>IFERROR(_xlfn.XLOOKUP(Table13[[#This Row],[Date]],'Raw Data'!$G:$G,'Raw Data'!$AJ:$AJ),"")</f>
        <v>0</v>
      </c>
      <c r="AU109" s="143">
        <f>IFERROR(_xlfn.XLOOKUP(Table13[[#This Row],[Month Year]],'Modelling New'!$D:$D,'Modelling New'!$AO:$AO),"")</f>
        <v>10</v>
      </c>
      <c r="AV109" s="143"/>
    </row>
    <row r="110" spans="1:48">
      <c r="A110" s="142">
        <f t="shared" si="7"/>
        <v>45853</v>
      </c>
      <c r="B110" s="143">
        <f>YEAR(Table13[[#This Row],[Date]])+IF(MONTH(Table13[[#This Row],[Date]])&gt;=4,1,0)</f>
        <v>2026</v>
      </c>
      <c r="C110" s="116">
        <f>YEAR(Table13[[#This Row],[Date]])</f>
        <v>2025</v>
      </c>
      <c r="D110" s="144">
        <f>Table13[[#This Row],[Date]]-DAY(Table13[[#This Row],[Date]])+1</f>
        <v>45839</v>
      </c>
      <c r="E110" s="116">
        <f t="shared" ref="E110:E173" si="8">DAY(EOMONTH(A110,0))</f>
        <v>31</v>
      </c>
      <c r="F110" s="117">
        <f>IFERROR(_xlfn.XLOOKUP($A110,'Raw Data'!$G:$G,'Raw Data'!$AH:$AH),"")</f>
        <v>12.7</v>
      </c>
      <c r="G110" s="118">
        <f>IFERROR(_xlfn.XLOOKUP($A110,'Raw Data'!$G:$G,'Raw Data'!$S:$S)/1000,"")</f>
        <v>0</v>
      </c>
      <c r="H110" s="118"/>
      <c r="I110" s="118">
        <f>IFERROR(_xlfn.XLOOKUP($A110,'Raw Data'!$G:$G,'Raw Data'!$AF:$AF)/1000,"")</f>
        <v>4.7160000000000002</v>
      </c>
      <c r="J110" s="118"/>
      <c r="K110" s="118">
        <f>IFERROR(_xlfn.XLOOKUP($A110,'Raw Data'!$G:$G,'Raw Data'!W:W),"")</f>
        <v>24</v>
      </c>
      <c r="L110" s="118">
        <f>IFERROR(_xlfn.XLOOKUP($A110,'Raw Data'!$G:$G,'Raw Data'!X:X),"")</f>
        <v>36</v>
      </c>
      <c r="M110" s="118">
        <f>IFERROR(_xlfn.XLOOKUP($A110,'Raw Data'!$G:$G,'Raw Data'!Y:Y),"")</f>
        <v>3</v>
      </c>
      <c r="N110" s="118">
        <f>IFERROR(_xlfn.XLOOKUP($A110,'Raw Data'!$G:$G,'Raw Data'!Z:Z),"")</f>
        <v>7</v>
      </c>
      <c r="O110" s="145">
        <f>IFERROR(1-SUMIF('Plant BD'!$B:$B,$A110,'Plant BD'!$AM:$AM)/($AA110+SUMIF('Plant BD'!$B:$B,$A110,'Plant BD'!$AM:$AM)),"")</f>
        <v>0.23076006919051761</v>
      </c>
      <c r="P110" s="145"/>
      <c r="Q110" s="146"/>
      <c r="R110" s="145">
        <f>IFERROR(1-SUMIF('Grid BD'!$B:$B,$A110,'Grid BD'!$AE:$AE)/($AA110+SUMIF('Grid BD'!$B:$B,$A110,'Grid BD'!$AE:$AE)),"")</f>
        <v>0.97598812545017377</v>
      </c>
      <c r="T110" s="146">
        <f>IFERROR(1-SUMIF(Tracker_BD!$H:$H,$A110,Tracker_BD!AI:AI)/$F110,"")</f>
        <v>0.98634868917247409</v>
      </c>
      <c r="U110" s="147">
        <f t="shared" si="5"/>
        <v>0.73688040422958245</v>
      </c>
      <c r="V110" s="147"/>
      <c r="W110" s="148">
        <f t="shared" si="6"/>
        <v>0.14479699943111293</v>
      </c>
      <c r="X110" s="143">
        <f>IFERROR(_xlfn.XLOOKUP($A110,'Raw Data'!$G:$G,'Raw Data'!$AB:$AB),"")</f>
        <v>40981</v>
      </c>
      <c r="Y110" s="143">
        <f>IFERROR(_xlfn.XLOOKUP($A110,'Raw Data'!$G:$G,'Raw Data'!AC:AC),"")</f>
        <v>40900.999999983469</v>
      </c>
      <c r="Z110" s="143">
        <f>IFERROR(_xlfn.XLOOKUP($A110,'Raw Data'!$G:$G,'Raw Data'!AD:AD),"")</f>
        <v>172.50000000001364</v>
      </c>
      <c r="AA110" s="143">
        <f>IFERROR(_xlfn.XLOOKUP($A110,'Raw Data'!$G:$G,'Raw Data'!AE:AE)*(1+(_xlfn.XLOOKUP(Table13[[#This Row],[Month Year]],JMR!$A:$A,JMR!$J:$J))),"")</f>
        <v>40728.499999983454</v>
      </c>
      <c r="AB110" s="143">
        <f>IFERROR(_xlfn.XLOOKUP($A110,'Raw Data'!$G:$G,'Raw Data'!$H:$H),"")</f>
        <v>11.72</v>
      </c>
      <c r="AC110" s="149">
        <f>IFERROR(_xlfn.XLOOKUP($D110,'Modelling New'!$D:$D,'Modelling New'!$P:$P),"")</f>
        <v>4.6269332580645148</v>
      </c>
      <c r="AD110" s="143">
        <f>IFERROR(_xlfn.XLOOKUP($D110,'Modelling New'!$D:$D,'Modelling New'!$T:$T)*1000,"")</f>
        <v>40702.654142805535</v>
      </c>
      <c r="AE110" s="148">
        <f>IFERROR(_xlfn.XLOOKUP($D110,'Modelling New'!$D:$D,'Modelling New'!$O:$O),"")</f>
        <v>0.75058845994317613</v>
      </c>
      <c r="AF110" s="148">
        <f>IFERROR(_xlfn.XLOOKUP($D110,'Modelling New'!$D:$D,'Modelling New'!$W:$W),"")</f>
        <v>0.14470511285127108</v>
      </c>
      <c r="AG110" s="148">
        <f>IFERROR(_xlfn.XLOOKUP($D110,'Modelling New'!$D:$D,'Modelling New'!AE:AE),"")</f>
        <v>0.995</v>
      </c>
      <c r="AH110" s="148">
        <f>IFERROR(_xlfn.XLOOKUP($D110,'Modelling New'!$D:$D,'Modelling New'!AF:AF),"")</f>
        <v>0.98550000000000004</v>
      </c>
      <c r="AN110" s="145"/>
      <c r="AO110" s="148"/>
      <c r="AP110" s="148"/>
      <c r="AQ110" s="148"/>
      <c r="AR110" s="143">
        <f>IFERROR(_xlfn.XLOOKUP($D110,'Modelling New'!$D:$D,'Modelling New'!$N:$N),"")</f>
        <v>11.72</v>
      </c>
      <c r="AT110" s="143">
        <f>IFERROR(_xlfn.XLOOKUP(Table13[[#This Row],[Date]],'Raw Data'!$G:$G,'Raw Data'!$AJ:$AJ),"")</f>
        <v>0</v>
      </c>
      <c r="AU110" s="143">
        <f>IFERROR(_xlfn.XLOOKUP(Table13[[#This Row],[Month Year]],'Modelling New'!$D:$D,'Modelling New'!$AO:$AO),"")</f>
        <v>10</v>
      </c>
      <c r="AV110" s="143"/>
    </row>
    <row r="111" spans="1:48">
      <c r="A111" s="142">
        <f t="shared" si="7"/>
        <v>45854</v>
      </c>
      <c r="B111" s="143">
        <f>YEAR(Table13[[#This Row],[Date]])+IF(MONTH(Table13[[#This Row],[Date]])&gt;=4,1,0)</f>
        <v>2026</v>
      </c>
      <c r="C111" s="116">
        <f>YEAR(Table13[[#This Row],[Date]])</f>
        <v>2025</v>
      </c>
      <c r="D111" s="144">
        <f>Table13[[#This Row],[Date]]-DAY(Table13[[#This Row],[Date]])+1</f>
        <v>45839</v>
      </c>
      <c r="E111" s="116">
        <f t="shared" si="8"/>
        <v>31</v>
      </c>
      <c r="F111" s="117">
        <f>IFERROR(_xlfn.XLOOKUP($A111,'Raw Data'!$G:$G,'Raw Data'!$AH:$AH),"")</f>
        <v>12.316666666666668</v>
      </c>
      <c r="G111" s="118">
        <f>IFERROR(_xlfn.XLOOKUP($A111,'Raw Data'!$G:$G,'Raw Data'!$S:$S)/1000,"")</f>
        <v>0</v>
      </c>
      <c r="H111" s="118"/>
      <c r="I111" s="118">
        <f>IFERROR(_xlfn.XLOOKUP($A111,'Raw Data'!$G:$G,'Raw Data'!$AF:$AF)/1000,"")</f>
        <v>5.516</v>
      </c>
      <c r="J111" s="118"/>
      <c r="K111" s="118">
        <f>IFERROR(_xlfn.XLOOKUP($A111,'Raw Data'!$G:$G,'Raw Data'!W:W),"")</f>
        <v>24</v>
      </c>
      <c r="L111" s="118">
        <f>IFERROR(_xlfn.XLOOKUP($A111,'Raw Data'!$G:$G,'Raw Data'!X:X),"")</f>
        <v>38</v>
      </c>
      <c r="M111" s="118">
        <f>IFERROR(_xlfn.XLOOKUP($A111,'Raw Data'!$G:$G,'Raw Data'!Y:Y),"")</f>
        <v>2</v>
      </c>
      <c r="N111" s="118">
        <f>IFERROR(_xlfn.XLOOKUP($A111,'Raw Data'!$G:$G,'Raw Data'!Z:Z),"")</f>
        <v>5</v>
      </c>
      <c r="O111" s="145">
        <f>IFERROR(1-SUMIF('Plant BD'!$B:$B,$A111,'Plant BD'!$AM:$AM)/($AA111+SUMIF('Plant BD'!$B:$B,$A111,'Plant BD'!$AM:$AM)),"")</f>
        <v>1</v>
      </c>
      <c r="P111" s="145"/>
      <c r="Q111" s="146"/>
      <c r="R111" s="145">
        <f>IFERROR(1-SUMIF('Grid BD'!$B:$B,$A111,'Grid BD'!$AE:$AE)/($AA111+SUMIF('Grid BD'!$B:$B,$A111,'Grid BD'!$AE:$AE)),"")</f>
        <v>1</v>
      </c>
      <c r="T111" s="146">
        <f>IFERROR(1-SUMIF(Tracker_BD!$H:$H,$A111,Tracker_BD!AI:AI)/$F111,"")</f>
        <v>0.98580716407696012</v>
      </c>
      <c r="U111" s="147">
        <f t="shared" si="5"/>
        <v>0.74581515269255505</v>
      </c>
      <c r="V111" s="147"/>
      <c r="W111" s="148">
        <f t="shared" si="6"/>
        <v>0.17141318259383886</v>
      </c>
      <c r="X111" s="143">
        <f>IFERROR(_xlfn.XLOOKUP($A111,'Raw Data'!$G:$G,'Raw Data'!$AB:$AB),"")</f>
        <v>48410</v>
      </c>
      <c r="Y111" s="143">
        <f>IFERROR(_xlfn.XLOOKUP($A111,'Raw Data'!$G:$G,'Raw Data'!AC:AC),"")</f>
        <v>48389.599999994971</v>
      </c>
      <c r="Z111" s="143">
        <f>IFERROR(_xlfn.XLOOKUP($A111,'Raw Data'!$G:$G,'Raw Data'!AD:AD),"")</f>
        <v>174.49999999996635</v>
      </c>
      <c r="AA111" s="143">
        <f>IFERROR(_xlfn.XLOOKUP($A111,'Raw Data'!$G:$G,'Raw Data'!AE:AE)*(1+(_xlfn.XLOOKUP(Table13[[#This Row],[Month Year]],JMR!$A:$A,JMR!$J:$J))),"")</f>
        <v>48215.099999995007</v>
      </c>
      <c r="AB111" s="143">
        <f>IFERROR(_xlfn.XLOOKUP($A111,'Raw Data'!$G:$G,'Raw Data'!$H:$H),"")</f>
        <v>11.72</v>
      </c>
      <c r="AC111" s="149">
        <f>IFERROR(_xlfn.XLOOKUP($D111,'Modelling New'!$D:$D,'Modelling New'!$P:$P),"")</f>
        <v>4.6269332580645148</v>
      </c>
      <c r="AD111" s="143">
        <f>IFERROR(_xlfn.XLOOKUP($D111,'Modelling New'!$D:$D,'Modelling New'!$T:$T)*1000,"")</f>
        <v>40702.654142805535</v>
      </c>
      <c r="AE111" s="148">
        <f>IFERROR(_xlfn.XLOOKUP($D111,'Modelling New'!$D:$D,'Modelling New'!$O:$O),"")</f>
        <v>0.75058845994317613</v>
      </c>
      <c r="AF111" s="148">
        <f>IFERROR(_xlfn.XLOOKUP($D111,'Modelling New'!$D:$D,'Modelling New'!$W:$W),"")</f>
        <v>0.14470511285127108</v>
      </c>
      <c r="AG111" s="148">
        <f>IFERROR(_xlfn.XLOOKUP($D111,'Modelling New'!$D:$D,'Modelling New'!AE:AE),"")</f>
        <v>0.995</v>
      </c>
      <c r="AH111" s="148">
        <f>IFERROR(_xlfn.XLOOKUP($D111,'Modelling New'!$D:$D,'Modelling New'!AF:AF),"")</f>
        <v>0.98550000000000004</v>
      </c>
      <c r="AN111" s="145"/>
      <c r="AO111" s="148"/>
      <c r="AP111" s="148"/>
      <c r="AQ111" s="148"/>
      <c r="AR111" s="143">
        <f>IFERROR(_xlfn.XLOOKUP($D111,'Modelling New'!$D:$D,'Modelling New'!$N:$N),"")</f>
        <v>11.72</v>
      </c>
      <c r="AT111" s="143">
        <f>IFERROR(_xlfn.XLOOKUP(Table13[[#This Row],[Date]],'Raw Data'!$G:$G,'Raw Data'!$AJ:$AJ),"")</f>
        <v>0</v>
      </c>
      <c r="AU111" s="143">
        <f>IFERROR(_xlfn.XLOOKUP(Table13[[#This Row],[Month Year]],'Modelling New'!$D:$D,'Modelling New'!$AO:$AO),"")</f>
        <v>10</v>
      </c>
      <c r="AV111" s="143"/>
    </row>
    <row r="112" spans="1:48">
      <c r="A112" s="142">
        <f t="shared" si="7"/>
        <v>45855</v>
      </c>
      <c r="B112" s="143">
        <f>YEAR(Table13[[#This Row],[Date]])+IF(MONTH(Table13[[#This Row],[Date]])&gt;=4,1,0)</f>
        <v>2026</v>
      </c>
      <c r="C112" s="116">
        <f>YEAR(Table13[[#This Row],[Date]])</f>
        <v>2025</v>
      </c>
      <c r="D112" s="144">
        <f>Table13[[#This Row],[Date]]-DAY(Table13[[#This Row],[Date]])+1</f>
        <v>45839</v>
      </c>
      <c r="E112" s="116">
        <f t="shared" si="8"/>
        <v>31</v>
      </c>
      <c r="F112" s="117">
        <f>IFERROR(_xlfn.XLOOKUP($A112,'Raw Data'!$G:$G,'Raw Data'!$AH:$AH),"")</f>
        <v>12.499999999999998</v>
      </c>
      <c r="G112" s="118">
        <f>IFERROR(_xlfn.XLOOKUP($A112,'Raw Data'!$G:$G,'Raw Data'!$S:$S)/1000,"")</f>
        <v>0</v>
      </c>
      <c r="H112" s="118"/>
      <c r="I112" s="118">
        <f>IFERROR(_xlfn.XLOOKUP($A112,'Raw Data'!$G:$G,'Raw Data'!$AF:$AF)/1000,"")</f>
        <v>4.8929999999999998</v>
      </c>
      <c r="J112" s="118"/>
      <c r="K112" s="118">
        <f>IFERROR(_xlfn.XLOOKUP($A112,'Raw Data'!$G:$G,'Raw Data'!W:W),"")</f>
        <v>23</v>
      </c>
      <c r="L112" s="118">
        <f>IFERROR(_xlfn.XLOOKUP($A112,'Raw Data'!$G:$G,'Raw Data'!X:X),"")</f>
        <v>37</v>
      </c>
      <c r="M112" s="118">
        <f>IFERROR(_xlfn.XLOOKUP($A112,'Raw Data'!$G:$G,'Raw Data'!Y:Y),"")</f>
        <v>2</v>
      </c>
      <c r="N112" s="118">
        <f>IFERROR(_xlfn.XLOOKUP($A112,'Raw Data'!$G:$G,'Raw Data'!Z:Z),"")</f>
        <v>6</v>
      </c>
      <c r="O112" s="145">
        <f>IFERROR(1-SUMIF('Plant BD'!$B:$B,$A112,'Plant BD'!$AM:$AM)/($AA112+SUMIF('Plant BD'!$B:$B,$A112,'Plant BD'!$AM:$AM)),"")</f>
        <v>1</v>
      </c>
      <c r="P112" s="145"/>
      <c r="Q112" s="146"/>
      <c r="R112" s="145">
        <f>IFERROR(1-SUMIF('Grid BD'!$B:$B,$A112,'Grid BD'!$AE:$AE)/($AA112+SUMIF('Grid BD'!$B:$B,$A112,'Grid BD'!$AE:$AE)),"")</f>
        <v>1</v>
      </c>
      <c r="T112" s="146">
        <f>IFERROR(1-SUMIF(Tracker_BD!$H:$H,$A112,Tracker_BD!AI:AI)/$F112,"")</f>
        <v>0.98614942528735627</v>
      </c>
      <c r="U112" s="147">
        <f t="shared" si="5"/>
        <v>0.7655953444675061</v>
      </c>
      <c r="V112" s="147"/>
      <c r="W112" s="148">
        <f t="shared" si="6"/>
        <v>0.15608575085331278</v>
      </c>
      <c r="X112" s="143">
        <f>IFERROR(_xlfn.XLOOKUP($A112,'Raw Data'!$G:$G,'Raw Data'!$AB:$AB),"")</f>
        <v>44148</v>
      </c>
      <c r="Y112" s="143">
        <f>IFERROR(_xlfn.XLOOKUP($A112,'Raw Data'!$G:$G,'Raw Data'!AC:AC),"")</f>
        <v>44081.300000019837</v>
      </c>
      <c r="Z112" s="143">
        <f>IFERROR(_xlfn.XLOOKUP($A112,'Raw Data'!$G:$G,'Raw Data'!AD:AD),"")</f>
        <v>177.50000000000909</v>
      </c>
      <c r="AA112" s="143">
        <f>IFERROR(_xlfn.XLOOKUP($A112,'Raw Data'!$G:$G,'Raw Data'!AE:AE)*(1+(_xlfn.XLOOKUP(Table13[[#This Row],[Month Year]],JMR!$A:$A,JMR!$J:$J))),"")</f>
        <v>43903.80000001983</v>
      </c>
      <c r="AB112" s="143">
        <f>IFERROR(_xlfn.XLOOKUP($A112,'Raw Data'!$G:$G,'Raw Data'!$H:$H),"")</f>
        <v>11.72</v>
      </c>
      <c r="AC112" s="149">
        <f>IFERROR(_xlfn.XLOOKUP($D112,'Modelling New'!$D:$D,'Modelling New'!$P:$P),"")</f>
        <v>4.6269332580645148</v>
      </c>
      <c r="AD112" s="143">
        <f>IFERROR(_xlfn.XLOOKUP($D112,'Modelling New'!$D:$D,'Modelling New'!$T:$T)*1000,"")</f>
        <v>40702.654142805535</v>
      </c>
      <c r="AE112" s="148">
        <f>IFERROR(_xlfn.XLOOKUP($D112,'Modelling New'!$D:$D,'Modelling New'!$O:$O),"")</f>
        <v>0.75058845994317613</v>
      </c>
      <c r="AF112" s="148">
        <f>IFERROR(_xlfn.XLOOKUP($D112,'Modelling New'!$D:$D,'Modelling New'!$W:$W),"")</f>
        <v>0.14470511285127108</v>
      </c>
      <c r="AG112" s="148">
        <f>IFERROR(_xlfn.XLOOKUP($D112,'Modelling New'!$D:$D,'Modelling New'!AE:AE),"")</f>
        <v>0.995</v>
      </c>
      <c r="AH112" s="148">
        <f>IFERROR(_xlfn.XLOOKUP($D112,'Modelling New'!$D:$D,'Modelling New'!AF:AF),"")</f>
        <v>0.98550000000000004</v>
      </c>
      <c r="AN112" s="145"/>
      <c r="AO112" s="148"/>
      <c r="AP112" s="148"/>
      <c r="AQ112" s="148"/>
      <c r="AR112" s="143">
        <f>IFERROR(_xlfn.XLOOKUP($D112,'Modelling New'!$D:$D,'Modelling New'!$N:$N),"")</f>
        <v>11.72</v>
      </c>
      <c r="AT112" s="143">
        <f>IFERROR(_xlfn.XLOOKUP(Table13[[#This Row],[Date]],'Raw Data'!$G:$G,'Raw Data'!$AJ:$AJ),"")</f>
        <v>0</v>
      </c>
      <c r="AU112" s="143">
        <f>IFERROR(_xlfn.XLOOKUP(Table13[[#This Row],[Month Year]],'Modelling New'!$D:$D,'Modelling New'!$AO:$AO),"")</f>
        <v>10</v>
      </c>
      <c r="AV112" s="143"/>
    </row>
    <row r="113" spans="1:48">
      <c r="A113" s="142">
        <f t="shared" si="7"/>
        <v>45856</v>
      </c>
      <c r="B113" s="143">
        <f>YEAR(Table13[[#This Row],[Date]])+IF(MONTH(Table13[[#This Row],[Date]])&gt;=4,1,0)</f>
        <v>2026</v>
      </c>
      <c r="C113" s="116">
        <f>YEAR(Table13[[#This Row],[Date]])</f>
        <v>2025</v>
      </c>
      <c r="D113" s="144">
        <f>Table13[[#This Row],[Date]]-DAY(Table13[[#This Row],[Date]])+1</f>
        <v>45839</v>
      </c>
      <c r="E113" s="116">
        <f t="shared" si="8"/>
        <v>31</v>
      </c>
      <c r="F113" s="117">
        <f>IFERROR(_xlfn.XLOOKUP($A113,'Raw Data'!$G:$G,'Raw Data'!$AH:$AH),"")</f>
        <v>11.016666666666667</v>
      </c>
      <c r="G113" s="118">
        <f>IFERROR(_xlfn.XLOOKUP($A113,'Raw Data'!$G:$G,'Raw Data'!$S:$S)/1000,"")</f>
        <v>0</v>
      </c>
      <c r="H113" s="118"/>
      <c r="I113" s="118">
        <f>IFERROR(_xlfn.XLOOKUP($A113,'Raw Data'!$G:$G,'Raw Data'!$AF:$AF)/1000,"")</f>
        <v>4.3810000000000002</v>
      </c>
      <c r="J113" s="118"/>
      <c r="K113" s="118">
        <f>IFERROR(_xlfn.XLOOKUP($A113,'Raw Data'!$G:$G,'Raw Data'!W:W),"")</f>
        <v>23</v>
      </c>
      <c r="L113" s="118">
        <f>IFERROR(_xlfn.XLOOKUP($A113,'Raw Data'!$G:$G,'Raw Data'!X:X),"")</f>
        <v>38</v>
      </c>
      <c r="M113" s="118">
        <f>IFERROR(_xlfn.XLOOKUP($A113,'Raw Data'!$G:$G,'Raw Data'!Y:Y),"")</f>
        <v>2</v>
      </c>
      <c r="N113" s="118">
        <f>IFERROR(_xlfn.XLOOKUP($A113,'Raw Data'!$G:$G,'Raw Data'!Z:Z),"")</f>
        <v>7</v>
      </c>
      <c r="O113" s="145">
        <f>IFERROR(1-SUMIF('Plant BD'!$B:$B,$A113,'Plant BD'!$AM:$AM)/($AA113+SUMIF('Plant BD'!$B:$B,$A113,'Plant BD'!$AM:$AM)),"")</f>
        <v>1</v>
      </c>
      <c r="P113" s="145"/>
      <c r="Q113" s="146"/>
      <c r="R113" s="145">
        <f>IFERROR(1-SUMIF('Grid BD'!$B:$B,$A113,'Grid BD'!$AE:$AE)/($AA113+SUMIF('Grid BD'!$B:$B,$A113,'Grid BD'!$AE:$AE)),"")</f>
        <v>1</v>
      </c>
      <c r="T113" s="146">
        <f>IFERROR(1-SUMIF(Tracker_BD!$H:$H,$A113,Tracker_BD!AI:AI)/$F113,"")</f>
        <v>0.98424104891578412</v>
      </c>
      <c r="U113" s="147">
        <f t="shared" si="5"/>
        <v>0.76159424072113047</v>
      </c>
      <c r="V113" s="147"/>
      <c r="W113" s="148">
        <f t="shared" si="6"/>
        <v>0.13902268202496967</v>
      </c>
      <c r="X113" s="143">
        <f>IFERROR(_xlfn.XLOOKUP($A113,'Raw Data'!$G:$G,'Raw Data'!$AB:$AB),"")</f>
        <v>39367</v>
      </c>
      <c r="Y113" s="143">
        <f>IFERROR(_xlfn.XLOOKUP($A113,'Raw Data'!$G:$G,'Raw Data'!AC:AC),"")</f>
        <v>39304.799999983516</v>
      </c>
      <c r="Z113" s="143">
        <f>IFERROR(_xlfn.XLOOKUP($A113,'Raw Data'!$G:$G,'Raw Data'!AD:AD),"")</f>
        <v>200.50000000003365</v>
      </c>
      <c r="AA113" s="143">
        <f>IFERROR(_xlfn.XLOOKUP($A113,'Raw Data'!$G:$G,'Raw Data'!AE:AE)*(1+(_xlfn.XLOOKUP(Table13[[#This Row],[Month Year]],JMR!$A:$A,JMR!$J:$J))),"")</f>
        <v>39104.299999983479</v>
      </c>
      <c r="AB113" s="143">
        <f>IFERROR(_xlfn.XLOOKUP($A113,'Raw Data'!$G:$G,'Raw Data'!$H:$H),"")</f>
        <v>11.72</v>
      </c>
      <c r="AC113" s="149">
        <f>IFERROR(_xlfn.XLOOKUP($D113,'Modelling New'!$D:$D,'Modelling New'!$P:$P),"")</f>
        <v>4.6269332580645148</v>
      </c>
      <c r="AD113" s="143">
        <f>IFERROR(_xlfn.XLOOKUP($D113,'Modelling New'!$D:$D,'Modelling New'!$T:$T)*1000,"")</f>
        <v>40702.654142805535</v>
      </c>
      <c r="AE113" s="148">
        <f>IFERROR(_xlfn.XLOOKUP($D113,'Modelling New'!$D:$D,'Modelling New'!$O:$O),"")</f>
        <v>0.75058845994317613</v>
      </c>
      <c r="AF113" s="148">
        <f>IFERROR(_xlfn.XLOOKUP($D113,'Modelling New'!$D:$D,'Modelling New'!$W:$W),"")</f>
        <v>0.14470511285127108</v>
      </c>
      <c r="AG113" s="148">
        <f>IFERROR(_xlfn.XLOOKUP($D113,'Modelling New'!$D:$D,'Modelling New'!AE:AE),"")</f>
        <v>0.995</v>
      </c>
      <c r="AH113" s="148">
        <f>IFERROR(_xlfn.XLOOKUP($D113,'Modelling New'!$D:$D,'Modelling New'!AF:AF),"")</f>
        <v>0.98550000000000004</v>
      </c>
      <c r="AN113" s="145"/>
      <c r="AO113" s="148"/>
      <c r="AP113" s="148"/>
      <c r="AQ113" s="148"/>
      <c r="AR113" s="143">
        <f>IFERROR(_xlfn.XLOOKUP($D113,'Modelling New'!$D:$D,'Modelling New'!$N:$N),"")</f>
        <v>11.72</v>
      </c>
      <c r="AT113" s="143">
        <f>IFERROR(_xlfn.XLOOKUP(Table13[[#This Row],[Date]],'Raw Data'!$G:$G,'Raw Data'!$AJ:$AJ),"")</f>
        <v>0</v>
      </c>
      <c r="AU113" s="143">
        <f>IFERROR(_xlfn.XLOOKUP(Table13[[#This Row],[Month Year]],'Modelling New'!$D:$D,'Modelling New'!$AO:$AO),"")</f>
        <v>10</v>
      </c>
      <c r="AV113" s="143"/>
    </row>
    <row r="114" spans="1:48">
      <c r="A114" s="142">
        <f t="shared" si="7"/>
        <v>45857</v>
      </c>
      <c r="B114" s="143">
        <f>YEAR(Table13[[#This Row],[Date]])+IF(MONTH(Table13[[#This Row],[Date]])&gt;=4,1,0)</f>
        <v>2026</v>
      </c>
      <c r="C114" s="116">
        <f>YEAR(Table13[[#This Row],[Date]])</f>
        <v>2025</v>
      </c>
      <c r="D114" s="144">
        <f>Table13[[#This Row],[Date]]-DAY(Table13[[#This Row],[Date]])+1</f>
        <v>45839</v>
      </c>
      <c r="E114" s="116">
        <f t="shared" si="8"/>
        <v>31</v>
      </c>
      <c r="F114" s="117">
        <f>IFERROR(_xlfn.XLOOKUP($A114,'Raw Data'!$G:$G,'Raw Data'!$AH:$AH),"")</f>
        <v>12.5</v>
      </c>
      <c r="G114" s="118">
        <f>IFERROR(_xlfn.XLOOKUP($A114,'Raw Data'!$G:$G,'Raw Data'!$S:$S)/1000,"")</f>
        <v>0</v>
      </c>
      <c r="H114" s="118"/>
      <c r="I114" s="118">
        <f>IFERROR(_xlfn.XLOOKUP($A114,'Raw Data'!$G:$G,'Raw Data'!$AF:$AF)/1000,"")</f>
        <v>3.8660000000000001</v>
      </c>
      <c r="J114" s="118"/>
      <c r="K114" s="118">
        <f>IFERROR(_xlfn.XLOOKUP($A114,'Raw Data'!$G:$G,'Raw Data'!W:W),"")</f>
        <v>23</v>
      </c>
      <c r="L114" s="118">
        <f>IFERROR(_xlfn.XLOOKUP($A114,'Raw Data'!$G:$G,'Raw Data'!X:X),"")</f>
        <v>33</v>
      </c>
      <c r="M114" s="118">
        <f>IFERROR(_xlfn.XLOOKUP($A114,'Raw Data'!$G:$G,'Raw Data'!Y:Y),"")</f>
        <v>2</v>
      </c>
      <c r="N114" s="118">
        <f>IFERROR(_xlfn.XLOOKUP($A114,'Raw Data'!$G:$G,'Raw Data'!Z:Z),"")</f>
        <v>5</v>
      </c>
      <c r="O114" s="145">
        <f>IFERROR(1-SUMIF('Plant BD'!$B:$B,$A114,'Plant BD'!$AM:$AM)/($AA114+SUMIF('Plant BD'!$B:$B,$A114,'Plant BD'!$AM:$AM)),"")</f>
        <v>1</v>
      </c>
      <c r="P114" s="145"/>
      <c r="Q114" s="146"/>
      <c r="R114" s="145">
        <f>IFERROR(1-SUMIF('Grid BD'!$B:$B,$A114,'Grid BD'!$AE:$AE)/($AA114+SUMIF('Grid BD'!$B:$B,$A114,'Grid BD'!$AE:$AE)),"")</f>
        <v>0.86949262766319624</v>
      </c>
      <c r="T114" s="146">
        <f>IFERROR(1-SUMIF(Tracker_BD!$H:$H,$A114,Tracker_BD!AI:AI)/$F114,"")</f>
        <v>0.98611111111111116</v>
      </c>
      <c r="U114" s="147">
        <f t="shared" si="5"/>
        <v>0.6669084113012419</v>
      </c>
      <c r="V114" s="147"/>
      <c r="W114" s="148">
        <f t="shared" si="6"/>
        <v>0.10742782992044171</v>
      </c>
      <c r="X114" s="143">
        <f>IFERROR(_xlfn.XLOOKUP($A114,'Raw Data'!$G:$G,'Raw Data'!$AB:$AB),"")</f>
        <v>30465</v>
      </c>
      <c r="Y114" s="143">
        <f>IFERROR(_xlfn.XLOOKUP($A114,'Raw Data'!$G:$G,'Raw Data'!AC:AC),"")</f>
        <v>30411.000000021886</v>
      </c>
      <c r="Z114" s="143">
        <f>IFERROR(_xlfn.XLOOKUP($A114,'Raw Data'!$G:$G,'Raw Data'!AD:AD),"")</f>
        <v>193.70000000003529</v>
      </c>
      <c r="AA114" s="143">
        <f>IFERROR(_xlfn.XLOOKUP($A114,'Raw Data'!$G:$G,'Raw Data'!AE:AE)*(1+(_xlfn.XLOOKUP(Table13[[#This Row],[Month Year]],JMR!$A:$A,JMR!$J:$J))),"")</f>
        <v>30217.300000021853</v>
      </c>
      <c r="AB114" s="143">
        <f>IFERROR(_xlfn.XLOOKUP($A114,'Raw Data'!$G:$G,'Raw Data'!$H:$H),"")</f>
        <v>11.72</v>
      </c>
      <c r="AC114" s="149">
        <f>IFERROR(_xlfn.XLOOKUP($D114,'Modelling New'!$D:$D,'Modelling New'!$P:$P),"")</f>
        <v>4.6269332580645148</v>
      </c>
      <c r="AD114" s="143">
        <f>IFERROR(_xlfn.XLOOKUP($D114,'Modelling New'!$D:$D,'Modelling New'!$T:$T)*1000,"")</f>
        <v>40702.654142805535</v>
      </c>
      <c r="AE114" s="148">
        <f>IFERROR(_xlfn.XLOOKUP($D114,'Modelling New'!$D:$D,'Modelling New'!$O:$O),"")</f>
        <v>0.75058845994317613</v>
      </c>
      <c r="AF114" s="148">
        <f>IFERROR(_xlfn.XLOOKUP($D114,'Modelling New'!$D:$D,'Modelling New'!$W:$W),"")</f>
        <v>0.14470511285127108</v>
      </c>
      <c r="AG114" s="148">
        <f>IFERROR(_xlfn.XLOOKUP($D114,'Modelling New'!$D:$D,'Modelling New'!AE:AE),"")</f>
        <v>0.995</v>
      </c>
      <c r="AH114" s="148">
        <f>IFERROR(_xlfn.XLOOKUP($D114,'Modelling New'!$D:$D,'Modelling New'!AF:AF),"")</f>
        <v>0.98550000000000004</v>
      </c>
      <c r="AN114" s="145"/>
      <c r="AO114" s="148"/>
      <c r="AP114" s="148"/>
      <c r="AQ114" s="148"/>
      <c r="AR114" s="143">
        <f>IFERROR(_xlfn.XLOOKUP($D114,'Modelling New'!$D:$D,'Modelling New'!$N:$N),"")</f>
        <v>11.72</v>
      </c>
      <c r="AT114" s="143">
        <f>IFERROR(_xlfn.XLOOKUP(Table13[[#This Row],[Date]],'Raw Data'!$G:$G,'Raw Data'!$AJ:$AJ),"")</f>
        <v>0</v>
      </c>
      <c r="AU114" s="143">
        <f>IFERROR(_xlfn.XLOOKUP(Table13[[#This Row],[Month Year]],'Modelling New'!$D:$D,'Modelling New'!$AO:$AO),"")</f>
        <v>10</v>
      </c>
      <c r="AV114" s="143"/>
    </row>
    <row r="115" spans="1:48">
      <c r="A115" s="142">
        <f t="shared" si="7"/>
        <v>45858</v>
      </c>
      <c r="B115" s="143">
        <f>YEAR(Table13[[#This Row],[Date]])+IF(MONTH(Table13[[#This Row],[Date]])&gt;=4,1,0)</f>
        <v>2026</v>
      </c>
      <c r="C115" s="116">
        <f>YEAR(Table13[[#This Row],[Date]])</f>
        <v>2025</v>
      </c>
      <c r="D115" s="144">
        <f>Table13[[#This Row],[Date]]-DAY(Table13[[#This Row],[Date]])+1</f>
        <v>45839</v>
      </c>
      <c r="E115" s="116">
        <f t="shared" si="8"/>
        <v>31</v>
      </c>
      <c r="F115" s="117">
        <f>IFERROR(_xlfn.XLOOKUP($A115,'Raw Data'!$G:$G,'Raw Data'!$AH:$AH),"")</f>
        <v>12.483333333333334</v>
      </c>
      <c r="G115" s="118">
        <f>IFERROR(_xlfn.XLOOKUP($A115,'Raw Data'!$G:$G,'Raw Data'!$S:$S)/1000,"")</f>
        <v>0</v>
      </c>
      <c r="H115" s="118"/>
      <c r="I115" s="118">
        <f>IFERROR(_xlfn.XLOOKUP($A115,'Raw Data'!$G:$G,'Raw Data'!$AF:$AF)/1000,"")</f>
        <v>6.6820000000000004</v>
      </c>
      <c r="J115" s="118"/>
      <c r="K115" s="118">
        <f>IFERROR(_xlfn.XLOOKUP($A115,'Raw Data'!$G:$G,'Raw Data'!W:W),"")</f>
        <v>23</v>
      </c>
      <c r="L115" s="118">
        <f>IFERROR(_xlfn.XLOOKUP($A115,'Raw Data'!$G:$G,'Raw Data'!X:X),"")</f>
        <v>41</v>
      </c>
      <c r="M115" s="118">
        <f>IFERROR(_xlfn.XLOOKUP($A115,'Raw Data'!$G:$G,'Raw Data'!Y:Y),"")</f>
        <v>2</v>
      </c>
      <c r="N115" s="118">
        <f>IFERROR(_xlfn.XLOOKUP($A115,'Raw Data'!$G:$G,'Raw Data'!Z:Z),"")</f>
        <v>5</v>
      </c>
      <c r="O115" s="145">
        <f>IFERROR(1-SUMIF('Plant BD'!$B:$B,$A115,'Plant BD'!$AM:$AM)/($AA115+SUMIF('Plant BD'!$B:$B,$A115,'Plant BD'!$AM:$AM)),"")</f>
        <v>1</v>
      </c>
      <c r="P115" s="145"/>
      <c r="Q115" s="146"/>
      <c r="R115" s="145">
        <f>IFERROR(1-SUMIF('Grid BD'!$B:$B,$A115,'Grid BD'!$AE:$AE)/($AA115+SUMIF('Grid BD'!$B:$B,$A115,'Grid BD'!$AE:$AE)),"")</f>
        <v>0.98082227549353385</v>
      </c>
      <c r="T115" s="146">
        <f>IFERROR(1-SUMIF(Tracker_BD!$H:$H,$A115,Tracker_BD!AI:AI)/$F115,"")</f>
        <v>0.98616929852830593</v>
      </c>
      <c r="U115" s="147">
        <f t="shared" si="5"/>
        <v>0.71753695170042575</v>
      </c>
      <c r="V115" s="147"/>
      <c r="W115" s="148">
        <f t="shared" si="6"/>
        <v>0.19977424630259352</v>
      </c>
      <c r="X115" s="143">
        <f>IFERROR(_xlfn.XLOOKUP($A115,'Raw Data'!$G:$G,'Raw Data'!$AB:$AB),"")</f>
        <v>56333</v>
      </c>
      <c r="Y115" s="143">
        <f>IFERROR(_xlfn.XLOOKUP($A115,'Raw Data'!$G:$G,'Raw Data'!AC:AC),"")</f>
        <v>56376.699999993434</v>
      </c>
      <c r="Z115" s="143">
        <f>IFERROR(_xlfn.XLOOKUP($A115,'Raw Data'!$G:$G,'Raw Data'!AD:AD),"")</f>
        <v>184.19999999991887</v>
      </c>
      <c r="AA115" s="143">
        <f>IFERROR(_xlfn.XLOOKUP($A115,'Raw Data'!$G:$G,'Raw Data'!AE:AE)*(1+(_xlfn.XLOOKUP(Table13[[#This Row],[Month Year]],JMR!$A:$A,JMR!$J:$J))),"")</f>
        <v>56192.499999993517</v>
      </c>
      <c r="AB115" s="143">
        <f>IFERROR(_xlfn.XLOOKUP($A115,'Raw Data'!$G:$G,'Raw Data'!$H:$H),"")</f>
        <v>11.72</v>
      </c>
      <c r="AC115" s="149">
        <f>IFERROR(_xlfn.XLOOKUP($D115,'Modelling New'!$D:$D,'Modelling New'!$P:$P),"")</f>
        <v>4.6269332580645148</v>
      </c>
      <c r="AD115" s="143">
        <f>IFERROR(_xlfn.XLOOKUP($D115,'Modelling New'!$D:$D,'Modelling New'!$T:$T)*1000,"")</f>
        <v>40702.654142805535</v>
      </c>
      <c r="AE115" s="148">
        <f>IFERROR(_xlfn.XLOOKUP($D115,'Modelling New'!$D:$D,'Modelling New'!$O:$O),"")</f>
        <v>0.75058845994317613</v>
      </c>
      <c r="AF115" s="148">
        <f>IFERROR(_xlfn.XLOOKUP($D115,'Modelling New'!$D:$D,'Modelling New'!$W:$W),"")</f>
        <v>0.14470511285127108</v>
      </c>
      <c r="AG115" s="148">
        <f>IFERROR(_xlfn.XLOOKUP($D115,'Modelling New'!$D:$D,'Modelling New'!AE:AE),"")</f>
        <v>0.995</v>
      </c>
      <c r="AH115" s="148">
        <f>IFERROR(_xlfn.XLOOKUP($D115,'Modelling New'!$D:$D,'Modelling New'!AF:AF),"")</f>
        <v>0.98550000000000004</v>
      </c>
      <c r="AN115" s="145"/>
      <c r="AO115" s="148"/>
      <c r="AP115" s="148"/>
      <c r="AQ115" s="148"/>
      <c r="AR115" s="143">
        <f>IFERROR(_xlfn.XLOOKUP($D115,'Modelling New'!$D:$D,'Modelling New'!$N:$N),"")</f>
        <v>11.72</v>
      </c>
      <c r="AT115" s="143">
        <f>IFERROR(_xlfn.XLOOKUP(Table13[[#This Row],[Date]],'Raw Data'!$G:$G,'Raw Data'!$AJ:$AJ),"")</f>
        <v>0</v>
      </c>
      <c r="AU115" s="143">
        <f>IFERROR(_xlfn.XLOOKUP(Table13[[#This Row],[Month Year]],'Modelling New'!$D:$D,'Modelling New'!$AO:$AO),"")</f>
        <v>10</v>
      </c>
      <c r="AV115" s="143"/>
    </row>
    <row r="116" spans="1:48">
      <c r="A116" s="142">
        <f t="shared" si="7"/>
        <v>45859</v>
      </c>
      <c r="B116" s="143">
        <f>YEAR(Table13[[#This Row],[Date]])+IF(MONTH(Table13[[#This Row],[Date]])&gt;=4,1,0)</f>
        <v>2026</v>
      </c>
      <c r="C116" s="116">
        <f>YEAR(Table13[[#This Row],[Date]])</f>
        <v>2025</v>
      </c>
      <c r="D116" s="144">
        <f>Table13[[#This Row],[Date]]-DAY(Table13[[#This Row],[Date]])+1</f>
        <v>45839</v>
      </c>
      <c r="E116" s="116">
        <f t="shared" si="8"/>
        <v>31</v>
      </c>
      <c r="F116" s="117">
        <f>IFERROR(_xlfn.XLOOKUP($A116,'Raw Data'!$G:$G,'Raw Data'!$AH:$AH),"")</f>
        <v>11.033333333333335</v>
      </c>
      <c r="G116" s="118">
        <f>IFERROR(_xlfn.XLOOKUP($A116,'Raw Data'!$G:$G,'Raw Data'!$S:$S)/1000,"")</f>
        <v>0</v>
      </c>
      <c r="H116" s="118"/>
      <c r="I116" s="118">
        <f>IFERROR(_xlfn.XLOOKUP($A116,'Raw Data'!$G:$G,'Raw Data'!$AF:$AF)/1000,"")</f>
        <v>5.5469999999999997</v>
      </c>
      <c r="J116" s="118"/>
      <c r="K116" s="118">
        <f>IFERROR(_xlfn.XLOOKUP($A116,'Raw Data'!$G:$G,'Raw Data'!W:W),"")</f>
        <v>23</v>
      </c>
      <c r="L116" s="118">
        <f>IFERROR(_xlfn.XLOOKUP($A116,'Raw Data'!$G:$G,'Raw Data'!X:X),"")</f>
        <v>39</v>
      </c>
      <c r="M116" s="118">
        <f>IFERROR(_xlfn.XLOOKUP($A116,'Raw Data'!$G:$G,'Raw Data'!Y:Y),"")</f>
        <v>2</v>
      </c>
      <c r="N116" s="118">
        <f>IFERROR(_xlfn.XLOOKUP($A116,'Raw Data'!$G:$G,'Raw Data'!Z:Z),"")</f>
        <v>5.8</v>
      </c>
      <c r="O116" s="145">
        <f>IFERROR(1-SUMIF('Plant BD'!$B:$B,$A116,'Plant BD'!$AM:$AM)/($AA116+SUMIF('Plant BD'!$B:$B,$A116,'Plant BD'!$AM:$AM)),"")</f>
        <v>1</v>
      </c>
      <c r="P116" s="145"/>
      <c r="Q116" s="146"/>
      <c r="R116" s="145">
        <f>IFERROR(1-SUMIF('Grid BD'!$B:$B,$A116,'Grid BD'!$AE:$AE)/($AA116+SUMIF('Grid BD'!$B:$B,$A116,'Grid BD'!$AE:$AE)),"")</f>
        <v>1</v>
      </c>
      <c r="T116" s="146">
        <f>IFERROR(1-SUMIF(Tracker_BD!$H:$H,$A116,Tracker_BD!AI:AI)/$F116,"")</f>
        <v>0.98424315032815923</v>
      </c>
      <c r="U116" s="147">
        <f t="shared" si="5"/>
        <v>0.7524545137394284</v>
      </c>
      <c r="V116" s="147"/>
      <c r="W116" s="148">
        <f t="shared" si="6"/>
        <v>0.17391104948802535</v>
      </c>
      <c r="X116" s="143">
        <f>IFERROR(_xlfn.XLOOKUP($A116,'Raw Data'!$G:$G,'Raw Data'!$AB:$AB),"")</f>
        <v>49163</v>
      </c>
      <c r="Y116" s="143">
        <f>IFERROR(_xlfn.XLOOKUP($A116,'Raw Data'!$G:$G,'Raw Data'!AC:AC),"")</f>
        <v>49084.999999991851</v>
      </c>
      <c r="Z116" s="143">
        <f>IFERROR(_xlfn.XLOOKUP($A116,'Raw Data'!$G:$G,'Raw Data'!AD:AD),"")</f>
        <v>167.30000000006839</v>
      </c>
      <c r="AA116" s="143">
        <f>IFERROR(_xlfn.XLOOKUP($A116,'Raw Data'!$G:$G,'Raw Data'!AE:AE)*(1+(_xlfn.XLOOKUP(Table13[[#This Row],[Month Year]],JMR!$A:$A,JMR!$J:$J))),"")</f>
        <v>48917.699999991783</v>
      </c>
      <c r="AB116" s="143">
        <f>IFERROR(_xlfn.XLOOKUP($A116,'Raw Data'!$G:$G,'Raw Data'!$H:$H),"")</f>
        <v>11.72</v>
      </c>
      <c r="AC116" s="149">
        <f>IFERROR(_xlfn.XLOOKUP($D116,'Modelling New'!$D:$D,'Modelling New'!$P:$P),"")</f>
        <v>4.6269332580645148</v>
      </c>
      <c r="AD116" s="143">
        <f>IFERROR(_xlfn.XLOOKUP($D116,'Modelling New'!$D:$D,'Modelling New'!$T:$T)*1000,"")</f>
        <v>40702.654142805535</v>
      </c>
      <c r="AE116" s="148">
        <f>IFERROR(_xlfn.XLOOKUP($D116,'Modelling New'!$D:$D,'Modelling New'!$O:$O),"")</f>
        <v>0.75058845994317613</v>
      </c>
      <c r="AF116" s="148">
        <f>IFERROR(_xlfn.XLOOKUP($D116,'Modelling New'!$D:$D,'Modelling New'!$W:$W),"")</f>
        <v>0.14470511285127108</v>
      </c>
      <c r="AG116" s="148">
        <f>IFERROR(_xlfn.XLOOKUP($D116,'Modelling New'!$D:$D,'Modelling New'!AE:AE),"")</f>
        <v>0.995</v>
      </c>
      <c r="AH116" s="148">
        <f>IFERROR(_xlfn.XLOOKUP($D116,'Modelling New'!$D:$D,'Modelling New'!AF:AF),"")</f>
        <v>0.98550000000000004</v>
      </c>
      <c r="AN116" s="145"/>
      <c r="AO116" s="148"/>
      <c r="AP116" s="148"/>
      <c r="AQ116" s="148"/>
      <c r="AR116" s="143">
        <f>IFERROR(_xlfn.XLOOKUP($D116,'Modelling New'!$D:$D,'Modelling New'!$N:$N),"")</f>
        <v>11.72</v>
      </c>
      <c r="AT116" s="143">
        <f>IFERROR(_xlfn.XLOOKUP(Table13[[#This Row],[Date]],'Raw Data'!$G:$G,'Raw Data'!$AJ:$AJ),"")</f>
        <v>0</v>
      </c>
      <c r="AU116" s="143">
        <f>IFERROR(_xlfn.XLOOKUP(Table13[[#This Row],[Month Year]],'Modelling New'!$D:$D,'Modelling New'!$AO:$AO),"")</f>
        <v>10</v>
      </c>
      <c r="AV116" s="143"/>
    </row>
    <row r="117" spans="1:48">
      <c r="A117" s="142">
        <f t="shared" si="7"/>
        <v>45860</v>
      </c>
      <c r="B117" s="143">
        <f>YEAR(Table13[[#This Row],[Date]])+IF(MONTH(Table13[[#This Row],[Date]])&gt;=4,1,0)</f>
        <v>2026</v>
      </c>
      <c r="C117" s="116">
        <f>YEAR(Table13[[#This Row],[Date]])</f>
        <v>2025</v>
      </c>
      <c r="D117" s="144">
        <f>Table13[[#This Row],[Date]]-DAY(Table13[[#This Row],[Date]])+1</f>
        <v>45839</v>
      </c>
      <c r="E117" s="116">
        <f t="shared" si="8"/>
        <v>31</v>
      </c>
      <c r="F117" s="117">
        <f>IFERROR(_xlfn.XLOOKUP($A117,'Raw Data'!$G:$G,'Raw Data'!$AH:$AH),"")</f>
        <v>12.666666666666668</v>
      </c>
      <c r="G117" s="118">
        <f>IFERROR(_xlfn.XLOOKUP($A117,'Raw Data'!$G:$G,'Raw Data'!$S:$S)/1000,"")</f>
        <v>0</v>
      </c>
      <c r="H117" s="118"/>
      <c r="I117" s="118">
        <f>IFERROR(_xlfn.XLOOKUP($A117,'Raw Data'!$G:$G,'Raw Data'!$AF:$AF)/1000,"")</f>
        <v>4.5339999999999998</v>
      </c>
      <c r="J117" s="118"/>
      <c r="K117" s="118">
        <f>IFERROR(_xlfn.XLOOKUP($A117,'Raw Data'!$G:$G,'Raw Data'!W:W),"")</f>
        <v>23</v>
      </c>
      <c r="L117" s="118">
        <f>IFERROR(_xlfn.XLOOKUP($A117,'Raw Data'!$G:$G,'Raw Data'!X:X),"")</f>
        <v>34</v>
      </c>
      <c r="M117" s="118">
        <f>IFERROR(_xlfn.XLOOKUP($A117,'Raw Data'!$G:$G,'Raw Data'!Y:Y),"")</f>
        <v>2.8</v>
      </c>
      <c r="N117" s="118">
        <f>IFERROR(_xlfn.XLOOKUP($A117,'Raw Data'!$G:$G,'Raw Data'!Z:Z),"")</f>
        <v>7</v>
      </c>
      <c r="O117" s="145">
        <f>IFERROR(1-SUMIF('Plant BD'!$B:$B,$A117,'Plant BD'!$AM:$AM)/($AA117+SUMIF('Plant BD'!$B:$B,$A117,'Plant BD'!$AM:$AM)),"")</f>
        <v>0.24042354634096219</v>
      </c>
      <c r="P117" s="145"/>
      <c r="Q117" s="146"/>
      <c r="R117" s="145">
        <f>IFERROR(1-SUMIF('Grid BD'!$B:$B,$A117,'Grid BD'!$AE:$AE)/($AA117+SUMIF('Grid BD'!$B:$B,$A117,'Grid BD'!$AE:$AE)),"")</f>
        <v>1</v>
      </c>
      <c r="T117" s="146">
        <f>IFERROR(1-SUMIF(Tracker_BD!$H:$H,$A117,Tracker_BD!AI:AI)/$F117,"")</f>
        <v>0.98629385964912286</v>
      </c>
      <c r="U117" s="147">
        <f t="shared" si="5"/>
        <v>0.74021123675333156</v>
      </c>
      <c r="V117" s="147"/>
      <c r="W117" s="148">
        <f t="shared" si="6"/>
        <v>0.13983823947665019</v>
      </c>
      <c r="X117" s="143">
        <f>IFERROR(_xlfn.XLOOKUP($A117,'Raw Data'!$G:$G,'Raw Data'!$AB:$AB),"")</f>
        <v>39592</v>
      </c>
      <c r="Y117" s="143">
        <f>IFERROR(_xlfn.XLOOKUP($A117,'Raw Data'!$G:$G,'Raw Data'!AC:AC),"")</f>
        <v>39507.79999999213</v>
      </c>
      <c r="Z117" s="143">
        <f>IFERROR(_xlfn.XLOOKUP($A117,'Raw Data'!$G:$G,'Raw Data'!AD:AD),"")</f>
        <v>174.09999999995307</v>
      </c>
      <c r="AA117" s="143">
        <f>IFERROR(_xlfn.XLOOKUP($A117,'Raw Data'!$G:$G,'Raw Data'!AE:AE)*(1+(_xlfn.XLOOKUP(Table13[[#This Row],[Month Year]],JMR!$A:$A,JMR!$J:$J))),"")</f>
        <v>39333.699999992175</v>
      </c>
      <c r="AB117" s="143">
        <f>IFERROR(_xlfn.XLOOKUP($A117,'Raw Data'!$G:$G,'Raw Data'!$H:$H),"")</f>
        <v>11.72</v>
      </c>
      <c r="AC117" s="149">
        <f>IFERROR(_xlfn.XLOOKUP($D117,'Modelling New'!$D:$D,'Modelling New'!$P:$P),"")</f>
        <v>4.6269332580645148</v>
      </c>
      <c r="AD117" s="143">
        <f>IFERROR(_xlfn.XLOOKUP($D117,'Modelling New'!$D:$D,'Modelling New'!$T:$T)*1000,"")</f>
        <v>40702.654142805535</v>
      </c>
      <c r="AE117" s="148">
        <f>IFERROR(_xlfn.XLOOKUP($D117,'Modelling New'!$D:$D,'Modelling New'!$O:$O),"")</f>
        <v>0.75058845994317613</v>
      </c>
      <c r="AF117" s="148">
        <f>IFERROR(_xlfn.XLOOKUP($D117,'Modelling New'!$D:$D,'Modelling New'!$W:$W),"")</f>
        <v>0.14470511285127108</v>
      </c>
      <c r="AG117" s="148">
        <f>IFERROR(_xlfn.XLOOKUP($D117,'Modelling New'!$D:$D,'Modelling New'!AE:AE),"")</f>
        <v>0.995</v>
      </c>
      <c r="AH117" s="148">
        <f>IFERROR(_xlfn.XLOOKUP($D117,'Modelling New'!$D:$D,'Modelling New'!AF:AF),"")</f>
        <v>0.98550000000000004</v>
      </c>
      <c r="AN117" s="145"/>
      <c r="AO117" s="148"/>
      <c r="AP117" s="148"/>
      <c r="AQ117" s="148"/>
      <c r="AR117" s="143">
        <f>IFERROR(_xlfn.XLOOKUP($D117,'Modelling New'!$D:$D,'Modelling New'!$N:$N),"")</f>
        <v>11.72</v>
      </c>
      <c r="AT117" s="143">
        <f>IFERROR(_xlfn.XLOOKUP(Table13[[#This Row],[Date]],'Raw Data'!$G:$G,'Raw Data'!$AJ:$AJ),"")</f>
        <v>0</v>
      </c>
      <c r="AU117" s="143">
        <f>IFERROR(_xlfn.XLOOKUP(Table13[[#This Row],[Month Year]],'Modelling New'!$D:$D,'Modelling New'!$AO:$AO),"")</f>
        <v>10</v>
      </c>
      <c r="AV117" s="143"/>
    </row>
    <row r="118" spans="1:48">
      <c r="A118" s="142">
        <f t="shared" si="7"/>
        <v>45861</v>
      </c>
      <c r="B118" s="143">
        <f>YEAR(Table13[[#This Row],[Date]])+IF(MONTH(Table13[[#This Row],[Date]])&gt;=4,1,0)</f>
        <v>2026</v>
      </c>
      <c r="C118" s="116">
        <f>YEAR(Table13[[#This Row],[Date]])</f>
        <v>2025</v>
      </c>
      <c r="D118" s="144">
        <f>Table13[[#This Row],[Date]]-DAY(Table13[[#This Row],[Date]])+1</f>
        <v>45839</v>
      </c>
      <c r="E118" s="116">
        <f t="shared" si="8"/>
        <v>31</v>
      </c>
      <c r="F118" s="117">
        <f>IFERROR(_xlfn.XLOOKUP($A118,'Raw Data'!$G:$G,'Raw Data'!$AH:$AH),"")</f>
        <v>12.050000000000002</v>
      </c>
      <c r="G118" s="118">
        <f>IFERROR(_xlfn.XLOOKUP($A118,'Raw Data'!$G:$G,'Raw Data'!$S:$S)/1000,"")</f>
        <v>0</v>
      </c>
      <c r="H118" s="118"/>
      <c r="I118" s="118">
        <f>IFERROR(_xlfn.XLOOKUP($A118,'Raw Data'!$G:$G,'Raw Data'!$AF:$AF)/1000,"")</f>
        <v>2.0779999999999998</v>
      </c>
      <c r="J118" s="118"/>
      <c r="K118" s="118">
        <f>IFERROR(_xlfn.XLOOKUP($A118,'Raw Data'!$G:$G,'Raw Data'!W:W),"")</f>
        <v>23</v>
      </c>
      <c r="L118" s="118">
        <f>IFERROR(_xlfn.XLOOKUP($A118,'Raw Data'!$G:$G,'Raw Data'!X:X),"")</f>
        <v>28</v>
      </c>
      <c r="M118" s="118">
        <f>IFERROR(_xlfn.XLOOKUP($A118,'Raw Data'!$G:$G,'Raw Data'!Y:Y),"")</f>
        <v>3</v>
      </c>
      <c r="N118" s="118">
        <f>IFERROR(_xlfn.XLOOKUP($A118,'Raw Data'!$G:$G,'Raw Data'!Z:Z),"")</f>
        <v>5</v>
      </c>
      <c r="O118" s="145">
        <f>IFERROR(1-SUMIF('Plant BD'!$B:$B,$A118,'Plant BD'!$AM:$AM)/($AA118+SUMIF('Plant BD'!$B:$B,$A118,'Plant BD'!$AM:$AM)),"")</f>
        <v>1</v>
      </c>
      <c r="P118" s="145"/>
      <c r="Q118" s="146"/>
      <c r="R118" s="145">
        <f>IFERROR(1-SUMIF('Grid BD'!$B:$B,$A118,'Grid BD'!$AE:$AE)/($AA118+SUMIF('Grid BD'!$B:$B,$A118,'Grid BD'!$AE:$AE)),"")</f>
        <v>1</v>
      </c>
      <c r="T118" s="146">
        <f>IFERROR(1-SUMIF(Tracker_BD!$H:$H,$A118,Tracker_BD!AI:AI)/$F118,"")</f>
        <v>0.98600976137104335</v>
      </c>
      <c r="U118" s="147">
        <f t="shared" si="5"/>
        <v>0.86320776409474487</v>
      </c>
      <c r="V118" s="147"/>
      <c r="W118" s="148">
        <f t="shared" si="6"/>
        <v>7.4739405574536649E-2</v>
      </c>
      <c r="X118" s="143">
        <f>IFERROR(_xlfn.XLOOKUP($A118,'Raw Data'!$G:$G,'Raw Data'!$AB:$AB),"")</f>
        <v>21268</v>
      </c>
      <c r="Y118" s="143">
        <f>IFERROR(_xlfn.XLOOKUP($A118,'Raw Data'!$G:$G,'Raw Data'!AC:AC),"")</f>
        <v>21201.100000005681</v>
      </c>
      <c r="Z118" s="143">
        <f>IFERROR(_xlfn.XLOOKUP($A118,'Raw Data'!$G:$G,'Raw Data'!AD:AD),"")</f>
        <v>178.40000000001055</v>
      </c>
      <c r="AA118" s="143">
        <f>IFERROR(_xlfn.XLOOKUP($A118,'Raw Data'!$G:$G,'Raw Data'!AE:AE)*(1+(_xlfn.XLOOKUP(Table13[[#This Row],[Month Year]],JMR!$A:$A,JMR!$J:$J))),"")</f>
        <v>21022.700000005672</v>
      </c>
      <c r="AB118" s="143">
        <f>IFERROR(_xlfn.XLOOKUP($A118,'Raw Data'!$G:$G,'Raw Data'!$H:$H),"")</f>
        <v>11.72</v>
      </c>
      <c r="AC118" s="149">
        <f>IFERROR(_xlfn.XLOOKUP($D118,'Modelling New'!$D:$D,'Modelling New'!$P:$P),"")</f>
        <v>4.6269332580645148</v>
      </c>
      <c r="AD118" s="143">
        <f>IFERROR(_xlfn.XLOOKUP($D118,'Modelling New'!$D:$D,'Modelling New'!$T:$T)*1000,"")</f>
        <v>40702.654142805535</v>
      </c>
      <c r="AE118" s="148">
        <f>IFERROR(_xlfn.XLOOKUP($D118,'Modelling New'!$D:$D,'Modelling New'!$O:$O),"")</f>
        <v>0.75058845994317613</v>
      </c>
      <c r="AF118" s="148">
        <f>IFERROR(_xlfn.XLOOKUP($D118,'Modelling New'!$D:$D,'Modelling New'!$W:$W),"")</f>
        <v>0.14470511285127108</v>
      </c>
      <c r="AG118" s="148">
        <f>IFERROR(_xlfn.XLOOKUP($D118,'Modelling New'!$D:$D,'Modelling New'!AE:AE),"")</f>
        <v>0.995</v>
      </c>
      <c r="AH118" s="148">
        <f>IFERROR(_xlfn.XLOOKUP($D118,'Modelling New'!$D:$D,'Modelling New'!AF:AF),"")</f>
        <v>0.98550000000000004</v>
      </c>
      <c r="AN118" s="145"/>
      <c r="AO118" s="148"/>
      <c r="AP118" s="148"/>
      <c r="AQ118" s="148"/>
      <c r="AR118" s="143">
        <f>IFERROR(_xlfn.XLOOKUP($D118,'Modelling New'!$D:$D,'Modelling New'!$N:$N),"")</f>
        <v>11.72</v>
      </c>
      <c r="AT118" s="143">
        <f>IFERROR(_xlfn.XLOOKUP(Table13[[#This Row],[Date]],'Raw Data'!$G:$G,'Raw Data'!$AJ:$AJ),"")</f>
        <v>0</v>
      </c>
      <c r="AU118" s="143">
        <f>IFERROR(_xlfn.XLOOKUP(Table13[[#This Row],[Month Year]],'Modelling New'!$D:$D,'Modelling New'!$AO:$AO),"")</f>
        <v>10</v>
      </c>
      <c r="AV118" s="143"/>
    </row>
    <row r="119" spans="1:48">
      <c r="A119" s="142">
        <f t="shared" si="7"/>
        <v>45862</v>
      </c>
      <c r="B119" s="143">
        <f>YEAR(Table13[[#This Row],[Date]])+IF(MONTH(Table13[[#This Row],[Date]])&gt;=4,1,0)</f>
        <v>2026</v>
      </c>
      <c r="C119" s="116">
        <f>YEAR(Table13[[#This Row],[Date]])</f>
        <v>2025</v>
      </c>
      <c r="D119" s="144">
        <f>Table13[[#This Row],[Date]]-DAY(Table13[[#This Row],[Date]])+1</f>
        <v>45839</v>
      </c>
      <c r="E119" s="116">
        <f t="shared" si="8"/>
        <v>31</v>
      </c>
      <c r="F119" s="117">
        <f>IFERROR(_xlfn.XLOOKUP($A119,'Raw Data'!$G:$G,'Raw Data'!$AH:$AH),"")</f>
        <v>12.183333333333335</v>
      </c>
      <c r="G119" s="118">
        <f>IFERROR(_xlfn.XLOOKUP($A119,'Raw Data'!$G:$G,'Raw Data'!$S:$S)/1000,"")</f>
        <v>0</v>
      </c>
      <c r="H119" s="118"/>
      <c r="I119" s="118">
        <f>IFERROR(_xlfn.XLOOKUP($A119,'Raw Data'!$G:$G,'Raw Data'!$AF:$AF)/1000,"")</f>
        <v>1.7170000000000001</v>
      </c>
      <c r="J119" s="118"/>
      <c r="K119" s="118">
        <f>IFERROR(_xlfn.XLOOKUP($A119,'Raw Data'!$G:$G,'Raw Data'!W:W),"")</f>
        <v>23</v>
      </c>
      <c r="L119" s="118">
        <f>IFERROR(_xlfn.XLOOKUP($A119,'Raw Data'!$G:$G,'Raw Data'!X:X),"")</f>
        <v>25</v>
      </c>
      <c r="M119" s="118">
        <f>IFERROR(_xlfn.XLOOKUP($A119,'Raw Data'!$G:$G,'Raw Data'!Y:Y),"")</f>
        <v>2</v>
      </c>
      <c r="N119" s="118">
        <f>IFERROR(_xlfn.XLOOKUP($A119,'Raw Data'!$G:$G,'Raw Data'!Z:Z),"")</f>
        <v>6</v>
      </c>
      <c r="O119" s="145">
        <f>IFERROR(1-SUMIF('Plant BD'!$B:$B,$A119,'Plant BD'!$AM:$AM)/($AA119+SUMIF('Plant BD'!$B:$B,$A119,'Plant BD'!$AM:$AM)),"")</f>
        <v>1</v>
      </c>
      <c r="P119" s="145"/>
      <c r="Q119" s="146"/>
      <c r="R119" s="145">
        <f>IFERROR(1-SUMIF('Grid BD'!$B:$B,$A119,'Grid BD'!$AE:$AE)/($AA119+SUMIF('Grid BD'!$B:$B,$A119,'Grid BD'!$AE:$AE)),"")</f>
        <v>1</v>
      </c>
      <c r="T119" s="146">
        <f>IFERROR(1-SUMIF(Tracker_BD!$H:$H,$A119,Tracker_BD!AI:AI)/$F119,"")</f>
        <v>0.98592700913565101</v>
      </c>
      <c r="U119" s="147">
        <f t="shared" si="5"/>
        <v>0.87954524221718466</v>
      </c>
      <c r="V119" s="147"/>
      <c r="W119" s="148">
        <f t="shared" si="6"/>
        <v>6.2924132536954405E-2</v>
      </c>
      <c r="X119" s="143">
        <f>IFERROR(_xlfn.XLOOKUP($A119,'Raw Data'!$G:$G,'Raw Data'!$AB:$AB),"")</f>
        <v>17977</v>
      </c>
      <c r="Y119" s="143">
        <f>IFERROR(_xlfn.XLOOKUP($A119,'Raw Data'!$G:$G,'Raw Data'!AC:AC),"")</f>
        <v>17880.399999994552</v>
      </c>
      <c r="Z119" s="143">
        <f>IFERROR(_xlfn.XLOOKUP($A119,'Raw Data'!$G:$G,'Raw Data'!AD:AD),"")</f>
        <v>181.10000000001492</v>
      </c>
      <c r="AA119" s="143">
        <f>IFERROR(_xlfn.XLOOKUP($A119,'Raw Data'!$G:$G,'Raw Data'!AE:AE)*(1+(_xlfn.XLOOKUP(Table13[[#This Row],[Month Year]],JMR!$A:$A,JMR!$J:$J))),"")</f>
        <v>17699.299999994539</v>
      </c>
      <c r="AB119" s="143">
        <f>IFERROR(_xlfn.XLOOKUP($A119,'Raw Data'!$G:$G,'Raw Data'!$H:$H),"")</f>
        <v>11.72</v>
      </c>
      <c r="AC119" s="149">
        <f>IFERROR(_xlfn.XLOOKUP($D119,'Modelling New'!$D:$D,'Modelling New'!$P:$P),"")</f>
        <v>4.6269332580645148</v>
      </c>
      <c r="AD119" s="143">
        <f>IFERROR(_xlfn.XLOOKUP($D119,'Modelling New'!$D:$D,'Modelling New'!$T:$T)*1000,"")</f>
        <v>40702.654142805535</v>
      </c>
      <c r="AE119" s="148">
        <f>IFERROR(_xlfn.XLOOKUP($D119,'Modelling New'!$D:$D,'Modelling New'!$O:$O),"")</f>
        <v>0.75058845994317613</v>
      </c>
      <c r="AF119" s="148">
        <f>IFERROR(_xlfn.XLOOKUP($D119,'Modelling New'!$D:$D,'Modelling New'!$W:$W),"")</f>
        <v>0.14470511285127108</v>
      </c>
      <c r="AG119" s="148">
        <f>IFERROR(_xlfn.XLOOKUP($D119,'Modelling New'!$D:$D,'Modelling New'!AE:AE),"")</f>
        <v>0.995</v>
      </c>
      <c r="AH119" s="148">
        <f>IFERROR(_xlfn.XLOOKUP($D119,'Modelling New'!$D:$D,'Modelling New'!AF:AF),"")</f>
        <v>0.98550000000000004</v>
      </c>
      <c r="AN119" s="145"/>
      <c r="AO119" s="148"/>
      <c r="AP119" s="148"/>
      <c r="AQ119" s="148"/>
      <c r="AR119" s="143">
        <f>IFERROR(_xlfn.XLOOKUP($D119,'Modelling New'!$D:$D,'Modelling New'!$N:$N),"")</f>
        <v>11.72</v>
      </c>
      <c r="AT119" s="143">
        <f>IFERROR(_xlfn.XLOOKUP(Table13[[#This Row],[Date]],'Raw Data'!$G:$G,'Raw Data'!$AJ:$AJ),"")</f>
        <v>0</v>
      </c>
      <c r="AU119" s="143">
        <f>IFERROR(_xlfn.XLOOKUP(Table13[[#This Row],[Month Year]],'Modelling New'!$D:$D,'Modelling New'!$AO:$AO),"")</f>
        <v>10</v>
      </c>
      <c r="AV119" s="143"/>
    </row>
    <row r="120" spans="1:48">
      <c r="A120" s="142">
        <f t="shared" si="7"/>
        <v>45863</v>
      </c>
      <c r="B120" s="143">
        <f>YEAR(Table13[[#This Row],[Date]])+IF(MONTH(Table13[[#This Row],[Date]])&gt;=4,1,0)</f>
        <v>2026</v>
      </c>
      <c r="C120" s="116">
        <f>YEAR(Table13[[#This Row],[Date]])</f>
        <v>2025</v>
      </c>
      <c r="D120" s="144">
        <f>Table13[[#This Row],[Date]]-DAY(Table13[[#This Row],[Date]])+1</f>
        <v>45839</v>
      </c>
      <c r="E120" s="116">
        <f t="shared" si="8"/>
        <v>31</v>
      </c>
      <c r="F120" s="117">
        <f>IFERROR(_xlfn.XLOOKUP($A120,'Raw Data'!$G:$G,'Raw Data'!$AH:$AH),"")</f>
        <v>12.183333333333335</v>
      </c>
      <c r="G120" s="118">
        <f>IFERROR(_xlfn.XLOOKUP($A120,'Raw Data'!$G:$G,'Raw Data'!$S:$S)/1000,"")</f>
        <v>0</v>
      </c>
      <c r="H120" s="118"/>
      <c r="I120" s="118">
        <f>IFERROR(_xlfn.XLOOKUP($A120,'Raw Data'!$G:$G,'Raw Data'!$AF:$AF)/1000,"")</f>
        <v>1.77</v>
      </c>
      <c r="J120" s="118"/>
      <c r="K120" s="118">
        <f>IFERROR(_xlfn.XLOOKUP($A120,'Raw Data'!$G:$G,'Raw Data'!W:W),"")</f>
        <v>23</v>
      </c>
      <c r="L120" s="118">
        <f>IFERROR(_xlfn.XLOOKUP($A120,'Raw Data'!$G:$G,'Raw Data'!X:X),"")</f>
        <v>25</v>
      </c>
      <c r="M120" s="118">
        <f>IFERROR(_xlfn.XLOOKUP($A120,'Raw Data'!$G:$G,'Raw Data'!Y:Y),"")</f>
        <v>3</v>
      </c>
      <c r="N120" s="118">
        <f>IFERROR(_xlfn.XLOOKUP($A120,'Raw Data'!$G:$G,'Raw Data'!Z:Z),"")</f>
        <v>6</v>
      </c>
      <c r="O120" s="145">
        <f>IFERROR(1-SUMIF('Plant BD'!$B:$B,$A120,'Plant BD'!$AM:$AM)/($AA120+SUMIF('Plant BD'!$B:$B,$A120,'Plant BD'!$AM:$AM)),"")</f>
        <v>1</v>
      </c>
      <c r="P120" s="145"/>
      <c r="Q120" s="146"/>
      <c r="R120" s="145">
        <f>IFERROR(1-SUMIF('Grid BD'!$B:$B,$A120,'Grid BD'!$AE:$AE)/($AA120+SUMIF('Grid BD'!$B:$B,$A120,'Grid BD'!$AE:$AE)),"")</f>
        <v>1</v>
      </c>
      <c r="T120" s="146">
        <f>IFERROR(1-SUMIF(Tracker_BD!$H:$H,$A120,Tracker_BD!AI:AI)/$F120,"")</f>
        <v>0.98592700913565101</v>
      </c>
      <c r="U120" s="147">
        <f t="shared" si="5"/>
        <v>0.87430342646744297</v>
      </c>
      <c r="V120" s="147"/>
      <c r="W120" s="148">
        <f t="shared" si="6"/>
        <v>6.4479877701973914E-2</v>
      </c>
      <c r="X120" s="143">
        <f>IFERROR(_xlfn.XLOOKUP($A120,'Raw Data'!$G:$G,'Raw Data'!$AB:$AB),"")</f>
        <v>18388</v>
      </c>
      <c r="Y120" s="143">
        <f>IFERROR(_xlfn.XLOOKUP($A120,'Raw Data'!$G:$G,'Raw Data'!AC:AC),"")</f>
        <v>18315.800000011222</v>
      </c>
      <c r="Z120" s="143">
        <f>IFERROR(_xlfn.XLOOKUP($A120,'Raw Data'!$G:$G,'Raw Data'!AD:AD),"")</f>
        <v>178.89999999999873</v>
      </c>
      <c r="AA120" s="143">
        <f>IFERROR(_xlfn.XLOOKUP($A120,'Raw Data'!$G:$G,'Raw Data'!AE:AE)*(1+(_xlfn.XLOOKUP(Table13[[#This Row],[Month Year]],JMR!$A:$A,JMR!$J:$J))),"")</f>
        <v>18136.900000011225</v>
      </c>
      <c r="AB120" s="143">
        <f>IFERROR(_xlfn.XLOOKUP($A120,'Raw Data'!$G:$G,'Raw Data'!$H:$H),"")</f>
        <v>11.72</v>
      </c>
      <c r="AC120" s="149">
        <f>IFERROR(_xlfn.XLOOKUP($D120,'Modelling New'!$D:$D,'Modelling New'!$P:$P),"")</f>
        <v>4.6269332580645148</v>
      </c>
      <c r="AD120" s="143">
        <f>IFERROR(_xlfn.XLOOKUP($D120,'Modelling New'!$D:$D,'Modelling New'!$T:$T)*1000,"")</f>
        <v>40702.654142805535</v>
      </c>
      <c r="AE120" s="148">
        <f>IFERROR(_xlfn.XLOOKUP($D120,'Modelling New'!$D:$D,'Modelling New'!$O:$O),"")</f>
        <v>0.75058845994317613</v>
      </c>
      <c r="AF120" s="148">
        <f>IFERROR(_xlfn.XLOOKUP($D120,'Modelling New'!$D:$D,'Modelling New'!$W:$W),"")</f>
        <v>0.14470511285127108</v>
      </c>
      <c r="AG120" s="148">
        <f>IFERROR(_xlfn.XLOOKUP($D120,'Modelling New'!$D:$D,'Modelling New'!AE:AE),"")</f>
        <v>0.995</v>
      </c>
      <c r="AH120" s="148">
        <f>IFERROR(_xlfn.XLOOKUP($D120,'Modelling New'!$D:$D,'Modelling New'!AF:AF),"")</f>
        <v>0.98550000000000004</v>
      </c>
      <c r="AN120" s="145"/>
      <c r="AO120" s="148"/>
      <c r="AP120" s="148"/>
      <c r="AQ120" s="148"/>
      <c r="AR120" s="143">
        <f>IFERROR(_xlfn.XLOOKUP($D120,'Modelling New'!$D:$D,'Modelling New'!$N:$N),"")</f>
        <v>11.72</v>
      </c>
      <c r="AT120" s="143">
        <f>IFERROR(_xlfn.XLOOKUP(Table13[[#This Row],[Date]],'Raw Data'!$G:$G,'Raw Data'!$AJ:$AJ),"")</f>
        <v>0</v>
      </c>
      <c r="AU120" s="143">
        <f>IFERROR(_xlfn.XLOOKUP(Table13[[#This Row],[Month Year]],'Modelling New'!$D:$D,'Modelling New'!$AO:$AO),"")</f>
        <v>10</v>
      </c>
      <c r="AV120" s="143"/>
    </row>
    <row r="121" spans="1:48">
      <c r="A121" s="142">
        <f t="shared" si="7"/>
        <v>45864</v>
      </c>
      <c r="B121" s="143">
        <f>YEAR(Table13[[#This Row],[Date]])+IF(MONTH(Table13[[#This Row],[Date]])&gt;=4,1,0)</f>
        <v>2026</v>
      </c>
      <c r="C121" s="116">
        <f>YEAR(Table13[[#This Row],[Date]])</f>
        <v>2025</v>
      </c>
      <c r="D121" s="144">
        <f>Table13[[#This Row],[Date]]-DAY(Table13[[#This Row],[Date]])+1</f>
        <v>45839</v>
      </c>
      <c r="E121" s="116">
        <f t="shared" si="8"/>
        <v>31</v>
      </c>
      <c r="F121" s="117">
        <f>IFERROR(_xlfn.XLOOKUP($A121,'Raw Data'!$G:$G,'Raw Data'!$AH:$AH),"")</f>
        <v>11.983333333333334</v>
      </c>
      <c r="G121" s="118">
        <f>IFERROR(_xlfn.XLOOKUP($A121,'Raw Data'!$G:$G,'Raw Data'!$S:$S)/1000,"")</f>
        <v>0</v>
      </c>
      <c r="H121" s="118"/>
      <c r="I121" s="118">
        <f>IFERROR(_xlfn.XLOOKUP($A121,'Raw Data'!$G:$G,'Raw Data'!$AF:$AF)/1000,"")</f>
        <v>1.127</v>
      </c>
      <c r="J121" s="118"/>
      <c r="K121" s="118">
        <f>IFERROR(_xlfn.XLOOKUP($A121,'Raw Data'!$G:$G,'Raw Data'!W:W),"")</f>
        <v>23</v>
      </c>
      <c r="L121" s="118">
        <f>IFERROR(_xlfn.XLOOKUP($A121,'Raw Data'!$G:$G,'Raw Data'!X:X),"")</f>
        <v>24</v>
      </c>
      <c r="M121" s="118">
        <f>IFERROR(_xlfn.XLOOKUP($A121,'Raw Data'!$G:$G,'Raw Data'!Y:Y),"")</f>
        <v>3</v>
      </c>
      <c r="N121" s="118">
        <f>IFERROR(_xlfn.XLOOKUP($A121,'Raw Data'!$G:$G,'Raw Data'!Z:Z),"")</f>
        <v>6</v>
      </c>
      <c r="O121" s="145">
        <f>IFERROR(1-SUMIF('Plant BD'!$B:$B,$A121,'Plant BD'!$AM:$AM)/($AA121+SUMIF('Plant BD'!$B:$B,$A121,'Plant BD'!$AM:$AM)),"")</f>
        <v>1</v>
      </c>
      <c r="P121" s="145"/>
      <c r="Q121" s="146"/>
      <c r="R121" s="145">
        <f>IFERROR(1-SUMIF('Grid BD'!$B:$B,$A121,'Grid BD'!$AE:$AE)/($AA121+SUMIF('Grid BD'!$B:$B,$A121,'Grid BD'!$AE:$AE)),"")</f>
        <v>1</v>
      </c>
      <c r="T121" s="146">
        <f>IFERROR(1-SUMIF(Tracker_BD!$H:$H,$A121,Tracker_BD!AI:AI)/$F121,"")</f>
        <v>0.98601186194107393</v>
      </c>
      <c r="U121" s="147">
        <f t="shared" si="5"/>
        <v>0.87835505177045792</v>
      </c>
      <c r="V121" s="147"/>
      <c r="W121" s="148">
        <f t="shared" si="6"/>
        <v>4.1246089306054404E-2</v>
      </c>
      <c r="X121" s="143">
        <f>IFERROR(_xlfn.XLOOKUP($A121,'Raw Data'!$G:$G,'Raw Data'!$AB:$AB),"")</f>
        <v>11958</v>
      </c>
      <c r="Y121" s="143">
        <f>IFERROR(_xlfn.XLOOKUP($A121,'Raw Data'!$G:$G,'Raw Data'!AC:AC),"")</f>
        <v>11786.300000007031</v>
      </c>
      <c r="Z121" s="143">
        <f>IFERROR(_xlfn.XLOOKUP($A121,'Raw Data'!$G:$G,'Raw Data'!AD:AD),"")</f>
        <v>184.60000000004584</v>
      </c>
      <c r="AA121" s="143">
        <f>IFERROR(_xlfn.XLOOKUP($A121,'Raw Data'!$G:$G,'Raw Data'!AE:AE)*(1+(_xlfn.XLOOKUP(Table13[[#This Row],[Month Year]],JMR!$A:$A,JMR!$J:$J))),"")</f>
        <v>11601.700000006986</v>
      </c>
      <c r="AB121" s="143">
        <f>IFERROR(_xlfn.XLOOKUP($A121,'Raw Data'!$G:$G,'Raw Data'!$H:$H),"")</f>
        <v>11.72</v>
      </c>
      <c r="AC121" s="149">
        <f>IFERROR(_xlfn.XLOOKUP($D121,'Modelling New'!$D:$D,'Modelling New'!$P:$P),"")</f>
        <v>4.6269332580645148</v>
      </c>
      <c r="AD121" s="143">
        <f>IFERROR(_xlfn.XLOOKUP($D121,'Modelling New'!$D:$D,'Modelling New'!$T:$T)*1000,"")</f>
        <v>40702.654142805535</v>
      </c>
      <c r="AE121" s="148">
        <f>IFERROR(_xlfn.XLOOKUP($D121,'Modelling New'!$D:$D,'Modelling New'!$O:$O),"")</f>
        <v>0.75058845994317613</v>
      </c>
      <c r="AF121" s="148">
        <f>IFERROR(_xlfn.XLOOKUP($D121,'Modelling New'!$D:$D,'Modelling New'!$W:$W),"")</f>
        <v>0.14470511285127108</v>
      </c>
      <c r="AG121" s="148">
        <f>IFERROR(_xlfn.XLOOKUP($D121,'Modelling New'!$D:$D,'Modelling New'!AE:AE),"")</f>
        <v>0.995</v>
      </c>
      <c r="AH121" s="148">
        <f>IFERROR(_xlfn.XLOOKUP($D121,'Modelling New'!$D:$D,'Modelling New'!AF:AF),"")</f>
        <v>0.98550000000000004</v>
      </c>
      <c r="AN121" s="145"/>
      <c r="AO121" s="148"/>
      <c r="AP121" s="148"/>
      <c r="AQ121" s="148"/>
      <c r="AR121" s="143">
        <f>IFERROR(_xlfn.XLOOKUP($D121,'Modelling New'!$D:$D,'Modelling New'!$N:$N),"")</f>
        <v>11.72</v>
      </c>
      <c r="AT121" s="143">
        <f>IFERROR(_xlfn.XLOOKUP(Table13[[#This Row],[Date]],'Raw Data'!$G:$G,'Raw Data'!$AJ:$AJ),"")</f>
        <v>0</v>
      </c>
      <c r="AU121" s="143">
        <f>IFERROR(_xlfn.XLOOKUP(Table13[[#This Row],[Month Year]],'Modelling New'!$D:$D,'Modelling New'!$AO:$AO),"")</f>
        <v>10</v>
      </c>
      <c r="AV121" s="143"/>
    </row>
    <row r="122" spans="1:48">
      <c r="A122" s="142">
        <f t="shared" si="7"/>
        <v>45865</v>
      </c>
      <c r="B122" s="143">
        <f>YEAR(Table13[[#This Row],[Date]])+IF(MONTH(Table13[[#This Row],[Date]])&gt;=4,1,0)</f>
        <v>2026</v>
      </c>
      <c r="C122" s="116">
        <f>YEAR(Table13[[#This Row],[Date]])</f>
        <v>2025</v>
      </c>
      <c r="D122" s="144">
        <f>Table13[[#This Row],[Date]]-DAY(Table13[[#This Row],[Date]])+1</f>
        <v>45839</v>
      </c>
      <c r="E122" s="116">
        <f t="shared" si="8"/>
        <v>31</v>
      </c>
      <c r="F122" s="117">
        <f>IFERROR(_xlfn.XLOOKUP($A122,'Raw Data'!$G:$G,'Raw Data'!$AH:$AH),"")</f>
        <v>12.599999999999998</v>
      </c>
      <c r="G122" s="118">
        <f>IFERROR(_xlfn.XLOOKUP($A122,'Raw Data'!$G:$G,'Raw Data'!$S:$S)/1000,"")</f>
        <v>0</v>
      </c>
      <c r="H122" s="118"/>
      <c r="I122" s="118">
        <f>IFERROR(_xlfn.XLOOKUP($A122,'Raw Data'!$G:$G,'Raw Data'!$AF:$AF)/1000,"")</f>
        <v>4.38</v>
      </c>
      <c r="J122" s="118"/>
      <c r="K122" s="118">
        <f>IFERROR(_xlfn.XLOOKUP($A122,'Raw Data'!$G:$G,'Raw Data'!W:W),"")</f>
        <v>23</v>
      </c>
      <c r="L122" s="118">
        <f>IFERROR(_xlfn.XLOOKUP($A122,'Raw Data'!$G:$G,'Raw Data'!X:X),"")</f>
        <v>33</v>
      </c>
      <c r="M122" s="118">
        <f>IFERROR(_xlfn.XLOOKUP($A122,'Raw Data'!$G:$G,'Raw Data'!Y:Y),"")</f>
        <v>3</v>
      </c>
      <c r="N122" s="118">
        <f>IFERROR(_xlfn.XLOOKUP($A122,'Raw Data'!$G:$G,'Raw Data'!Z:Z),"")</f>
        <v>9</v>
      </c>
      <c r="O122" s="145">
        <f>IFERROR(1-SUMIF('Plant BD'!$B:$B,$A122,'Plant BD'!$AM:$AM)/($AA122+SUMIF('Plant BD'!$B:$B,$A122,'Plant BD'!$AM:$AM)),"")</f>
        <v>1</v>
      </c>
      <c r="P122" s="145"/>
      <c r="Q122" s="146"/>
      <c r="R122" s="145">
        <f>IFERROR(1-SUMIF('Grid BD'!$B:$B,$A122,'Grid BD'!$AE:$AE)/($AA122+SUMIF('Grid BD'!$B:$B,$A122,'Grid BD'!$AE:$AE)),"")</f>
        <v>1</v>
      </c>
      <c r="T122" s="146">
        <f>IFERROR(1-SUMIF(Tracker_BD!$H:$H,$A122,Tracker_BD!AI:AI)/$F122,"")</f>
        <v>0.98627835553122911</v>
      </c>
      <c r="U122" s="147">
        <f t="shared" si="5"/>
        <v>0.77099404678422356</v>
      </c>
      <c r="V122" s="147"/>
      <c r="W122" s="148">
        <f t="shared" si="6"/>
        <v>0.14070641353812074</v>
      </c>
      <c r="X122" s="143">
        <f>IFERROR(_xlfn.XLOOKUP($A122,'Raw Data'!$G:$G,'Raw Data'!$AB:$AB),"")</f>
        <v>39786</v>
      </c>
      <c r="Y122" s="143">
        <f>IFERROR(_xlfn.XLOOKUP($A122,'Raw Data'!$G:$G,'Raw Data'!AC:AC),"")</f>
        <v>39771.500000002561</v>
      </c>
      <c r="Z122" s="143">
        <f>IFERROR(_xlfn.XLOOKUP($A122,'Raw Data'!$G:$G,'Raw Data'!AD:AD),"")</f>
        <v>193.5999999999467</v>
      </c>
      <c r="AA122" s="143">
        <f>IFERROR(_xlfn.XLOOKUP($A122,'Raw Data'!$G:$G,'Raw Data'!AE:AE)*(1+(_xlfn.XLOOKUP(Table13[[#This Row],[Month Year]],JMR!$A:$A,JMR!$J:$J))),"")</f>
        <v>39577.900000002614</v>
      </c>
      <c r="AB122" s="143">
        <f>IFERROR(_xlfn.XLOOKUP($A122,'Raw Data'!$G:$G,'Raw Data'!$H:$H),"")</f>
        <v>11.72</v>
      </c>
      <c r="AC122" s="149">
        <f>IFERROR(_xlfn.XLOOKUP($D122,'Modelling New'!$D:$D,'Modelling New'!$P:$P),"")</f>
        <v>4.6269332580645148</v>
      </c>
      <c r="AD122" s="143">
        <f>IFERROR(_xlfn.XLOOKUP($D122,'Modelling New'!$D:$D,'Modelling New'!$T:$T)*1000,"")</f>
        <v>40702.654142805535</v>
      </c>
      <c r="AE122" s="148">
        <f>IFERROR(_xlfn.XLOOKUP($D122,'Modelling New'!$D:$D,'Modelling New'!$O:$O),"")</f>
        <v>0.75058845994317613</v>
      </c>
      <c r="AF122" s="148">
        <f>IFERROR(_xlfn.XLOOKUP($D122,'Modelling New'!$D:$D,'Modelling New'!$W:$W),"")</f>
        <v>0.14470511285127108</v>
      </c>
      <c r="AG122" s="148">
        <f>IFERROR(_xlfn.XLOOKUP($D122,'Modelling New'!$D:$D,'Modelling New'!AE:AE),"")</f>
        <v>0.995</v>
      </c>
      <c r="AH122" s="148">
        <f>IFERROR(_xlfn.XLOOKUP($D122,'Modelling New'!$D:$D,'Modelling New'!AF:AF),"")</f>
        <v>0.98550000000000004</v>
      </c>
      <c r="AN122" s="145"/>
      <c r="AO122" s="148"/>
      <c r="AP122" s="148"/>
      <c r="AQ122" s="148"/>
      <c r="AR122" s="143">
        <f>IFERROR(_xlfn.XLOOKUP($D122,'Modelling New'!$D:$D,'Modelling New'!$N:$N),"")</f>
        <v>11.72</v>
      </c>
      <c r="AT122" s="143">
        <f>IFERROR(_xlfn.XLOOKUP(Table13[[#This Row],[Date]],'Raw Data'!$G:$G,'Raw Data'!$AJ:$AJ),"")</f>
        <v>0</v>
      </c>
      <c r="AU122" s="143">
        <f>IFERROR(_xlfn.XLOOKUP(Table13[[#This Row],[Month Year]],'Modelling New'!$D:$D,'Modelling New'!$AO:$AO),"")</f>
        <v>10</v>
      </c>
      <c r="AV122" s="143"/>
    </row>
    <row r="123" spans="1:48">
      <c r="A123" s="142">
        <f t="shared" si="7"/>
        <v>45866</v>
      </c>
      <c r="B123" s="143">
        <f>YEAR(Table13[[#This Row],[Date]])+IF(MONTH(Table13[[#This Row],[Date]])&gt;=4,1,0)</f>
        <v>2026</v>
      </c>
      <c r="C123" s="116">
        <f>YEAR(Table13[[#This Row],[Date]])</f>
        <v>2025</v>
      </c>
      <c r="D123" s="144">
        <f>Table13[[#This Row],[Date]]-DAY(Table13[[#This Row],[Date]])+1</f>
        <v>45839</v>
      </c>
      <c r="E123" s="116">
        <f t="shared" si="8"/>
        <v>31</v>
      </c>
      <c r="F123" s="117">
        <f>IFERROR(_xlfn.XLOOKUP($A123,'Raw Data'!$G:$G,'Raw Data'!$AH:$AH),"")</f>
        <v>12.316666666666668</v>
      </c>
      <c r="G123" s="118">
        <f>IFERROR(_xlfn.XLOOKUP($A123,'Raw Data'!$G:$G,'Raw Data'!$S:$S)/1000,"")</f>
        <v>0</v>
      </c>
      <c r="H123" s="118"/>
      <c r="I123" s="118">
        <f>IFERROR(_xlfn.XLOOKUP($A123,'Raw Data'!$G:$G,'Raw Data'!$AF:$AF)/1000,"")</f>
        <v>4.5529999999999999</v>
      </c>
      <c r="J123" s="118"/>
      <c r="K123" s="118">
        <f>IFERROR(_xlfn.XLOOKUP($A123,'Raw Data'!$G:$G,'Raw Data'!W:W),"")</f>
        <v>23</v>
      </c>
      <c r="L123" s="118">
        <f>IFERROR(_xlfn.XLOOKUP($A123,'Raw Data'!$G:$G,'Raw Data'!X:X),"")</f>
        <v>33</v>
      </c>
      <c r="M123" s="118">
        <f>IFERROR(_xlfn.XLOOKUP($A123,'Raw Data'!$G:$G,'Raw Data'!Y:Y),"")</f>
        <v>4</v>
      </c>
      <c r="N123" s="118">
        <f>IFERROR(_xlfn.XLOOKUP($A123,'Raw Data'!$G:$G,'Raw Data'!Z:Z),"")</f>
        <v>8</v>
      </c>
      <c r="O123" s="145">
        <f>IFERROR(1-SUMIF('Plant BD'!$B:$B,$A123,'Plant BD'!$AM:$AM)/($AA123+SUMIF('Plant BD'!$B:$B,$A123,'Plant BD'!$AM:$AM)),"")</f>
        <v>1</v>
      </c>
      <c r="P123" s="145"/>
      <c r="Q123" s="146"/>
      <c r="R123" s="145">
        <f>IFERROR(1-SUMIF('Grid BD'!$B:$B,$A123,'Grid BD'!$AE:$AE)/($AA123+SUMIF('Grid BD'!$B:$B,$A123,'Grid BD'!$AE:$AE)),"")</f>
        <v>1</v>
      </c>
      <c r="T123" s="146">
        <f>IFERROR(1-SUMIF(Tracker_BD!$H:$H,$A123,Tracker_BD!AI:AI)/$F123,"")</f>
        <v>0.98588493304092206</v>
      </c>
      <c r="U123" s="147">
        <f t="shared" si="5"/>
        <v>0.75184272605773439</v>
      </c>
      <c r="V123" s="147"/>
      <c r="W123" s="148">
        <f t="shared" si="6"/>
        <v>0.14263083048920266</v>
      </c>
      <c r="X123" s="143">
        <f>IFERROR(_xlfn.XLOOKUP($A123,'Raw Data'!$G:$G,'Raw Data'!$AB:$AB),"")</f>
        <v>40304</v>
      </c>
      <c r="Y123" s="143">
        <f>IFERROR(_xlfn.XLOOKUP($A123,'Raw Data'!$G:$G,'Raw Data'!AC:AC),"")</f>
        <v>40280.70000000298</v>
      </c>
      <c r="Z123" s="143">
        <f>IFERROR(_xlfn.XLOOKUP($A123,'Raw Data'!$G:$G,'Raw Data'!AD:AD),"")</f>
        <v>161.50000000004638</v>
      </c>
      <c r="AA123" s="143">
        <f>IFERROR(_xlfn.XLOOKUP($A123,'Raw Data'!$G:$G,'Raw Data'!AE:AE)*(1+(_xlfn.XLOOKUP(Table13[[#This Row],[Month Year]],JMR!$A:$A,JMR!$J:$J))),"")</f>
        <v>40119.200000002937</v>
      </c>
      <c r="AB123" s="143">
        <f>IFERROR(_xlfn.XLOOKUP($A123,'Raw Data'!$G:$G,'Raw Data'!$H:$H),"")</f>
        <v>11.72</v>
      </c>
      <c r="AC123" s="149">
        <f>IFERROR(_xlfn.XLOOKUP($D123,'Modelling New'!$D:$D,'Modelling New'!$P:$P),"")</f>
        <v>4.6269332580645148</v>
      </c>
      <c r="AD123" s="143">
        <f>IFERROR(_xlfn.XLOOKUP($D123,'Modelling New'!$D:$D,'Modelling New'!$T:$T)*1000,"")</f>
        <v>40702.654142805535</v>
      </c>
      <c r="AE123" s="148">
        <f>IFERROR(_xlfn.XLOOKUP($D123,'Modelling New'!$D:$D,'Modelling New'!$O:$O),"")</f>
        <v>0.75058845994317613</v>
      </c>
      <c r="AF123" s="148">
        <f>IFERROR(_xlfn.XLOOKUP($D123,'Modelling New'!$D:$D,'Modelling New'!$W:$W),"")</f>
        <v>0.14470511285127108</v>
      </c>
      <c r="AG123" s="148">
        <f>IFERROR(_xlfn.XLOOKUP($D123,'Modelling New'!$D:$D,'Modelling New'!AE:AE),"")</f>
        <v>0.995</v>
      </c>
      <c r="AH123" s="148">
        <f>IFERROR(_xlfn.XLOOKUP($D123,'Modelling New'!$D:$D,'Modelling New'!AF:AF),"")</f>
        <v>0.98550000000000004</v>
      </c>
      <c r="AN123" s="145"/>
      <c r="AO123" s="148"/>
      <c r="AP123" s="148"/>
      <c r="AQ123" s="148"/>
      <c r="AR123" s="143">
        <f>IFERROR(_xlfn.XLOOKUP($D123,'Modelling New'!$D:$D,'Modelling New'!$N:$N),"")</f>
        <v>11.72</v>
      </c>
      <c r="AT123" s="143">
        <f>IFERROR(_xlfn.XLOOKUP(Table13[[#This Row],[Date]],'Raw Data'!$G:$G,'Raw Data'!$AJ:$AJ),"")</f>
        <v>0</v>
      </c>
      <c r="AU123" s="143">
        <f>IFERROR(_xlfn.XLOOKUP(Table13[[#This Row],[Month Year]],'Modelling New'!$D:$D,'Modelling New'!$AO:$AO),"")</f>
        <v>10</v>
      </c>
      <c r="AV123" s="143"/>
    </row>
    <row r="124" spans="1:48">
      <c r="A124" s="142">
        <f t="shared" si="7"/>
        <v>45867</v>
      </c>
      <c r="B124" s="143">
        <f>YEAR(Table13[[#This Row],[Date]])+IF(MONTH(Table13[[#This Row],[Date]])&gt;=4,1,0)</f>
        <v>2026</v>
      </c>
      <c r="C124" s="116">
        <f>YEAR(Table13[[#This Row],[Date]])</f>
        <v>2025</v>
      </c>
      <c r="D124" s="144">
        <f>Table13[[#This Row],[Date]]-DAY(Table13[[#This Row],[Date]])+1</f>
        <v>45839</v>
      </c>
      <c r="E124" s="116">
        <f t="shared" si="8"/>
        <v>31</v>
      </c>
      <c r="F124" s="117">
        <f>IFERROR(_xlfn.XLOOKUP($A124,'Raw Data'!$G:$G,'Raw Data'!$AH:$AH),"")</f>
        <v>12.216666666666665</v>
      </c>
      <c r="G124" s="118">
        <f>IFERROR(_xlfn.XLOOKUP($A124,'Raw Data'!$G:$G,'Raw Data'!$S:$S)/1000,"")</f>
        <v>0</v>
      </c>
      <c r="H124" s="118"/>
      <c r="I124" s="118">
        <f>IFERROR(_xlfn.XLOOKUP($A124,'Raw Data'!$G:$G,'Raw Data'!$AF:$AF)/1000,"")</f>
        <v>3.968</v>
      </c>
      <c r="J124" s="118"/>
      <c r="K124" s="118">
        <f>IFERROR(_xlfn.XLOOKUP($A124,'Raw Data'!$G:$G,'Raw Data'!W:W),"")</f>
        <v>23</v>
      </c>
      <c r="L124" s="118">
        <f>IFERROR(_xlfn.XLOOKUP($A124,'Raw Data'!$G:$G,'Raw Data'!X:X),"")</f>
        <v>32</v>
      </c>
      <c r="M124" s="118">
        <f>IFERROR(_xlfn.XLOOKUP($A124,'Raw Data'!$G:$G,'Raw Data'!Y:Y),"")</f>
        <v>4</v>
      </c>
      <c r="N124" s="118">
        <f>IFERROR(_xlfn.XLOOKUP($A124,'Raw Data'!$G:$G,'Raw Data'!Z:Z),"")</f>
        <v>8</v>
      </c>
      <c r="O124" s="145">
        <f>IFERROR(1-SUMIF('Plant BD'!$B:$B,$A124,'Plant BD'!$AM:$AM)/($AA124+SUMIF('Plant BD'!$B:$B,$A124,'Plant BD'!$AM:$AM)),"")</f>
        <v>1</v>
      </c>
      <c r="P124" s="145"/>
      <c r="Q124" s="146"/>
      <c r="R124" s="145">
        <f>IFERROR(1-SUMIF('Grid BD'!$B:$B,$A124,'Grid BD'!$AE:$AE)/($AA124+SUMIF('Grid BD'!$B:$B,$A124,'Grid BD'!$AE:$AE)),"")</f>
        <v>1</v>
      </c>
      <c r="T124" s="146">
        <f>IFERROR(1-SUMIF(Tracker_BD!$H:$H,$A124,Tracker_BD!AI:AI)/$F124,"")</f>
        <v>0.98574979222530612</v>
      </c>
      <c r="U124" s="147">
        <f t="shared" si="5"/>
        <v>0.79946741164768731</v>
      </c>
      <c r="V124" s="147"/>
      <c r="W124" s="148">
        <f t="shared" si="6"/>
        <v>0.13217861205908427</v>
      </c>
      <c r="X124" s="143">
        <f>IFERROR(_xlfn.XLOOKUP($A124,'Raw Data'!$G:$G,'Raw Data'!$AB:$AB),"")</f>
        <v>37389</v>
      </c>
      <c r="Y124" s="143">
        <f>IFERROR(_xlfn.XLOOKUP($A124,'Raw Data'!$G:$G,'Raw Data'!AC:AC),"")</f>
        <v>37347.599999979138</v>
      </c>
      <c r="Z124" s="143">
        <f>IFERROR(_xlfn.XLOOKUP($A124,'Raw Data'!$G:$G,'Raw Data'!AD:AD),"")</f>
        <v>168.39999999990596</v>
      </c>
      <c r="AA124" s="143">
        <f>IFERROR(_xlfn.XLOOKUP($A124,'Raw Data'!$G:$G,'Raw Data'!AE:AE)*(1+(_xlfn.XLOOKUP(Table13[[#This Row],[Month Year]],JMR!$A:$A,JMR!$J:$J))),"")</f>
        <v>37179.199999979232</v>
      </c>
      <c r="AB124" s="143">
        <f>IFERROR(_xlfn.XLOOKUP($A124,'Raw Data'!$G:$G,'Raw Data'!$H:$H),"")</f>
        <v>11.72</v>
      </c>
      <c r="AC124" s="149">
        <f>IFERROR(_xlfn.XLOOKUP($D124,'Modelling New'!$D:$D,'Modelling New'!$P:$P),"")</f>
        <v>4.6269332580645148</v>
      </c>
      <c r="AD124" s="143">
        <f>IFERROR(_xlfn.XLOOKUP($D124,'Modelling New'!$D:$D,'Modelling New'!$T:$T)*1000,"")</f>
        <v>40702.654142805535</v>
      </c>
      <c r="AE124" s="148">
        <f>IFERROR(_xlfn.XLOOKUP($D124,'Modelling New'!$D:$D,'Modelling New'!$O:$O),"")</f>
        <v>0.75058845994317613</v>
      </c>
      <c r="AF124" s="148">
        <f>IFERROR(_xlfn.XLOOKUP($D124,'Modelling New'!$D:$D,'Modelling New'!$W:$W),"")</f>
        <v>0.14470511285127108</v>
      </c>
      <c r="AG124" s="148">
        <f>IFERROR(_xlfn.XLOOKUP($D124,'Modelling New'!$D:$D,'Modelling New'!AE:AE),"")</f>
        <v>0.995</v>
      </c>
      <c r="AH124" s="148">
        <f>IFERROR(_xlfn.XLOOKUP($D124,'Modelling New'!$D:$D,'Modelling New'!AF:AF),"")</f>
        <v>0.98550000000000004</v>
      </c>
      <c r="AN124" s="145"/>
      <c r="AO124" s="148"/>
      <c r="AP124" s="148"/>
      <c r="AQ124" s="148"/>
      <c r="AR124" s="143">
        <f>IFERROR(_xlfn.XLOOKUP($D124,'Modelling New'!$D:$D,'Modelling New'!$N:$N),"")</f>
        <v>11.72</v>
      </c>
      <c r="AT124" s="143">
        <f>IFERROR(_xlfn.XLOOKUP(Table13[[#This Row],[Date]],'Raw Data'!$G:$G,'Raw Data'!$AJ:$AJ),"")</f>
        <v>0</v>
      </c>
      <c r="AU124" s="143">
        <f>IFERROR(_xlfn.XLOOKUP(Table13[[#This Row],[Month Year]],'Modelling New'!$D:$D,'Modelling New'!$AO:$AO),"")</f>
        <v>10</v>
      </c>
      <c r="AV124" s="143"/>
    </row>
    <row r="125" spans="1:48">
      <c r="A125" s="142">
        <f t="shared" si="7"/>
        <v>45868</v>
      </c>
      <c r="B125" s="143">
        <f>YEAR(Table13[[#This Row],[Date]])+IF(MONTH(Table13[[#This Row],[Date]])&gt;=4,1,0)</f>
        <v>2026</v>
      </c>
      <c r="C125" s="116">
        <f>YEAR(Table13[[#This Row],[Date]])</f>
        <v>2025</v>
      </c>
      <c r="D125" s="144">
        <f>Table13[[#This Row],[Date]]-DAY(Table13[[#This Row],[Date]])+1</f>
        <v>45839</v>
      </c>
      <c r="E125" s="116">
        <f t="shared" si="8"/>
        <v>31</v>
      </c>
      <c r="F125" s="117">
        <f>IFERROR(_xlfn.XLOOKUP($A125,'Raw Data'!$G:$G,'Raw Data'!$AH:$AH),"")</f>
        <v>12.283333333333335</v>
      </c>
      <c r="G125" s="118">
        <f>IFERROR(_xlfn.XLOOKUP($A125,'Raw Data'!$G:$G,'Raw Data'!$S:$S)/1000,"")</f>
        <v>0</v>
      </c>
      <c r="H125" s="118"/>
      <c r="I125" s="118">
        <f>IFERROR(_xlfn.XLOOKUP($A125,'Raw Data'!$G:$G,'Raw Data'!$AF:$AF)/1000,"")</f>
        <v>3.298</v>
      </c>
      <c r="J125" s="118"/>
      <c r="K125" s="118">
        <f>IFERROR(_xlfn.XLOOKUP($A125,'Raw Data'!$G:$G,'Raw Data'!W:W),"")</f>
        <v>23</v>
      </c>
      <c r="L125" s="118">
        <f>IFERROR(_xlfn.XLOOKUP($A125,'Raw Data'!$G:$G,'Raw Data'!X:X),"")</f>
        <v>30</v>
      </c>
      <c r="M125" s="118">
        <f>IFERROR(_xlfn.XLOOKUP($A125,'Raw Data'!$G:$G,'Raw Data'!Y:Y),"")</f>
        <v>4</v>
      </c>
      <c r="N125" s="118">
        <f>IFERROR(_xlfn.XLOOKUP($A125,'Raw Data'!$G:$G,'Raw Data'!Z:Z),"")</f>
        <v>7</v>
      </c>
      <c r="O125" s="145">
        <f>IFERROR(1-SUMIF('Plant BD'!$B:$B,$A125,'Plant BD'!$AM:$AM)/($AA125+SUMIF('Plant BD'!$B:$B,$A125,'Plant BD'!$AM:$AM)),"")</f>
        <v>1</v>
      </c>
      <c r="P125" s="145"/>
      <c r="Q125" s="146"/>
      <c r="R125" s="145">
        <f>IFERROR(1-SUMIF('Grid BD'!$B:$B,$A125,'Grid BD'!$AE:$AE)/($AA125+SUMIF('Grid BD'!$B:$B,$A125,'Grid BD'!$AE:$AE)),"")</f>
        <v>0.88900029078534137</v>
      </c>
      <c r="T125" s="146">
        <f>IFERROR(1-SUMIF(Tracker_BD!$H:$H,$A125,Tracker_BD!AI:AI)/$F125,"")</f>
        <v>0.9858661239258254</v>
      </c>
      <c r="U125" s="147">
        <f t="shared" ref="U125:U188" si="9">IFERROR(AA125/I125/AB125/1000,"")</f>
        <v>0.77040175346730289</v>
      </c>
      <c r="V125" s="147"/>
      <c r="W125" s="148">
        <f t="shared" ref="W125:W188" si="10">IFERROR(AA125/(24*AR125*1000),"")</f>
        <v>0.10586604095563186</v>
      </c>
      <c r="X125" s="143">
        <f>IFERROR(_xlfn.XLOOKUP($A125,'Raw Data'!$G:$G,'Raw Data'!$AB:$AB),"")</f>
        <v>29980</v>
      </c>
      <c r="Y125" s="143">
        <f>IFERROR(_xlfn.XLOOKUP($A125,'Raw Data'!$G:$G,'Raw Data'!AC:AC),"")</f>
        <v>29961.40000000014</v>
      </c>
      <c r="Z125" s="143">
        <f>IFERROR(_xlfn.XLOOKUP($A125,'Raw Data'!$G:$G,'Raw Data'!AD:AD),"")</f>
        <v>183.400000000006</v>
      </c>
      <c r="AA125" s="143">
        <f>IFERROR(_xlfn.XLOOKUP($A125,'Raw Data'!$G:$G,'Raw Data'!AE:AE)*(1+(_xlfn.XLOOKUP(Table13[[#This Row],[Month Year]],JMR!$A:$A,JMR!$J:$J))),"")</f>
        <v>29778.000000000135</v>
      </c>
      <c r="AB125" s="143">
        <f>IFERROR(_xlfn.XLOOKUP($A125,'Raw Data'!$G:$G,'Raw Data'!$H:$H),"")</f>
        <v>11.72</v>
      </c>
      <c r="AC125" s="149">
        <f>IFERROR(_xlfn.XLOOKUP($D125,'Modelling New'!$D:$D,'Modelling New'!$P:$P),"")</f>
        <v>4.6269332580645148</v>
      </c>
      <c r="AD125" s="143">
        <f>IFERROR(_xlfn.XLOOKUP($D125,'Modelling New'!$D:$D,'Modelling New'!$T:$T)*1000,"")</f>
        <v>40702.654142805535</v>
      </c>
      <c r="AE125" s="148">
        <f>IFERROR(_xlfn.XLOOKUP($D125,'Modelling New'!$D:$D,'Modelling New'!$O:$O),"")</f>
        <v>0.75058845994317613</v>
      </c>
      <c r="AF125" s="148">
        <f>IFERROR(_xlfn.XLOOKUP($D125,'Modelling New'!$D:$D,'Modelling New'!$W:$W),"")</f>
        <v>0.14470511285127108</v>
      </c>
      <c r="AG125" s="148">
        <f>IFERROR(_xlfn.XLOOKUP($D125,'Modelling New'!$D:$D,'Modelling New'!AE:AE),"")</f>
        <v>0.995</v>
      </c>
      <c r="AH125" s="148">
        <f>IFERROR(_xlfn.XLOOKUP($D125,'Modelling New'!$D:$D,'Modelling New'!AF:AF),"")</f>
        <v>0.98550000000000004</v>
      </c>
      <c r="AN125" s="145"/>
      <c r="AO125" s="148"/>
      <c r="AP125" s="148"/>
      <c r="AQ125" s="148"/>
      <c r="AR125" s="143">
        <f>IFERROR(_xlfn.XLOOKUP($D125,'Modelling New'!$D:$D,'Modelling New'!$N:$N),"")</f>
        <v>11.72</v>
      </c>
      <c r="AT125" s="143">
        <f>IFERROR(_xlfn.XLOOKUP(Table13[[#This Row],[Date]],'Raw Data'!$G:$G,'Raw Data'!$AJ:$AJ),"")</f>
        <v>0</v>
      </c>
      <c r="AU125" s="143">
        <f>IFERROR(_xlfn.XLOOKUP(Table13[[#This Row],[Month Year]],'Modelling New'!$D:$D,'Modelling New'!$AO:$AO),"")</f>
        <v>10</v>
      </c>
      <c r="AV125" s="143"/>
    </row>
    <row r="126" spans="1:48">
      <c r="A126" s="142">
        <f t="shared" si="7"/>
        <v>45869</v>
      </c>
      <c r="B126" s="143">
        <f>YEAR(Table13[[#This Row],[Date]])+IF(MONTH(Table13[[#This Row],[Date]])&gt;=4,1,0)</f>
        <v>2026</v>
      </c>
      <c r="C126" s="116">
        <f>YEAR(Table13[[#This Row],[Date]])</f>
        <v>2025</v>
      </c>
      <c r="D126" s="144">
        <f>Table13[[#This Row],[Date]]-DAY(Table13[[#This Row],[Date]])+1</f>
        <v>45839</v>
      </c>
      <c r="E126" s="116">
        <f t="shared" si="8"/>
        <v>31</v>
      </c>
      <c r="F126" s="117">
        <f>IFERROR(_xlfn.XLOOKUP($A126,'Raw Data'!$G:$G,'Raw Data'!$AH:$AH),"")</f>
        <v>12.433333333333332</v>
      </c>
      <c r="G126" s="118">
        <f>IFERROR(_xlfn.XLOOKUP($A126,'Raw Data'!$G:$G,'Raw Data'!$S:$S)/1000,"")</f>
        <v>0</v>
      </c>
      <c r="H126" s="118"/>
      <c r="I126" s="118">
        <f>IFERROR(_xlfn.XLOOKUP($A126,'Raw Data'!$G:$G,'Raw Data'!$AF:$AF)/1000,"")</f>
        <v>5.1360000000000001</v>
      </c>
      <c r="J126" s="118"/>
      <c r="K126" s="118">
        <f>IFERROR(_xlfn.XLOOKUP($A126,'Raw Data'!$G:$G,'Raw Data'!W:W),"")</f>
        <v>23</v>
      </c>
      <c r="L126" s="118">
        <f>IFERROR(_xlfn.XLOOKUP($A126,'Raw Data'!$G:$G,'Raw Data'!X:X),"")</f>
        <v>36</v>
      </c>
      <c r="M126" s="118">
        <f>IFERROR(_xlfn.XLOOKUP($A126,'Raw Data'!$G:$G,'Raw Data'!Y:Y),"")</f>
        <v>3</v>
      </c>
      <c r="N126" s="118">
        <f>IFERROR(_xlfn.XLOOKUP($A126,'Raw Data'!$G:$G,'Raw Data'!Z:Z),"")</f>
        <v>7</v>
      </c>
      <c r="O126" s="145">
        <f>IFERROR(1-SUMIF('Plant BD'!$B:$B,$A126,'Plant BD'!$AM:$AM)/($AA126+SUMIF('Plant BD'!$B:$B,$A126,'Plant BD'!$AM:$AM)),"")</f>
        <v>0.99182010512657448</v>
      </c>
      <c r="P126" s="145"/>
      <c r="Q126" s="146"/>
      <c r="R126" s="145">
        <f>IFERROR(1-SUMIF('Grid BD'!$B:$B,$A126,'Grid BD'!$AE:$AE)/($AA126+SUMIF('Grid BD'!$B:$B,$A126,'Grid BD'!$AE:$AE)),"")</f>
        <v>1</v>
      </c>
      <c r="T126" s="146">
        <f>IFERROR(1-SUMIF(Tracker_BD!$H:$H,$A126,Tracker_BD!AI:AI)/$F126,"")</f>
        <v>1.0118170472404548</v>
      </c>
      <c r="U126" s="147">
        <f t="shared" si="9"/>
        <v>0.75133003466152526</v>
      </c>
      <c r="V126" s="147"/>
      <c r="W126" s="148">
        <f t="shared" si="10"/>
        <v>0.16078462741756638</v>
      </c>
      <c r="X126" s="143">
        <f>IFERROR(_xlfn.XLOOKUP($A126,'Raw Data'!$G:$G,'Raw Data'!$AB:$AB),"")</f>
        <v>45479</v>
      </c>
      <c r="Y126" s="143">
        <f>IFERROR(_xlfn.XLOOKUP($A126,'Raw Data'!$G:$G,'Raw Data'!AC:AC),"")</f>
        <v>45405.300000013085</v>
      </c>
      <c r="Z126" s="143">
        <f>IFERROR(_xlfn.XLOOKUP($A126,'Raw Data'!$G:$G,'Raw Data'!AD:AD),"")</f>
        <v>179.80000000000018</v>
      </c>
      <c r="AA126" s="143">
        <f>IFERROR(_xlfn.XLOOKUP($A126,'Raw Data'!$G:$G,'Raw Data'!AE:AE)*(1+(_xlfn.XLOOKUP(Table13[[#This Row],[Month Year]],JMR!$A:$A,JMR!$J:$J))),"")</f>
        <v>45225.500000013082</v>
      </c>
      <c r="AB126" s="143">
        <f>IFERROR(_xlfn.XLOOKUP($A126,'Raw Data'!$G:$G,'Raw Data'!$H:$H),"")</f>
        <v>11.72</v>
      </c>
      <c r="AC126" s="149">
        <f>IFERROR(_xlfn.XLOOKUP($D126,'Modelling New'!$D:$D,'Modelling New'!$P:$P),"")</f>
        <v>4.6269332580645148</v>
      </c>
      <c r="AD126" s="143">
        <f>IFERROR(_xlfn.XLOOKUP($D126,'Modelling New'!$D:$D,'Modelling New'!$T:$T)*1000,"")</f>
        <v>40702.654142805535</v>
      </c>
      <c r="AE126" s="148">
        <f>IFERROR(_xlfn.XLOOKUP($D126,'Modelling New'!$D:$D,'Modelling New'!$O:$O),"")</f>
        <v>0.75058845994317613</v>
      </c>
      <c r="AF126" s="148">
        <f>IFERROR(_xlfn.XLOOKUP($D126,'Modelling New'!$D:$D,'Modelling New'!$W:$W),"")</f>
        <v>0.14470511285127108</v>
      </c>
      <c r="AG126" s="148">
        <f>IFERROR(_xlfn.XLOOKUP($D126,'Modelling New'!$D:$D,'Modelling New'!AE:AE),"")</f>
        <v>0.995</v>
      </c>
      <c r="AH126" s="148">
        <f>IFERROR(_xlfn.XLOOKUP($D126,'Modelling New'!$D:$D,'Modelling New'!AF:AF),"")</f>
        <v>0.98550000000000004</v>
      </c>
      <c r="AN126" s="145"/>
      <c r="AO126" s="148"/>
      <c r="AP126" s="148"/>
      <c r="AQ126" s="148"/>
      <c r="AR126" s="143">
        <f>IFERROR(_xlfn.XLOOKUP($D126,'Modelling New'!$D:$D,'Modelling New'!$N:$N),"")</f>
        <v>11.72</v>
      </c>
      <c r="AT126" s="143">
        <f>IFERROR(_xlfn.XLOOKUP(Table13[[#This Row],[Date]],'Raw Data'!$G:$G,'Raw Data'!$AJ:$AJ),"")</f>
        <v>0</v>
      </c>
      <c r="AU126" s="143">
        <f>IFERROR(_xlfn.XLOOKUP(Table13[[#This Row],[Month Year]],'Modelling New'!$D:$D,'Modelling New'!$AO:$AO),"")</f>
        <v>10</v>
      </c>
      <c r="AV126" s="143"/>
    </row>
    <row r="127" spans="1:48">
      <c r="A127" s="142">
        <f t="shared" ref="A127:A190" si="11">A126+1</f>
        <v>45870</v>
      </c>
      <c r="B127" s="143">
        <f>YEAR(Table13[[#This Row],[Date]])+IF(MONTH(Table13[[#This Row],[Date]])&gt;=4,1,0)</f>
        <v>2026</v>
      </c>
      <c r="C127" s="116">
        <f>YEAR(Table13[[#This Row],[Date]])</f>
        <v>2025</v>
      </c>
      <c r="D127" s="144">
        <f>Table13[[#This Row],[Date]]-DAY(Table13[[#This Row],[Date]])+1</f>
        <v>45870</v>
      </c>
      <c r="E127" s="116">
        <f t="shared" si="8"/>
        <v>31</v>
      </c>
      <c r="F127" s="117">
        <f>IFERROR(_xlfn.XLOOKUP($A127,'Raw Data'!$G:$G,'Raw Data'!$AH:$AH),"")</f>
        <v>12.633333333333333</v>
      </c>
      <c r="G127" s="118">
        <f>IFERROR(_xlfn.XLOOKUP($A127,'Raw Data'!$G:$G,'Raw Data'!$S:$S)/1000,"")</f>
        <v>0</v>
      </c>
      <c r="H127" s="118"/>
      <c r="I127" s="118">
        <f>IFERROR(_xlfn.XLOOKUP($A127,'Raw Data'!$G:$G,'Raw Data'!$AF:$AF)/1000,"")</f>
        <v>5.7649999999999997</v>
      </c>
      <c r="J127" s="118"/>
      <c r="K127" s="118">
        <f>IFERROR(_xlfn.XLOOKUP($A127,'Raw Data'!$G:$G,'Raw Data'!W:W),"")</f>
        <v>23</v>
      </c>
      <c r="L127" s="118">
        <f>IFERROR(_xlfn.XLOOKUP($A127,'Raw Data'!$G:$G,'Raw Data'!X:X),"")</f>
        <v>36.9</v>
      </c>
      <c r="M127" s="118">
        <f>IFERROR(_xlfn.XLOOKUP($A127,'Raw Data'!$G:$G,'Raw Data'!Y:Y),"")</f>
        <v>3</v>
      </c>
      <c r="N127" s="118">
        <f>IFERROR(_xlfn.XLOOKUP($A127,'Raw Data'!$G:$G,'Raw Data'!Z:Z),"")</f>
        <v>6</v>
      </c>
      <c r="O127" s="145">
        <f>IFERROR(1-SUMIF('Plant BD'!$B:$B,$A127,'Plant BD'!$AM:$AM)/($AA127+SUMIF('Plant BD'!$B:$B,$A127,'Plant BD'!$AM:$AM)),"")</f>
        <v>1</v>
      </c>
      <c r="P127" s="145"/>
      <c r="Q127" s="146"/>
      <c r="R127" s="145">
        <f>IFERROR(1-SUMIF('Grid BD'!$B:$B,$A127,'Grid BD'!$AE:$AE)/($AA127+SUMIF('Grid BD'!$B:$B,$A127,'Grid BD'!$AE:$AE)),"")</f>
        <v>1</v>
      </c>
      <c r="T127" s="146">
        <f>IFERROR(1-SUMIF(Tracker_BD!$H:$H,$A127,Tracker_BD!AI:AI)/$F127,"")</f>
        <v>0.98627665059290937</v>
      </c>
      <c r="U127" s="147">
        <f t="shared" si="9"/>
        <v>0.74448019560171763</v>
      </c>
      <c r="V127" s="147"/>
      <c r="W127" s="148">
        <f t="shared" si="10"/>
        <v>0.17883034698516254</v>
      </c>
      <c r="X127" s="143">
        <f>IFERROR(_xlfn.XLOOKUP($A127,'Raw Data'!$G:$G,'Raw Data'!$AB:$AB),"")</f>
        <v>50488</v>
      </c>
      <c r="Y127" s="143">
        <f>IFERROR(_xlfn.XLOOKUP($A127,'Raw Data'!$G:$G,'Raw Data'!AC:AC),"")</f>
        <v>50489.299999986542</v>
      </c>
      <c r="Z127" s="143">
        <f>IFERROR(_xlfn.XLOOKUP($A127,'Raw Data'!$G:$G,'Raw Data'!AD:AD),"")</f>
        <v>187.90000000001328</v>
      </c>
      <c r="AA127" s="143">
        <f>IFERROR(_xlfn.XLOOKUP($A127,'Raw Data'!$G:$G,'Raw Data'!AE:AE)*(1+(_xlfn.XLOOKUP(Table13[[#This Row],[Month Year]],JMR!$A:$A,JMR!$J:$J))),"")</f>
        <v>50301.399999986526</v>
      </c>
      <c r="AB127" s="143">
        <f>IFERROR(_xlfn.XLOOKUP($A127,'Raw Data'!$G:$G,'Raw Data'!$H:$H),"")</f>
        <v>11.72</v>
      </c>
      <c r="AC127" s="149">
        <f>IFERROR(_xlfn.XLOOKUP($D127,'Modelling New'!$D:$D,'Modelling New'!$P:$P),"")</f>
        <v>4.7713784612903236</v>
      </c>
      <c r="AD127" s="143">
        <f>IFERROR(_xlfn.XLOOKUP($D127,'Modelling New'!$D:$D,'Modelling New'!$T:$T)*1000,"")</f>
        <v>42082.405130697269</v>
      </c>
      <c r="AE127" s="148">
        <f>IFERROR(_xlfn.XLOOKUP($D127,'Modelling New'!$D:$D,'Modelling New'!$O:$O),"")</f>
        <v>0.75253911025234577</v>
      </c>
      <c r="AF127" s="148">
        <f>IFERROR(_xlfn.XLOOKUP($D127,'Modelling New'!$D:$D,'Modelling New'!$W:$W),"")</f>
        <v>0.1496103709140261</v>
      </c>
      <c r="AG127" s="148">
        <f>IFERROR(_xlfn.XLOOKUP($D127,'Modelling New'!$D:$D,'Modelling New'!AE:AE),"")</f>
        <v>0.995</v>
      </c>
      <c r="AH127" s="148">
        <f>IFERROR(_xlfn.XLOOKUP($D127,'Modelling New'!$D:$D,'Modelling New'!AF:AF),"")</f>
        <v>0.98550000000000004</v>
      </c>
      <c r="AN127" s="145"/>
      <c r="AO127" s="148"/>
      <c r="AP127" s="148"/>
      <c r="AQ127" s="148"/>
      <c r="AR127" s="143">
        <f>IFERROR(_xlfn.XLOOKUP($D127,'Modelling New'!$D:$D,'Modelling New'!$N:$N),"")</f>
        <v>11.72</v>
      </c>
      <c r="AT127" s="143">
        <f>IFERROR(_xlfn.XLOOKUP(Table13[[#This Row],[Date]],'Raw Data'!$G:$G,'Raw Data'!$AJ:$AJ),"")</f>
        <v>0</v>
      </c>
      <c r="AU127" s="143">
        <f>IFERROR(_xlfn.XLOOKUP(Table13[[#This Row],[Month Year]],'Modelling New'!$D:$D,'Modelling New'!$AO:$AO),"")</f>
        <v>10</v>
      </c>
      <c r="AV127" s="143"/>
    </row>
    <row r="128" spans="1:48">
      <c r="A128" s="142">
        <f t="shared" si="11"/>
        <v>45871</v>
      </c>
      <c r="B128" s="143">
        <f>YEAR(Table13[[#This Row],[Date]])+IF(MONTH(Table13[[#This Row],[Date]])&gt;=4,1,0)</f>
        <v>2026</v>
      </c>
      <c r="C128" s="116">
        <f>YEAR(Table13[[#This Row],[Date]])</f>
        <v>2025</v>
      </c>
      <c r="D128" s="144">
        <f>Table13[[#This Row],[Date]]-DAY(Table13[[#This Row],[Date]])+1</f>
        <v>45870</v>
      </c>
      <c r="E128" s="116">
        <f t="shared" si="8"/>
        <v>31</v>
      </c>
      <c r="F128" s="117">
        <f>IFERROR(_xlfn.XLOOKUP($A128,'Raw Data'!$G:$G,'Raw Data'!$AH:$AH),"")</f>
        <v>12.5</v>
      </c>
      <c r="G128" s="118">
        <f>IFERROR(_xlfn.XLOOKUP($A128,'Raw Data'!$G:$G,'Raw Data'!$S:$S)/1000,"")</f>
        <v>0</v>
      </c>
      <c r="H128" s="118"/>
      <c r="I128" s="118">
        <f>IFERROR(_xlfn.XLOOKUP($A128,'Raw Data'!$G:$G,'Raw Data'!$AF:$AF)/1000,"")</f>
        <v>6.2149999999999999</v>
      </c>
      <c r="J128" s="118"/>
      <c r="K128" s="118">
        <f>IFERROR(_xlfn.XLOOKUP($A128,'Raw Data'!$G:$G,'Raw Data'!W:W),"")</f>
        <v>23</v>
      </c>
      <c r="L128" s="118">
        <f>IFERROR(_xlfn.XLOOKUP($A128,'Raw Data'!$G:$G,'Raw Data'!X:X),"")</f>
        <v>40</v>
      </c>
      <c r="M128" s="118">
        <f>IFERROR(_xlfn.XLOOKUP($A128,'Raw Data'!$G:$G,'Raw Data'!Y:Y),"")</f>
        <v>2</v>
      </c>
      <c r="N128" s="118">
        <f>IFERROR(_xlfn.XLOOKUP($A128,'Raw Data'!$G:$G,'Raw Data'!Z:Z),"")</f>
        <v>5</v>
      </c>
      <c r="O128" s="145">
        <f>IFERROR(1-SUMIF('Plant BD'!$B:$B,$A128,'Plant BD'!$AM:$AM)/($AA128+SUMIF('Plant BD'!$B:$B,$A128,'Plant BD'!$AM:$AM)),"")</f>
        <v>1</v>
      </c>
      <c r="P128" s="145"/>
      <c r="Q128" s="146"/>
      <c r="R128" s="145">
        <f>IFERROR(1-SUMIF('Grid BD'!$B:$B,$A128,'Grid BD'!$AE:$AE)/($AA128+SUMIF('Grid BD'!$B:$B,$A128,'Grid BD'!$AE:$AE)),"")</f>
        <v>0.96077994226411156</v>
      </c>
      <c r="T128" s="146">
        <f>IFERROR(1-SUMIF(Tracker_BD!$H:$H,$A128,Tracker_BD!AI:AI)/$F128,"")</f>
        <v>0.98611111111111116</v>
      </c>
      <c r="U128" s="147">
        <f t="shared" si="9"/>
        <v>0.70538496810810525</v>
      </c>
      <c r="V128" s="147"/>
      <c r="W128" s="148">
        <f t="shared" si="10"/>
        <v>0.18266531569966138</v>
      </c>
      <c r="X128" s="143">
        <f>IFERROR(_xlfn.XLOOKUP($A128,'Raw Data'!$G:$G,'Raw Data'!$AB:$AB),"")</f>
        <v>51574</v>
      </c>
      <c r="Y128" s="143">
        <f>IFERROR(_xlfn.XLOOKUP($A128,'Raw Data'!$G:$G,'Raw Data'!AC:AC),"")</f>
        <v>51552.100000000792</v>
      </c>
      <c r="Z128" s="143">
        <f>IFERROR(_xlfn.XLOOKUP($A128,'Raw Data'!$G:$G,'Raw Data'!AD:AD),"")</f>
        <v>172.00000000002547</v>
      </c>
      <c r="AA128" s="143">
        <f>IFERROR(_xlfn.XLOOKUP($A128,'Raw Data'!$G:$G,'Raw Data'!AE:AE)*(1+(_xlfn.XLOOKUP(Table13[[#This Row],[Month Year]],JMR!$A:$A,JMR!$J:$J))),"")</f>
        <v>51380.100000000763</v>
      </c>
      <c r="AB128" s="143">
        <f>IFERROR(_xlfn.XLOOKUP($A128,'Raw Data'!$G:$G,'Raw Data'!$H:$H),"")</f>
        <v>11.72</v>
      </c>
      <c r="AC128" s="149">
        <f>IFERROR(_xlfn.XLOOKUP($D128,'Modelling New'!$D:$D,'Modelling New'!$P:$P),"")</f>
        <v>4.7713784612903236</v>
      </c>
      <c r="AD128" s="143">
        <f>IFERROR(_xlfn.XLOOKUP($D128,'Modelling New'!$D:$D,'Modelling New'!$T:$T)*1000,"")</f>
        <v>42082.405130697269</v>
      </c>
      <c r="AE128" s="148">
        <f>IFERROR(_xlfn.XLOOKUP($D128,'Modelling New'!$D:$D,'Modelling New'!$O:$O),"")</f>
        <v>0.75253911025234577</v>
      </c>
      <c r="AF128" s="148">
        <f>IFERROR(_xlfn.XLOOKUP($D128,'Modelling New'!$D:$D,'Modelling New'!$W:$W),"")</f>
        <v>0.1496103709140261</v>
      </c>
      <c r="AG128" s="148">
        <f>IFERROR(_xlfn.XLOOKUP($D128,'Modelling New'!$D:$D,'Modelling New'!AE:AE),"")</f>
        <v>0.995</v>
      </c>
      <c r="AH128" s="148">
        <f>IFERROR(_xlfn.XLOOKUP($D128,'Modelling New'!$D:$D,'Modelling New'!AF:AF),"")</f>
        <v>0.98550000000000004</v>
      </c>
      <c r="AN128" s="145"/>
      <c r="AO128" s="148"/>
      <c r="AP128" s="148"/>
      <c r="AQ128" s="148"/>
      <c r="AR128" s="143">
        <f>IFERROR(_xlfn.XLOOKUP($D128,'Modelling New'!$D:$D,'Modelling New'!$N:$N),"")</f>
        <v>11.72</v>
      </c>
      <c r="AT128" s="143">
        <f>IFERROR(_xlfn.XLOOKUP(Table13[[#This Row],[Date]],'Raw Data'!$G:$G,'Raw Data'!$AJ:$AJ),"")</f>
        <v>0</v>
      </c>
      <c r="AU128" s="143">
        <f>IFERROR(_xlfn.XLOOKUP(Table13[[#This Row],[Month Year]],'Modelling New'!$D:$D,'Modelling New'!$AO:$AO),"")</f>
        <v>10</v>
      </c>
      <c r="AV128" s="143"/>
    </row>
    <row r="129" spans="1:48">
      <c r="A129" s="142">
        <f t="shared" si="11"/>
        <v>45872</v>
      </c>
      <c r="B129" s="143">
        <f>YEAR(Table13[[#This Row],[Date]])+IF(MONTH(Table13[[#This Row],[Date]])&gt;=4,1,0)</f>
        <v>2026</v>
      </c>
      <c r="C129" s="116">
        <f>YEAR(Table13[[#This Row],[Date]])</f>
        <v>2025</v>
      </c>
      <c r="D129" s="144">
        <f>Table13[[#This Row],[Date]]-DAY(Table13[[#This Row],[Date]])+1</f>
        <v>45870</v>
      </c>
      <c r="E129" s="116">
        <f t="shared" si="8"/>
        <v>31</v>
      </c>
      <c r="F129" s="117">
        <f>IFERROR(_xlfn.XLOOKUP($A129,'Raw Data'!$G:$G,'Raw Data'!$AH:$AH),"")</f>
        <v>12.5</v>
      </c>
      <c r="G129" s="118">
        <f>IFERROR(_xlfn.XLOOKUP($A129,'Raw Data'!$G:$G,'Raw Data'!$S:$S)/1000,"")</f>
        <v>0</v>
      </c>
      <c r="H129" s="118"/>
      <c r="I129" s="118">
        <f>IFERROR(_xlfn.XLOOKUP($A129,'Raw Data'!$G:$G,'Raw Data'!$AF:$AF)/1000,"")</f>
        <v>4.9020000000000001</v>
      </c>
      <c r="J129" s="118"/>
      <c r="K129" s="118">
        <f>IFERROR(_xlfn.XLOOKUP($A129,'Raw Data'!$G:$G,'Raw Data'!W:W),"")</f>
        <v>23</v>
      </c>
      <c r="L129" s="118">
        <f>IFERROR(_xlfn.XLOOKUP($A129,'Raw Data'!$G:$G,'Raw Data'!X:X),"")</f>
        <v>37</v>
      </c>
      <c r="M129" s="118">
        <f>IFERROR(_xlfn.XLOOKUP($A129,'Raw Data'!$G:$G,'Raw Data'!Y:Y),"")</f>
        <v>2</v>
      </c>
      <c r="N129" s="118">
        <f>IFERROR(_xlfn.XLOOKUP($A129,'Raw Data'!$G:$G,'Raw Data'!Z:Z),"")</f>
        <v>4</v>
      </c>
      <c r="O129" s="145">
        <f>IFERROR(1-SUMIF('Plant BD'!$B:$B,$A129,'Plant BD'!$AM:$AM)/($AA129+SUMIF('Plant BD'!$B:$B,$A129,'Plant BD'!$AM:$AM)),"")</f>
        <v>1</v>
      </c>
      <c r="P129" s="145"/>
      <c r="Q129" s="146"/>
      <c r="R129" s="145">
        <f>IFERROR(1-SUMIF('Grid BD'!$B:$B,$A129,'Grid BD'!$AE:$AE)/($AA129+SUMIF('Grid BD'!$B:$B,$A129,'Grid BD'!$AE:$AE)),"")</f>
        <v>1</v>
      </c>
      <c r="T129" s="146">
        <f>IFERROR(1-SUMIF(Tracker_BD!$H:$H,$A129,Tracker_BD!AI:AI)/$F129,"")</f>
        <v>0.98611111111111116</v>
      </c>
      <c r="U129" s="147">
        <f t="shared" si="9"/>
        <v>0.73655246935489072</v>
      </c>
      <c r="V129" s="147"/>
      <c r="W129" s="148">
        <f t="shared" si="10"/>
        <v>0.15044084186573642</v>
      </c>
      <c r="X129" s="143">
        <f>IFERROR(_xlfn.XLOOKUP($A129,'Raw Data'!$G:$G,'Raw Data'!$AB:$AB),"")</f>
        <v>42452</v>
      </c>
      <c r="Y129" s="143">
        <f>IFERROR(_xlfn.XLOOKUP($A129,'Raw Data'!$G:$G,'Raw Data'!AC:AC),"")</f>
        <v>42486.399999994319</v>
      </c>
      <c r="Z129" s="143">
        <f>IFERROR(_xlfn.XLOOKUP($A129,'Raw Data'!$G:$G,'Raw Data'!AD:AD),"")</f>
        <v>170.39999999997235</v>
      </c>
      <c r="AA129" s="143">
        <f>IFERROR(_xlfn.XLOOKUP($A129,'Raw Data'!$G:$G,'Raw Data'!AE:AE)*(1+(_xlfn.XLOOKUP(Table13[[#This Row],[Month Year]],JMR!$A:$A,JMR!$J:$J))),"")</f>
        <v>42315.999999994347</v>
      </c>
      <c r="AB129" s="143">
        <f>IFERROR(_xlfn.XLOOKUP($A129,'Raw Data'!$G:$G,'Raw Data'!$H:$H),"")</f>
        <v>11.72</v>
      </c>
      <c r="AC129" s="149">
        <f>IFERROR(_xlfn.XLOOKUP($D129,'Modelling New'!$D:$D,'Modelling New'!$P:$P),"")</f>
        <v>4.7713784612903236</v>
      </c>
      <c r="AD129" s="143">
        <f>IFERROR(_xlfn.XLOOKUP($D129,'Modelling New'!$D:$D,'Modelling New'!$T:$T)*1000,"")</f>
        <v>42082.405130697269</v>
      </c>
      <c r="AE129" s="148">
        <f>IFERROR(_xlfn.XLOOKUP($D129,'Modelling New'!$D:$D,'Modelling New'!$O:$O),"")</f>
        <v>0.75253911025234577</v>
      </c>
      <c r="AF129" s="148">
        <f>IFERROR(_xlfn.XLOOKUP($D129,'Modelling New'!$D:$D,'Modelling New'!$W:$W),"")</f>
        <v>0.1496103709140261</v>
      </c>
      <c r="AG129" s="148">
        <f>IFERROR(_xlfn.XLOOKUP($D129,'Modelling New'!$D:$D,'Modelling New'!AE:AE),"")</f>
        <v>0.995</v>
      </c>
      <c r="AH129" s="148">
        <f>IFERROR(_xlfn.XLOOKUP($D129,'Modelling New'!$D:$D,'Modelling New'!AF:AF),"")</f>
        <v>0.98550000000000004</v>
      </c>
      <c r="AN129" s="145"/>
      <c r="AO129" s="148"/>
      <c r="AP129" s="148"/>
      <c r="AQ129" s="148"/>
      <c r="AR129" s="143">
        <f>IFERROR(_xlfn.XLOOKUP($D129,'Modelling New'!$D:$D,'Modelling New'!$N:$N),"")</f>
        <v>11.72</v>
      </c>
      <c r="AT129" s="143">
        <f>IFERROR(_xlfn.XLOOKUP(Table13[[#This Row],[Date]],'Raw Data'!$G:$G,'Raw Data'!$AJ:$AJ),"")</f>
        <v>0</v>
      </c>
      <c r="AU129" s="143">
        <f>IFERROR(_xlfn.XLOOKUP(Table13[[#This Row],[Month Year]],'Modelling New'!$D:$D,'Modelling New'!$AO:$AO),"")</f>
        <v>10</v>
      </c>
      <c r="AV129" s="143"/>
    </row>
    <row r="130" spans="1:48">
      <c r="A130" s="142">
        <f t="shared" si="11"/>
        <v>45873</v>
      </c>
      <c r="B130" s="143">
        <f>YEAR(Table13[[#This Row],[Date]])+IF(MONTH(Table13[[#This Row],[Date]])&gt;=4,1,0)</f>
        <v>2026</v>
      </c>
      <c r="C130" s="116">
        <f>YEAR(Table13[[#This Row],[Date]])</f>
        <v>2025</v>
      </c>
      <c r="D130" s="144">
        <f>Table13[[#This Row],[Date]]-DAY(Table13[[#This Row],[Date]])+1</f>
        <v>45870</v>
      </c>
      <c r="E130" s="116">
        <f t="shared" si="8"/>
        <v>31</v>
      </c>
      <c r="F130" s="117" t="str">
        <f>IFERROR(_xlfn.XLOOKUP($A130,'Raw Data'!$G:$G,'Raw Data'!$AH:$AH),"")</f>
        <v/>
      </c>
      <c r="G130" s="118" t="str">
        <f>IFERROR(_xlfn.XLOOKUP($A130,'Raw Data'!$G:$G,'Raw Data'!$S:$S)/1000,"")</f>
        <v/>
      </c>
      <c r="H130" s="118"/>
      <c r="I130" s="118" t="str">
        <f>IFERROR(_xlfn.XLOOKUP($A130,'Raw Data'!$G:$G,'Raw Data'!$AF:$AF)/1000,"")</f>
        <v/>
      </c>
      <c r="J130" s="118"/>
      <c r="K130" s="118" t="str">
        <f>IFERROR(_xlfn.XLOOKUP($A130,'Raw Data'!$G:$G,'Raw Data'!W:W),"")</f>
        <v/>
      </c>
      <c r="L130" s="118" t="str">
        <f>IFERROR(_xlfn.XLOOKUP($A130,'Raw Data'!$G:$G,'Raw Data'!X:X),"")</f>
        <v/>
      </c>
      <c r="M130" s="118" t="str">
        <f>IFERROR(_xlfn.XLOOKUP($A130,'Raw Data'!$G:$G,'Raw Data'!Y:Y),"")</f>
        <v/>
      </c>
      <c r="N130" s="118" t="str">
        <f>IFERROR(_xlfn.XLOOKUP($A130,'Raw Data'!$G:$G,'Raw Data'!Z:Z),"")</f>
        <v/>
      </c>
      <c r="O130" s="145" t="str">
        <f>IFERROR(1-SUMIF('Plant BD'!$B:$B,$A130,'Plant BD'!$AM:$AM)/($AA130+SUMIF('Plant BD'!$B:$B,$A130,'Plant BD'!$AM:$AM)),"")</f>
        <v/>
      </c>
      <c r="P130" s="145"/>
      <c r="Q130" s="146"/>
      <c r="R130" s="145" t="str">
        <f>IFERROR(1-SUMIF('Grid BD'!$B:$B,$A130,'Grid BD'!$AE:$AE)/($AA130+SUMIF('Grid BD'!$B:$B,$A130,'Grid BD'!$AE:$AE)),"")</f>
        <v/>
      </c>
      <c r="T130" s="146" t="str">
        <f>IFERROR(1-SUMIF(Tracker_BD!$H:$H,$A130,Tracker_BD!AI:AI)/$F130,"")</f>
        <v/>
      </c>
      <c r="U130" s="147" t="str">
        <f t="shared" si="9"/>
        <v/>
      </c>
      <c r="V130" s="147"/>
      <c r="W130" s="148" t="str">
        <f t="shared" si="10"/>
        <v/>
      </c>
      <c r="X130" s="143" t="str">
        <f>IFERROR(_xlfn.XLOOKUP($A130,'Raw Data'!$G:$G,'Raw Data'!$AB:$AB),"")</f>
        <v/>
      </c>
      <c r="Y130" s="143" t="str">
        <f>IFERROR(_xlfn.XLOOKUP($A130,'Raw Data'!$G:$G,'Raw Data'!AC:AC),"")</f>
        <v/>
      </c>
      <c r="Z130" s="143" t="str">
        <f>IFERROR(_xlfn.XLOOKUP($A130,'Raw Data'!$G:$G,'Raw Data'!AD:AD),"")</f>
        <v/>
      </c>
      <c r="AA130" s="143" t="str">
        <f>IFERROR(_xlfn.XLOOKUP($A130,'Raw Data'!$G:$G,'Raw Data'!AE:AE)*(1+(_xlfn.XLOOKUP(Table13[[#This Row],[Month Year]],JMR!$A:$A,JMR!$J:$J))),"")</f>
        <v/>
      </c>
      <c r="AB130" s="143" t="str">
        <f>IFERROR(_xlfn.XLOOKUP($A130,'Raw Data'!$G:$G,'Raw Data'!$H:$H),"")</f>
        <v/>
      </c>
      <c r="AC130" s="149">
        <f>IFERROR(_xlfn.XLOOKUP($D130,'Modelling New'!$D:$D,'Modelling New'!$P:$P),"")</f>
        <v>4.7713784612903236</v>
      </c>
      <c r="AD130" s="143">
        <f>IFERROR(_xlfn.XLOOKUP($D130,'Modelling New'!$D:$D,'Modelling New'!$T:$T)*1000,"")</f>
        <v>42082.405130697269</v>
      </c>
      <c r="AE130" s="148">
        <f>IFERROR(_xlfn.XLOOKUP($D130,'Modelling New'!$D:$D,'Modelling New'!$O:$O),"")</f>
        <v>0.75253911025234577</v>
      </c>
      <c r="AF130" s="148">
        <f>IFERROR(_xlfn.XLOOKUP($D130,'Modelling New'!$D:$D,'Modelling New'!$W:$W),"")</f>
        <v>0.1496103709140261</v>
      </c>
      <c r="AG130" s="148">
        <f>IFERROR(_xlfn.XLOOKUP($D130,'Modelling New'!$D:$D,'Modelling New'!AE:AE),"")</f>
        <v>0.995</v>
      </c>
      <c r="AH130" s="148">
        <f>IFERROR(_xlfn.XLOOKUP($D130,'Modelling New'!$D:$D,'Modelling New'!AF:AF),"")</f>
        <v>0.98550000000000004</v>
      </c>
      <c r="AN130" s="145"/>
      <c r="AO130" s="148"/>
      <c r="AP130" s="148"/>
      <c r="AQ130" s="148"/>
      <c r="AR130" s="143">
        <f>IFERROR(_xlfn.XLOOKUP($D130,'Modelling New'!$D:$D,'Modelling New'!$N:$N),"")</f>
        <v>11.72</v>
      </c>
      <c r="AT130" s="143" t="str">
        <f>IFERROR(_xlfn.XLOOKUP(Table13[[#This Row],[Date]],'Raw Data'!$G:$G,'Raw Data'!$AJ:$AJ),"")</f>
        <v/>
      </c>
      <c r="AU130" s="143">
        <f>IFERROR(_xlfn.XLOOKUP(Table13[[#This Row],[Month Year]],'Modelling New'!$D:$D,'Modelling New'!$AO:$AO),"")</f>
        <v>10</v>
      </c>
      <c r="AV130" s="143"/>
    </row>
    <row r="131" spans="1:48">
      <c r="A131" s="142">
        <f t="shared" si="11"/>
        <v>45874</v>
      </c>
      <c r="B131" s="143">
        <f>YEAR(Table13[[#This Row],[Date]])+IF(MONTH(Table13[[#This Row],[Date]])&gt;=4,1,0)</f>
        <v>2026</v>
      </c>
      <c r="C131" s="116">
        <f>YEAR(Table13[[#This Row],[Date]])</f>
        <v>2025</v>
      </c>
      <c r="D131" s="144">
        <f>Table13[[#This Row],[Date]]-DAY(Table13[[#This Row],[Date]])+1</f>
        <v>45870</v>
      </c>
      <c r="E131" s="116">
        <f t="shared" si="8"/>
        <v>31</v>
      </c>
      <c r="F131" s="117" t="str">
        <f>IFERROR(_xlfn.XLOOKUP($A131,'Raw Data'!$G:$G,'Raw Data'!$AH:$AH),"")</f>
        <v/>
      </c>
      <c r="G131" s="118" t="str">
        <f>IFERROR(_xlfn.XLOOKUP($A131,'Raw Data'!$G:$G,'Raw Data'!$S:$S)/1000,"")</f>
        <v/>
      </c>
      <c r="H131" s="118"/>
      <c r="I131" s="118" t="str">
        <f>IFERROR(_xlfn.XLOOKUP($A131,'Raw Data'!$G:$G,'Raw Data'!$AF:$AF)/1000,"")</f>
        <v/>
      </c>
      <c r="J131" s="118"/>
      <c r="K131" s="118" t="str">
        <f>IFERROR(_xlfn.XLOOKUP($A131,'Raw Data'!$G:$G,'Raw Data'!W:W),"")</f>
        <v/>
      </c>
      <c r="L131" s="118" t="str">
        <f>IFERROR(_xlfn.XLOOKUP($A131,'Raw Data'!$G:$G,'Raw Data'!X:X),"")</f>
        <v/>
      </c>
      <c r="M131" s="118" t="str">
        <f>IFERROR(_xlfn.XLOOKUP($A131,'Raw Data'!$G:$G,'Raw Data'!Y:Y),"")</f>
        <v/>
      </c>
      <c r="N131" s="118" t="str">
        <f>IFERROR(_xlfn.XLOOKUP($A131,'Raw Data'!$G:$G,'Raw Data'!Z:Z),"")</f>
        <v/>
      </c>
      <c r="O131" s="145" t="str">
        <f>IFERROR(1-SUMIF('Plant BD'!$B:$B,$A131,'Plant BD'!$AM:$AM)/($AA131+SUMIF('Plant BD'!$B:$B,$A131,'Plant BD'!$AM:$AM)),"")</f>
        <v/>
      </c>
      <c r="P131" s="145"/>
      <c r="Q131" s="146"/>
      <c r="R131" s="145" t="str">
        <f>IFERROR(1-SUMIF('Grid BD'!$B:$B,$A131,'Grid BD'!$AE:$AE)/($AA131+SUMIF('Grid BD'!$B:$B,$A131,'Grid BD'!$AE:$AE)),"")</f>
        <v/>
      </c>
      <c r="T131" s="146" t="str">
        <f>IFERROR(1-SUMIF(Tracker_BD!$H:$H,$A131,Tracker_BD!AI:AI)/$F131,"")</f>
        <v/>
      </c>
      <c r="U131" s="147" t="str">
        <f t="shared" si="9"/>
        <v/>
      </c>
      <c r="V131" s="147"/>
      <c r="W131" s="148" t="str">
        <f t="shared" si="10"/>
        <v/>
      </c>
      <c r="X131" s="143" t="str">
        <f>IFERROR(_xlfn.XLOOKUP($A131,'Raw Data'!$G:$G,'Raw Data'!$AB:$AB),"")</f>
        <v/>
      </c>
      <c r="Y131" s="143" t="str">
        <f>IFERROR(_xlfn.XLOOKUP($A131,'Raw Data'!$G:$G,'Raw Data'!AC:AC),"")</f>
        <v/>
      </c>
      <c r="Z131" s="143" t="str">
        <f>IFERROR(_xlfn.XLOOKUP($A131,'Raw Data'!$G:$G,'Raw Data'!AD:AD),"")</f>
        <v/>
      </c>
      <c r="AA131" s="143" t="str">
        <f>IFERROR(_xlfn.XLOOKUP($A131,'Raw Data'!$G:$G,'Raw Data'!AE:AE)*(1+(_xlfn.XLOOKUP(Table13[[#This Row],[Month Year]],JMR!$A:$A,JMR!$J:$J))),"")</f>
        <v/>
      </c>
      <c r="AB131" s="143" t="str">
        <f>IFERROR(_xlfn.XLOOKUP($A131,'Raw Data'!$G:$G,'Raw Data'!$H:$H),"")</f>
        <v/>
      </c>
      <c r="AC131" s="149">
        <f>IFERROR(_xlfn.XLOOKUP($D131,'Modelling New'!$D:$D,'Modelling New'!$P:$P),"")</f>
        <v>4.7713784612903236</v>
      </c>
      <c r="AD131" s="143">
        <f>IFERROR(_xlfn.XLOOKUP($D131,'Modelling New'!$D:$D,'Modelling New'!$T:$T)*1000,"")</f>
        <v>42082.405130697269</v>
      </c>
      <c r="AE131" s="148">
        <f>IFERROR(_xlfn.XLOOKUP($D131,'Modelling New'!$D:$D,'Modelling New'!$O:$O),"")</f>
        <v>0.75253911025234577</v>
      </c>
      <c r="AF131" s="148">
        <f>IFERROR(_xlfn.XLOOKUP($D131,'Modelling New'!$D:$D,'Modelling New'!$W:$W),"")</f>
        <v>0.1496103709140261</v>
      </c>
      <c r="AG131" s="148">
        <f>IFERROR(_xlfn.XLOOKUP($D131,'Modelling New'!$D:$D,'Modelling New'!AE:AE),"")</f>
        <v>0.995</v>
      </c>
      <c r="AH131" s="148">
        <f>IFERROR(_xlfn.XLOOKUP($D131,'Modelling New'!$D:$D,'Modelling New'!AF:AF),"")</f>
        <v>0.98550000000000004</v>
      </c>
      <c r="AN131" s="145"/>
      <c r="AO131" s="148"/>
      <c r="AP131" s="148"/>
      <c r="AQ131" s="148"/>
      <c r="AR131" s="143">
        <f>IFERROR(_xlfn.XLOOKUP($D131,'Modelling New'!$D:$D,'Modelling New'!$N:$N),"")</f>
        <v>11.72</v>
      </c>
      <c r="AT131" s="143" t="str">
        <f>IFERROR(_xlfn.XLOOKUP(Table13[[#This Row],[Date]],'Raw Data'!$G:$G,'Raw Data'!$AJ:$AJ),"")</f>
        <v/>
      </c>
      <c r="AU131" s="143">
        <f>IFERROR(_xlfn.XLOOKUP(Table13[[#This Row],[Month Year]],'Modelling New'!$D:$D,'Modelling New'!$AO:$AO),"")</f>
        <v>10</v>
      </c>
      <c r="AV131" s="143"/>
    </row>
    <row r="132" spans="1:48">
      <c r="A132" s="142">
        <f t="shared" si="11"/>
        <v>45875</v>
      </c>
      <c r="B132" s="143">
        <f>YEAR(Table13[[#This Row],[Date]])+IF(MONTH(Table13[[#This Row],[Date]])&gt;=4,1,0)</f>
        <v>2026</v>
      </c>
      <c r="C132" s="116">
        <f>YEAR(Table13[[#This Row],[Date]])</f>
        <v>2025</v>
      </c>
      <c r="D132" s="144">
        <f>Table13[[#This Row],[Date]]-DAY(Table13[[#This Row],[Date]])+1</f>
        <v>45870</v>
      </c>
      <c r="E132" s="116">
        <f t="shared" si="8"/>
        <v>31</v>
      </c>
      <c r="F132" s="117" t="str">
        <f>IFERROR(_xlfn.XLOOKUP($A132,'Raw Data'!$G:$G,'Raw Data'!$AH:$AH),"")</f>
        <v/>
      </c>
      <c r="G132" s="118" t="str">
        <f>IFERROR(_xlfn.XLOOKUP($A132,'Raw Data'!$G:$G,'Raw Data'!$S:$S)/1000,"")</f>
        <v/>
      </c>
      <c r="H132" s="118"/>
      <c r="I132" s="118" t="str">
        <f>IFERROR(_xlfn.XLOOKUP($A132,'Raw Data'!$G:$G,'Raw Data'!$AF:$AF)/1000,"")</f>
        <v/>
      </c>
      <c r="J132" s="118"/>
      <c r="K132" s="118" t="str">
        <f>IFERROR(_xlfn.XLOOKUP($A132,'Raw Data'!$G:$G,'Raw Data'!W:W),"")</f>
        <v/>
      </c>
      <c r="L132" s="118" t="str">
        <f>IFERROR(_xlfn.XLOOKUP($A132,'Raw Data'!$G:$G,'Raw Data'!X:X),"")</f>
        <v/>
      </c>
      <c r="M132" s="118" t="str">
        <f>IFERROR(_xlfn.XLOOKUP($A132,'Raw Data'!$G:$G,'Raw Data'!Y:Y),"")</f>
        <v/>
      </c>
      <c r="N132" s="118" t="str">
        <f>IFERROR(_xlfn.XLOOKUP($A132,'Raw Data'!$G:$G,'Raw Data'!Z:Z),"")</f>
        <v/>
      </c>
      <c r="O132" s="145" t="str">
        <f>IFERROR(1-SUMIF('Plant BD'!$B:$B,$A132,'Plant BD'!$AM:$AM)/($AA132+SUMIF('Plant BD'!$B:$B,$A132,'Plant BD'!$AM:$AM)),"")</f>
        <v/>
      </c>
      <c r="P132" s="145"/>
      <c r="Q132" s="146"/>
      <c r="R132" s="145" t="str">
        <f>IFERROR(1-SUMIF('Grid BD'!$B:$B,$A132,'Grid BD'!$AE:$AE)/($AA132+SUMIF('Grid BD'!$B:$B,$A132,'Grid BD'!$AE:$AE)),"")</f>
        <v/>
      </c>
      <c r="T132" s="146" t="str">
        <f>IFERROR(1-SUMIF(Tracker_BD!$H:$H,$A132,Tracker_BD!AI:AI)/$F132,"")</f>
        <v/>
      </c>
      <c r="U132" s="147" t="str">
        <f t="shared" si="9"/>
        <v/>
      </c>
      <c r="V132" s="147"/>
      <c r="W132" s="148" t="str">
        <f t="shared" si="10"/>
        <v/>
      </c>
      <c r="X132" s="143" t="str">
        <f>IFERROR(_xlfn.XLOOKUP($A132,'Raw Data'!$G:$G,'Raw Data'!$AB:$AB),"")</f>
        <v/>
      </c>
      <c r="Y132" s="143" t="str">
        <f>IFERROR(_xlfn.XLOOKUP($A132,'Raw Data'!$G:$G,'Raw Data'!AC:AC),"")</f>
        <v/>
      </c>
      <c r="Z132" s="143" t="str">
        <f>IFERROR(_xlfn.XLOOKUP($A132,'Raw Data'!$G:$G,'Raw Data'!AD:AD),"")</f>
        <v/>
      </c>
      <c r="AA132" s="143" t="str">
        <f>IFERROR(_xlfn.XLOOKUP($A132,'Raw Data'!$G:$G,'Raw Data'!AE:AE)*(1+(_xlfn.XLOOKUP(Table13[[#This Row],[Month Year]],JMR!$A:$A,JMR!$J:$J))),"")</f>
        <v/>
      </c>
      <c r="AB132" s="143" t="str">
        <f>IFERROR(_xlfn.XLOOKUP($A132,'Raw Data'!$G:$G,'Raw Data'!$H:$H),"")</f>
        <v/>
      </c>
      <c r="AC132" s="149">
        <f>IFERROR(_xlfn.XLOOKUP($D132,'Modelling New'!$D:$D,'Modelling New'!$P:$P),"")</f>
        <v>4.7713784612903236</v>
      </c>
      <c r="AD132" s="143">
        <f>IFERROR(_xlfn.XLOOKUP($D132,'Modelling New'!$D:$D,'Modelling New'!$T:$T)*1000,"")</f>
        <v>42082.405130697269</v>
      </c>
      <c r="AE132" s="148">
        <f>IFERROR(_xlfn.XLOOKUP($D132,'Modelling New'!$D:$D,'Modelling New'!$O:$O),"")</f>
        <v>0.75253911025234577</v>
      </c>
      <c r="AF132" s="148">
        <f>IFERROR(_xlfn.XLOOKUP($D132,'Modelling New'!$D:$D,'Modelling New'!$W:$W),"")</f>
        <v>0.1496103709140261</v>
      </c>
      <c r="AG132" s="148">
        <f>IFERROR(_xlfn.XLOOKUP($D132,'Modelling New'!$D:$D,'Modelling New'!AE:AE),"")</f>
        <v>0.995</v>
      </c>
      <c r="AH132" s="148">
        <f>IFERROR(_xlfn.XLOOKUP($D132,'Modelling New'!$D:$D,'Modelling New'!AF:AF),"")</f>
        <v>0.98550000000000004</v>
      </c>
      <c r="AN132" s="145"/>
      <c r="AO132" s="148"/>
      <c r="AP132" s="148"/>
      <c r="AQ132" s="148"/>
      <c r="AR132" s="143">
        <f>IFERROR(_xlfn.XLOOKUP($D132,'Modelling New'!$D:$D,'Modelling New'!$N:$N),"")</f>
        <v>11.72</v>
      </c>
      <c r="AT132" s="143" t="str">
        <f>IFERROR(_xlfn.XLOOKUP(Table13[[#This Row],[Date]],'Raw Data'!$G:$G,'Raw Data'!$AJ:$AJ),"")</f>
        <v/>
      </c>
      <c r="AU132" s="143">
        <f>IFERROR(_xlfn.XLOOKUP(Table13[[#This Row],[Month Year]],'Modelling New'!$D:$D,'Modelling New'!$AO:$AO),"")</f>
        <v>10</v>
      </c>
      <c r="AV132" s="143"/>
    </row>
    <row r="133" spans="1:48">
      <c r="A133" s="142">
        <f t="shared" si="11"/>
        <v>45876</v>
      </c>
      <c r="B133" s="143">
        <f>YEAR(Table13[[#This Row],[Date]])+IF(MONTH(Table13[[#This Row],[Date]])&gt;=4,1,0)</f>
        <v>2026</v>
      </c>
      <c r="C133" s="116">
        <f>YEAR(Table13[[#This Row],[Date]])</f>
        <v>2025</v>
      </c>
      <c r="D133" s="144">
        <f>Table13[[#This Row],[Date]]-DAY(Table13[[#This Row],[Date]])+1</f>
        <v>45870</v>
      </c>
      <c r="E133" s="116">
        <f t="shared" si="8"/>
        <v>31</v>
      </c>
      <c r="F133" s="117" t="str">
        <f>IFERROR(_xlfn.XLOOKUP($A133,'Raw Data'!$G:$G,'Raw Data'!$AH:$AH),"")</f>
        <v/>
      </c>
      <c r="G133" s="118" t="str">
        <f>IFERROR(_xlfn.XLOOKUP($A133,'Raw Data'!$G:$G,'Raw Data'!$S:$S)/1000,"")</f>
        <v/>
      </c>
      <c r="H133" s="118"/>
      <c r="I133" s="118" t="str">
        <f>IFERROR(_xlfn.XLOOKUP($A133,'Raw Data'!$G:$G,'Raw Data'!$AF:$AF)/1000,"")</f>
        <v/>
      </c>
      <c r="J133" s="118"/>
      <c r="K133" s="118" t="str">
        <f>IFERROR(_xlfn.XLOOKUP($A133,'Raw Data'!$G:$G,'Raw Data'!W:W),"")</f>
        <v/>
      </c>
      <c r="L133" s="118" t="str">
        <f>IFERROR(_xlfn.XLOOKUP($A133,'Raw Data'!$G:$G,'Raw Data'!X:X),"")</f>
        <v/>
      </c>
      <c r="M133" s="118" t="str">
        <f>IFERROR(_xlfn.XLOOKUP($A133,'Raw Data'!$G:$G,'Raw Data'!Y:Y),"")</f>
        <v/>
      </c>
      <c r="N133" s="118" t="str">
        <f>IFERROR(_xlfn.XLOOKUP($A133,'Raw Data'!$G:$G,'Raw Data'!Z:Z),"")</f>
        <v/>
      </c>
      <c r="O133" s="145" t="str">
        <f>IFERROR(1-SUMIF('Plant BD'!$B:$B,$A133,'Plant BD'!$AM:$AM)/($AA133+SUMIF('Plant BD'!$B:$B,$A133,'Plant BD'!$AM:$AM)),"")</f>
        <v/>
      </c>
      <c r="P133" s="145"/>
      <c r="Q133" s="146"/>
      <c r="R133" s="145" t="str">
        <f>IFERROR(1-SUMIF('Grid BD'!$B:$B,$A133,'Grid BD'!$AE:$AE)/($AA133+SUMIF('Grid BD'!$B:$B,$A133,'Grid BD'!$AE:$AE)),"")</f>
        <v/>
      </c>
      <c r="T133" s="146" t="str">
        <f>IFERROR(1-SUMIF(Tracker_BD!$H:$H,$A133,Tracker_BD!AI:AI)/$F133,"")</f>
        <v/>
      </c>
      <c r="U133" s="147" t="str">
        <f t="shared" si="9"/>
        <v/>
      </c>
      <c r="V133" s="147"/>
      <c r="W133" s="148" t="str">
        <f t="shared" si="10"/>
        <v/>
      </c>
      <c r="X133" s="143" t="str">
        <f>IFERROR(_xlfn.XLOOKUP($A133,'Raw Data'!$G:$G,'Raw Data'!$AB:$AB),"")</f>
        <v/>
      </c>
      <c r="Y133" s="143" t="str">
        <f>IFERROR(_xlfn.XLOOKUP($A133,'Raw Data'!$G:$G,'Raw Data'!AC:AC),"")</f>
        <v/>
      </c>
      <c r="Z133" s="143" t="str">
        <f>IFERROR(_xlfn.XLOOKUP($A133,'Raw Data'!$G:$G,'Raw Data'!AD:AD),"")</f>
        <v/>
      </c>
      <c r="AA133" s="143" t="str">
        <f>IFERROR(_xlfn.XLOOKUP($A133,'Raw Data'!$G:$G,'Raw Data'!AE:AE)*(1+(_xlfn.XLOOKUP(Table13[[#This Row],[Month Year]],JMR!$A:$A,JMR!$J:$J))),"")</f>
        <v/>
      </c>
      <c r="AB133" s="143" t="str">
        <f>IFERROR(_xlfn.XLOOKUP($A133,'Raw Data'!$G:$G,'Raw Data'!$H:$H),"")</f>
        <v/>
      </c>
      <c r="AC133" s="149">
        <f>IFERROR(_xlfn.XLOOKUP($D133,'Modelling New'!$D:$D,'Modelling New'!$P:$P),"")</f>
        <v>4.7713784612903236</v>
      </c>
      <c r="AD133" s="143">
        <f>IFERROR(_xlfn.XLOOKUP($D133,'Modelling New'!$D:$D,'Modelling New'!$T:$T)*1000,"")</f>
        <v>42082.405130697269</v>
      </c>
      <c r="AE133" s="148">
        <f>IFERROR(_xlfn.XLOOKUP($D133,'Modelling New'!$D:$D,'Modelling New'!$O:$O),"")</f>
        <v>0.75253911025234577</v>
      </c>
      <c r="AF133" s="148">
        <f>IFERROR(_xlfn.XLOOKUP($D133,'Modelling New'!$D:$D,'Modelling New'!$W:$W),"")</f>
        <v>0.1496103709140261</v>
      </c>
      <c r="AG133" s="148">
        <f>IFERROR(_xlfn.XLOOKUP($D133,'Modelling New'!$D:$D,'Modelling New'!AE:AE),"")</f>
        <v>0.995</v>
      </c>
      <c r="AH133" s="148">
        <f>IFERROR(_xlfn.XLOOKUP($D133,'Modelling New'!$D:$D,'Modelling New'!AF:AF),"")</f>
        <v>0.98550000000000004</v>
      </c>
      <c r="AN133" s="145"/>
      <c r="AO133" s="148"/>
      <c r="AP133" s="148"/>
      <c r="AQ133" s="148"/>
      <c r="AR133" s="143">
        <f>IFERROR(_xlfn.XLOOKUP($D133,'Modelling New'!$D:$D,'Modelling New'!$N:$N),"")</f>
        <v>11.72</v>
      </c>
      <c r="AT133" s="143" t="str">
        <f>IFERROR(_xlfn.XLOOKUP(Table13[[#This Row],[Date]],'Raw Data'!$G:$G,'Raw Data'!$AJ:$AJ),"")</f>
        <v/>
      </c>
      <c r="AU133" s="143">
        <f>IFERROR(_xlfn.XLOOKUP(Table13[[#This Row],[Month Year]],'Modelling New'!$D:$D,'Modelling New'!$AO:$AO),"")</f>
        <v>10</v>
      </c>
      <c r="AV133" s="143"/>
    </row>
    <row r="134" spans="1:48">
      <c r="A134" s="142">
        <f t="shared" si="11"/>
        <v>45877</v>
      </c>
      <c r="B134" s="143">
        <f>YEAR(Table13[[#This Row],[Date]])+IF(MONTH(Table13[[#This Row],[Date]])&gt;=4,1,0)</f>
        <v>2026</v>
      </c>
      <c r="C134" s="116">
        <f>YEAR(Table13[[#This Row],[Date]])</f>
        <v>2025</v>
      </c>
      <c r="D134" s="144">
        <f>Table13[[#This Row],[Date]]-DAY(Table13[[#This Row],[Date]])+1</f>
        <v>45870</v>
      </c>
      <c r="E134" s="116">
        <f t="shared" si="8"/>
        <v>31</v>
      </c>
      <c r="F134" s="117" t="str">
        <f>IFERROR(_xlfn.XLOOKUP($A134,'Raw Data'!$G:$G,'Raw Data'!$AH:$AH),"")</f>
        <v/>
      </c>
      <c r="G134" s="118" t="str">
        <f>IFERROR(_xlfn.XLOOKUP($A134,'Raw Data'!$G:$G,'Raw Data'!$S:$S)/1000,"")</f>
        <v/>
      </c>
      <c r="H134" s="118"/>
      <c r="I134" s="118" t="str">
        <f>IFERROR(_xlfn.XLOOKUP($A134,'Raw Data'!$G:$G,'Raw Data'!$AF:$AF)/1000,"")</f>
        <v/>
      </c>
      <c r="J134" s="118"/>
      <c r="K134" s="118" t="str">
        <f>IFERROR(_xlfn.XLOOKUP($A134,'Raw Data'!$G:$G,'Raw Data'!W:W),"")</f>
        <v/>
      </c>
      <c r="L134" s="118" t="str">
        <f>IFERROR(_xlfn.XLOOKUP($A134,'Raw Data'!$G:$G,'Raw Data'!X:X),"")</f>
        <v/>
      </c>
      <c r="M134" s="118" t="str">
        <f>IFERROR(_xlfn.XLOOKUP($A134,'Raw Data'!$G:$G,'Raw Data'!Y:Y),"")</f>
        <v/>
      </c>
      <c r="N134" s="118" t="str">
        <f>IFERROR(_xlfn.XLOOKUP($A134,'Raw Data'!$G:$G,'Raw Data'!Z:Z),"")</f>
        <v/>
      </c>
      <c r="O134" s="145" t="str">
        <f>IFERROR(1-SUMIF('Plant BD'!$B:$B,$A134,'Plant BD'!$AM:$AM)/($AA134+SUMIF('Plant BD'!$B:$B,$A134,'Plant BD'!$AM:$AM)),"")</f>
        <v/>
      </c>
      <c r="P134" s="145"/>
      <c r="Q134" s="146"/>
      <c r="R134" s="145" t="str">
        <f>IFERROR(1-SUMIF('Grid BD'!$B:$B,$A134,'Grid BD'!$AE:$AE)/($AA134+SUMIF('Grid BD'!$B:$B,$A134,'Grid BD'!$AE:$AE)),"")</f>
        <v/>
      </c>
      <c r="T134" s="146" t="str">
        <f>IFERROR(1-SUMIF(Tracker_BD!$H:$H,$A134,Tracker_BD!AI:AI)/$F134,"")</f>
        <v/>
      </c>
      <c r="U134" s="147" t="str">
        <f t="shared" si="9"/>
        <v/>
      </c>
      <c r="V134" s="147"/>
      <c r="W134" s="148" t="str">
        <f t="shared" si="10"/>
        <v/>
      </c>
      <c r="X134" s="143" t="str">
        <f>IFERROR(_xlfn.XLOOKUP($A134,'Raw Data'!$G:$G,'Raw Data'!$AB:$AB),"")</f>
        <v/>
      </c>
      <c r="Y134" s="143" t="str">
        <f>IFERROR(_xlfn.XLOOKUP($A134,'Raw Data'!$G:$G,'Raw Data'!AC:AC),"")</f>
        <v/>
      </c>
      <c r="Z134" s="143" t="str">
        <f>IFERROR(_xlfn.XLOOKUP($A134,'Raw Data'!$G:$G,'Raw Data'!AD:AD),"")</f>
        <v/>
      </c>
      <c r="AA134" s="143" t="str">
        <f>IFERROR(_xlfn.XLOOKUP($A134,'Raw Data'!$G:$G,'Raw Data'!AE:AE)*(1+(_xlfn.XLOOKUP(Table13[[#This Row],[Month Year]],JMR!$A:$A,JMR!$J:$J))),"")</f>
        <v/>
      </c>
      <c r="AB134" s="143" t="str">
        <f>IFERROR(_xlfn.XLOOKUP($A134,'Raw Data'!$G:$G,'Raw Data'!$H:$H),"")</f>
        <v/>
      </c>
      <c r="AC134" s="149">
        <f>IFERROR(_xlfn.XLOOKUP($D134,'Modelling New'!$D:$D,'Modelling New'!$P:$P),"")</f>
        <v>4.7713784612903236</v>
      </c>
      <c r="AD134" s="143">
        <f>IFERROR(_xlfn.XLOOKUP($D134,'Modelling New'!$D:$D,'Modelling New'!$T:$T)*1000,"")</f>
        <v>42082.405130697269</v>
      </c>
      <c r="AE134" s="148">
        <f>IFERROR(_xlfn.XLOOKUP($D134,'Modelling New'!$D:$D,'Modelling New'!$O:$O),"")</f>
        <v>0.75253911025234577</v>
      </c>
      <c r="AF134" s="148">
        <f>IFERROR(_xlfn.XLOOKUP($D134,'Modelling New'!$D:$D,'Modelling New'!$W:$W),"")</f>
        <v>0.1496103709140261</v>
      </c>
      <c r="AG134" s="148">
        <f>IFERROR(_xlfn.XLOOKUP($D134,'Modelling New'!$D:$D,'Modelling New'!AE:AE),"")</f>
        <v>0.995</v>
      </c>
      <c r="AH134" s="148">
        <f>IFERROR(_xlfn.XLOOKUP($D134,'Modelling New'!$D:$D,'Modelling New'!AF:AF),"")</f>
        <v>0.98550000000000004</v>
      </c>
      <c r="AN134" s="145"/>
      <c r="AO134" s="148"/>
      <c r="AP134" s="148"/>
      <c r="AQ134" s="148"/>
      <c r="AR134" s="143">
        <f>IFERROR(_xlfn.XLOOKUP($D134,'Modelling New'!$D:$D,'Modelling New'!$N:$N),"")</f>
        <v>11.72</v>
      </c>
      <c r="AT134" s="143" t="str">
        <f>IFERROR(_xlfn.XLOOKUP(Table13[[#This Row],[Date]],'Raw Data'!$G:$G,'Raw Data'!$AJ:$AJ),"")</f>
        <v/>
      </c>
      <c r="AU134" s="143">
        <f>IFERROR(_xlfn.XLOOKUP(Table13[[#This Row],[Month Year]],'Modelling New'!$D:$D,'Modelling New'!$AO:$AO),"")</f>
        <v>10</v>
      </c>
      <c r="AV134" s="143"/>
    </row>
    <row r="135" spans="1:48">
      <c r="A135" s="142">
        <f t="shared" si="11"/>
        <v>45878</v>
      </c>
      <c r="B135" s="143">
        <f>YEAR(Table13[[#This Row],[Date]])+IF(MONTH(Table13[[#This Row],[Date]])&gt;=4,1,0)</f>
        <v>2026</v>
      </c>
      <c r="C135" s="116">
        <f>YEAR(Table13[[#This Row],[Date]])</f>
        <v>2025</v>
      </c>
      <c r="D135" s="144">
        <f>Table13[[#This Row],[Date]]-DAY(Table13[[#This Row],[Date]])+1</f>
        <v>45870</v>
      </c>
      <c r="E135" s="116">
        <f t="shared" si="8"/>
        <v>31</v>
      </c>
      <c r="F135" s="117" t="str">
        <f>IFERROR(_xlfn.XLOOKUP($A135,'Raw Data'!$G:$G,'Raw Data'!$AH:$AH),"")</f>
        <v/>
      </c>
      <c r="G135" s="118" t="str">
        <f>IFERROR(_xlfn.XLOOKUP($A135,'Raw Data'!$G:$G,'Raw Data'!$S:$S)/1000,"")</f>
        <v/>
      </c>
      <c r="H135" s="118"/>
      <c r="I135" s="118" t="str">
        <f>IFERROR(_xlfn.XLOOKUP($A135,'Raw Data'!$G:$G,'Raw Data'!$AF:$AF)/1000,"")</f>
        <v/>
      </c>
      <c r="J135" s="118"/>
      <c r="K135" s="118" t="str">
        <f>IFERROR(_xlfn.XLOOKUP($A135,'Raw Data'!$G:$G,'Raw Data'!W:W),"")</f>
        <v/>
      </c>
      <c r="L135" s="118" t="str">
        <f>IFERROR(_xlfn.XLOOKUP($A135,'Raw Data'!$G:$G,'Raw Data'!X:X),"")</f>
        <v/>
      </c>
      <c r="M135" s="118" t="str">
        <f>IFERROR(_xlfn.XLOOKUP($A135,'Raw Data'!$G:$G,'Raw Data'!Y:Y),"")</f>
        <v/>
      </c>
      <c r="N135" s="118" t="str">
        <f>IFERROR(_xlfn.XLOOKUP($A135,'Raw Data'!$G:$G,'Raw Data'!Z:Z),"")</f>
        <v/>
      </c>
      <c r="O135" s="145" t="str">
        <f>IFERROR(1-SUMIF('Plant BD'!$B:$B,$A135,'Plant BD'!$AM:$AM)/($AA135+SUMIF('Plant BD'!$B:$B,$A135,'Plant BD'!$AM:$AM)),"")</f>
        <v/>
      </c>
      <c r="P135" s="145"/>
      <c r="Q135" s="146"/>
      <c r="R135" s="145" t="str">
        <f>IFERROR(1-SUMIF('Grid BD'!$B:$B,$A135,'Grid BD'!$AE:$AE)/($AA135+SUMIF('Grid BD'!$B:$B,$A135,'Grid BD'!$AE:$AE)),"")</f>
        <v/>
      </c>
      <c r="T135" s="146" t="str">
        <f>IFERROR(1-SUMIF(Tracker_BD!$H:$H,$A135,Tracker_BD!AI:AI)/$F135,"")</f>
        <v/>
      </c>
      <c r="U135" s="147" t="str">
        <f t="shared" si="9"/>
        <v/>
      </c>
      <c r="V135" s="147"/>
      <c r="W135" s="148" t="str">
        <f t="shared" si="10"/>
        <v/>
      </c>
      <c r="X135" s="143" t="str">
        <f>IFERROR(_xlfn.XLOOKUP($A135,'Raw Data'!$G:$G,'Raw Data'!$AB:$AB),"")</f>
        <v/>
      </c>
      <c r="Y135" s="143" t="str">
        <f>IFERROR(_xlfn.XLOOKUP($A135,'Raw Data'!$G:$G,'Raw Data'!AC:AC),"")</f>
        <v/>
      </c>
      <c r="Z135" s="143" t="str">
        <f>IFERROR(_xlfn.XLOOKUP($A135,'Raw Data'!$G:$G,'Raw Data'!AD:AD),"")</f>
        <v/>
      </c>
      <c r="AA135" s="143" t="str">
        <f>IFERROR(_xlfn.XLOOKUP($A135,'Raw Data'!$G:$G,'Raw Data'!AE:AE)*(1+(_xlfn.XLOOKUP(Table13[[#This Row],[Month Year]],JMR!$A:$A,JMR!$J:$J))),"")</f>
        <v/>
      </c>
      <c r="AB135" s="143" t="str">
        <f>IFERROR(_xlfn.XLOOKUP($A135,'Raw Data'!$G:$G,'Raw Data'!$H:$H),"")</f>
        <v/>
      </c>
      <c r="AC135" s="149">
        <f>IFERROR(_xlfn.XLOOKUP($D135,'Modelling New'!$D:$D,'Modelling New'!$P:$P),"")</f>
        <v>4.7713784612903236</v>
      </c>
      <c r="AD135" s="143">
        <f>IFERROR(_xlfn.XLOOKUP($D135,'Modelling New'!$D:$D,'Modelling New'!$T:$T)*1000,"")</f>
        <v>42082.405130697269</v>
      </c>
      <c r="AE135" s="148">
        <f>IFERROR(_xlfn.XLOOKUP($D135,'Modelling New'!$D:$D,'Modelling New'!$O:$O),"")</f>
        <v>0.75253911025234577</v>
      </c>
      <c r="AF135" s="148">
        <f>IFERROR(_xlfn.XLOOKUP($D135,'Modelling New'!$D:$D,'Modelling New'!$W:$W),"")</f>
        <v>0.1496103709140261</v>
      </c>
      <c r="AG135" s="148">
        <f>IFERROR(_xlfn.XLOOKUP($D135,'Modelling New'!$D:$D,'Modelling New'!AE:AE),"")</f>
        <v>0.995</v>
      </c>
      <c r="AH135" s="148">
        <f>IFERROR(_xlfn.XLOOKUP($D135,'Modelling New'!$D:$D,'Modelling New'!AF:AF),"")</f>
        <v>0.98550000000000004</v>
      </c>
      <c r="AN135" s="145"/>
      <c r="AO135" s="148"/>
      <c r="AP135" s="148"/>
      <c r="AQ135" s="148"/>
      <c r="AR135" s="143">
        <f>IFERROR(_xlfn.XLOOKUP($D135,'Modelling New'!$D:$D,'Modelling New'!$N:$N),"")</f>
        <v>11.72</v>
      </c>
      <c r="AT135" s="143" t="str">
        <f>IFERROR(_xlfn.XLOOKUP(Table13[[#This Row],[Date]],'Raw Data'!$G:$G,'Raw Data'!$AJ:$AJ),"")</f>
        <v/>
      </c>
      <c r="AU135" s="143">
        <f>IFERROR(_xlfn.XLOOKUP(Table13[[#This Row],[Month Year]],'Modelling New'!$D:$D,'Modelling New'!$AO:$AO),"")</f>
        <v>10</v>
      </c>
      <c r="AV135" s="143"/>
    </row>
    <row r="136" spans="1:48">
      <c r="A136" s="142">
        <f t="shared" si="11"/>
        <v>45879</v>
      </c>
      <c r="B136" s="143">
        <f>YEAR(Table13[[#This Row],[Date]])+IF(MONTH(Table13[[#This Row],[Date]])&gt;=4,1,0)</f>
        <v>2026</v>
      </c>
      <c r="C136" s="116">
        <f>YEAR(Table13[[#This Row],[Date]])</f>
        <v>2025</v>
      </c>
      <c r="D136" s="144">
        <f>Table13[[#This Row],[Date]]-DAY(Table13[[#This Row],[Date]])+1</f>
        <v>45870</v>
      </c>
      <c r="E136" s="116">
        <f t="shared" si="8"/>
        <v>31</v>
      </c>
      <c r="F136" s="117" t="str">
        <f>IFERROR(_xlfn.XLOOKUP($A136,'Raw Data'!$G:$G,'Raw Data'!$AH:$AH),"")</f>
        <v/>
      </c>
      <c r="G136" s="118" t="str">
        <f>IFERROR(_xlfn.XLOOKUP($A136,'Raw Data'!$G:$G,'Raw Data'!$S:$S)/1000,"")</f>
        <v/>
      </c>
      <c r="H136" s="118"/>
      <c r="I136" s="118" t="str">
        <f>IFERROR(_xlfn.XLOOKUP($A136,'Raw Data'!$G:$G,'Raw Data'!$AF:$AF)/1000,"")</f>
        <v/>
      </c>
      <c r="J136" s="118"/>
      <c r="K136" s="118" t="str">
        <f>IFERROR(_xlfn.XLOOKUP($A136,'Raw Data'!$G:$G,'Raw Data'!W:W),"")</f>
        <v/>
      </c>
      <c r="L136" s="118" t="str">
        <f>IFERROR(_xlfn.XLOOKUP($A136,'Raw Data'!$G:$G,'Raw Data'!X:X),"")</f>
        <v/>
      </c>
      <c r="M136" s="118" t="str">
        <f>IFERROR(_xlfn.XLOOKUP($A136,'Raw Data'!$G:$G,'Raw Data'!Y:Y),"")</f>
        <v/>
      </c>
      <c r="N136" s="118" t="str">
        <f>IFERROR(_xlfn.XLOOKUP($A136,'Raw Data'!$G:$G,'Raw Data'!Z:Z),"")</f>
        <v/>
      </c>
      <c r="O136" s="145" t="str">
        <f>IFERROR(1-SUMIF('Plant BD'!$B:$B,$A136,'Plant BD'!$AM:$AM)/($AA136+SUMIF('Plant BD'!$B:$B,$A136,'Plant BD'!$AM:$AM)),"")</f>
        <v/>
      </c>
      <c r="P136" s="145"/>
      <c r="Q136" s="146"/>
      <c r="R136" s="145" t="str">
        <f>IFERROR(1-SUMIF('Grid BD'!$B:$B,$A136,'Grid BD'!$AE:$AE)/($AA136+SUMIF('Grid BD'!$B:$B,$A136,'Grid BD'!$AE:$AE)),"")</f>
        <v/>
      </c>
      <c r="T136" s="146" t="str">
        <f>IFERROR(1-SUMIF(Tracker_BD!$H:$H,$A136,Tracker_BD!AI:AI)/$F136,"")</f>
        <v/>
      </c>
      <c r="U136" s="147" t="str">
        <f t="shared" si="9"/>
        <v/>
      </c>
      <c r="V136" s="147"/>
      <c r="W136" s="148" t="str">
        <f t="shared" si="10"/>
        <v/>
      </c>
      <c r="X136" s="143" t="str">
        <f>IFERROR(_xlfn.XLOOKUP($A136,'Raw Data'!$G:$G,'Raw Data'!$AB:$AB),"")</f>
        <v/>
      </c>
      <c r="Y136" s="143" t="str">
        <f>IFERROR(_xlfn.XLOOKUP($A136,'Raw Data'!$G:$G,'Raw Data'!AC:AC),"")</f>
        <v/>
      </c>
      <c r="Z136" s="143" t="str">
        <f>IFERROR(_xlfn.XLOOKUP($A136,'Raw Data'!$G:$G,'Raw Data'!AD:AD),"")</f>
        <v/>
      </c>
      <c r="AA136" s="143" t="str">
        <f>IFERROR(_xlfn.XLOOKUP($A136,'Raw Data'!$G:$G,'Raw Data'!AE:AE)*(1+(_xlfn.XLOOKUP(Table13[[#This Row],[Month Year]],JMR!$A:$A,JMR!$J:$J))),"")</f>
        <v/>
      </c>
      <c r="AB136" s="143" t="str">
        <f>IFERROR(_xlfn.XLOOKUP($A136,'Raw Data'!$G:$G,'Raw Data'!$H:$H),"")</f>
        <v/>
      </c>
      <c r="AC136" s="149">
        <f>IFERROR(_xlfn.XLOOKUP($D136,'Modelling New'!$D:$D,'Modelling New'!$P:$P),"")</f>
        <v>4.7713784612903236</v>
      </c>
      <c r="AD136" s="143">
        <f>IFERROR(_xlfn.XLOOKUP($D136,'Modelling New'!$D:$D,'Modelling New'!$T:$T)*1000,"")</f>
        <v>42082.405130697269</v>
      </c>
      <c r="AE136" s="148">
        <f>IFERROR(_xlfn.XLOOKUP($D136,'Modelling New'!$D:$D,'Modelling New'!$O:$O),"")</f>
        <v>0.75253911025234577</v>
      </c>
      <c r="AF136" s="148">
        <f>IFERROR(_xlfn.XLOOKUP($D136,'Modelling New'!$D:$D,'Modelling New'!$W:$W),"")</f>
        <v>0.1496103709140261</v>
      </c>
      <c r="AG136" s="148">
        <f>IFERROR(_xlfn.XLOOKUP($D136,'Modelling New'!$D:$D,'Modelling New'!AE:AE),"")</f>
        <v>0.995</v>
      </c>
      <c r="AH136" s="148">
        <f>IFERROR(_xlfn.XLOOKUP($D136,'Modelling New'!$D:$D,'Modelling New'!AF:AF),"")</f>
        <v>0.98550000000000004</v>
      </c>
      <c r="AN136" s="145"/>
      <c r="AO136" s="148"/>
      <c r="AP136" s="148"/>
      <c r="AQ136" s="148"/>
      <c r="AR136" s="143">
        <f>IFERROR(_xlfn.XLOOKUP($D136,'Modelling New'!$D:$D,'Modelling New'!$N:$N),"")</f>
        <v>11.72</v>
      </c>
      <c r="AT136" s="143" t="str">
        <f>IFERROR(_xlfn.XLOOKUP(Table13[[#This Row],[Date]],'Raw Data'!$G:$G,'Raw Data'!$AJ:$AJ),"")</f>
        <v/>
      </c>
      <c r="AU136" s="143">
        <f>IFERROR(_xlfn.XLOOKUP(Table13[[#This Row],[Month Year]],'Modelling New'!$D:$D,'Modelling New'!$AO:$AO),"")</f>
        <v>10</v>
      </c>
      <c r="AV136" s="143"/>
    </row>
    <row r="137" spans="1:48">
      <c r="A137" s="142">
        <f t="shared" si="11"/>
        <v>45880</v>
      </c>
      <c r="B137" s="143">
        <f>YEAR(Table13[[#This Row],[Date]])+IF(MONTH(Table13[[#This Row],[Date]])&gt;=4,1,0)</f>
        <v>2026</v>
      </c>
      <c r="C137" s="116">
        <f>YEAR(Table13[[#This Row],[Date]])</f>
        <v>2025</v>
      </c>
      <c r="D137" s="144">
        <f>Table13[[#This Row],[Date]]-DAY(Table13[[#This Row],[Date]])+1</f>
        <v>45870</v>
      </c>
      <c r="E137" s="116">
        <f t="shared" si="8"/>
        <v>31</v>
      </c>
      <c r="F137" s="117" t="str">
        <f>IFERROR(_xlfn.XLOOKUP($A137,'Raw Data'!$G:$G,'Raw Data'!$AH:$AH),"")</f>
        <v/>
      </c>
      <c r="G137" s="118" t="str">
        <f>IFERROR(_xlfn.XLOOKUP($A137,'Raw Data'!$G:$G,'Raw Data'!$S:$S)/1000,"")</f>
        <v/>
      </c>
      <c r="H137" s="118"/>
      <c r="I137" s="118" t="str">
        <f>IFERROR(_xlfn.XLOOKUP($A137,'Raw Data'!$G:$G,'Raw Data'!$AF:$AF)/1000,"")</f>
        <v/>
      </c>
      <c r="J137" s="118"/>
      <c r="K137" s="118" t="str">
        <f>IFERROR(_xlfn.XLOOKUP($A137,'Raw Data'!$G:$G,'Raw Data'!W:W),"")</f>
        <v/>
      </c>
      <c r="L137" s="118" t="str">
        <f>IFERROR(_xlfn.XLOOKUP($A137,'Raw Data'!$G:$G,'Raw Data'!X:X),"")</f>
        <v/>
      </c>
      <c r="M137" s="118" t="str">
        <f>IFERROR(_xlfn.XLOOKUP($A137,'Raw Data'!$G:$G,'Raw Data'!Y:Y),"")</f>
        <v/>
      </c>
      <c r="N137" s="118" t="str">
        <f>IFERROR(_xlfn.XLOOKUP($A137,'Raw Data'!$G:$G,'Raw Data'!Z:Z),"")</f>
        <v/>
      </c>
      <c r="O137" s="145" t="str">
        <f>IFERROR(1-SUMIF('Plant BD'!$B:$B,$A137,'Plant BD'!$AM:$AM)/($AA137+SUMIF('Plant BD'!$B:$B,$A137,'Plant BD'!$AM:$AM)),"")</f>
        <v/>
      </c>
      <c r="P137" s="145"/>
      <c r="Q137" s="146"/>
      <c r="R137" s="145" t="str">
        <f>IFERROR(1-SUMIF('Grid BD'!$B:$B,$A137,'Grid BD'!$AE:$AE)/($AA137+SUMIF('Grid BD'!$B:$B,$A137,'Grid BD'!$AE:$AE)),"")</f>
        <v/>
      </c>
      <c r="T137" s="146" t="str">
        <f>IFERROR(1-SUMIF(Tracker_BD!$H:$H,$A137,Tracker_BD!AI:AI)/$F137,"")</f>
        <v/>
      </c>
      <c r="U137" s="147" t="str">
        <f t="shared" si="9"/>
        <v/>
      </c>
      <c r="V137" s="147"/>
      <c r="W137" s="148" t="str">
        <f t="shared" si="10"/>
        <v/>
      </c>
      <c r="X137" s="143" t="str">
        <f>IFERROR(_xlfn.XLOOKUP($A137,'Raw Data'!$G:$G,'Raw Data'!$AB:$AB),"")</f>
        <v/>
      </c>
      <c r="Y137" s="143" t="str">
        <f>IFERROR(_xlfn.XLOOKUP($A137,'Raw Data'!$G:$G,'Raw Data'!AC:AC),"")</f>
        <v/>
      </c>
      <c r="Z137" s="143" t="str">
        <f>IFERROR(_xlfn.XLOOKUP($A137,'Raw Data'!$G:$G,'Raw Data'!AD:AD),"")</f>
        <v/>
      </c>
      <c r="AA137" s="143" t="str">
        <f>IFERROR(_xlfn.XLOOKUP($A137,'Raw Data'!$G:$G,'Raw Data'!AE:AE)*(1+(_xlfn.XLOOKUP(Table13[[#This Row],[Month Year]],JMR!$A:$A,JMR!$J:$J))),"")</f>
        <v/>
      </c>
      <c r="AB137" s="143" t="str">
        <f>IFERROR(_xlfn.XLOOKUP($A137,'Raw Data'!$G:$G,'Raw Data'!$H:$H),"")</f>
        <v/>
      </c>
      <c r="AC137" s="149">
        <f>IFERROR(_xlfn.XLOOKUP($D137,'Modelling New'!$D:$D,'Modelling New'!$P:$P),"")</f>
        <v>4.7713784612903236</v>
      </c>
      <c r="AD137" s="143">
        <f>IFERROR(_xlfn.XLOOKUP($D137,'Modelling New'!$D:$D,'Modelling New'!$T:$T)*1000,"")</f>
        <v>42082.405130697269</v>
      </c>
      <c r="AE137" s="148">
        <f>IFERROR(_xlfn.XLOOKUP($D137,'Modelling New'!$D:$D,'Modelling New'!$O:$O),"")</f>
        <v>0.75253911025234577</v>
      </c>
      <c r="AF137" s="148">
        <f>IFERROR(_xlfn.XLOOKUP($D137,'Modelling New'!$D:$D,'Modelling New'!$W:$W),"")</f>
        <v>0.1496103709140261</v>
      </c>
      <c r="AG137" s="148">
        <f>IFERROR(_xlfn.XLOOKUP($D137,'Modelling New'!$D:$D,'Modelling New'!AE:AE),"")</f>
        <v>0.995</v>
      </c>
      <c r="AH137" s="148">
        <f>IFERROR(_xlfn.XLOOKUP($D137,'Modelling New'!$D:$D,'Modelling New'!AF:AF),"")</f>
        <v>0.98550000000000004</v>
      </c>
      <c r="AN137" s="145"/>
      <c r="AO137" s="148"/>
      <c r="AP137" s="148"/>
      <c r="AQ137" s="148"/>
      <c r="AR137" s="143">
        <f>IFERROR(_xlfn.XLOOKUP($D137,'Modelling New'!$D:$D,'Modelling New'!$N:$N),"")</f>
        <v>11.72</v>
      </c>
      <c r="AT137" s="143" t="str">
        <f>IFERROR(_xlfn.XLOOKUP(Table13[[#This Row],[Date]],'Raw Data'!$G:$G,'Raw Data'!$AJ:$AJ),"")</f>
        <v/>
      </c>
      <c r="AU137" s="143">
        <f>IFERROR(_xlfn.XLOOKUP(Table13[[#This Row],[Month Year]],'Modelling New'!$D:$D,'Modelling New'!$AO:$AO),"")</f>
        <v>10</v>
      </c>
      <c r="AV137" s="143"/>
    </row>
    <row r="138" spans="1:48">
      <c r="A138" s="142">
        <f t="shared" si="11"/>
        <v>45881</v>
      </c>
      <c r="B138" s="143">
        <f>YEAR(Table13[[#This Row],[Date]])+IF(MONTH(Table13[[#This Row],[Date]])&gt;=4,1,0)</f>
        <v>2026</v>
      </c>
      <c r="C138" s="116">
        <f>YEAR(Table13[[#This Row],[Date]])</f>
        <v>2025</v>
      </c>
      <c r="D138" s="144">
        <f>Table13[[#This Row],[Date]]-DAY(Table13[[#This Row],[Date]])+1</f>
        <v>45870</v>
      </c>
      <c r="E138" s="116">
        <f t="shared" si="8"/>
        <v>31</v>
      </c>
      <c r="F138" s="117" t="str">
        <f>IFERROR(_xlfn.XLOOKUP($A138,'Raw Data'!$G:$G,'Raw Data'!$AH:$AH),"")</f>
        <v/>
      </c>
      <c r="G138" s="118" t="str">
        <f>IFERROR(_xlfn.XLOOKUP($A138,'Raw Data'!$G:$G,'Raw Data'!$S:$S)/1000,"")</f>
        <v/>
      </c>
      <c r="H138" s="118"/>
      <c r="I138" s="118" t="str">
        <f>IFERROR(_xlfn.XLOOKUP($A138,'Raw Data'!$G:$G,'Raw Data'!$AF:$AF)/1000,"")</f>
        <v/>
      </c>
      <c r="J138" s="118"/>
      <c r="K138" s="118" t="str">
        <f>IFERROR(_xlfn.XLOOKUP($A138,'Raw Data'!$G:$G,'Raw Data'!W:W),"")</f>
        <v/>
      </c>
      <c r="L138" s="118" t="str">
        <f>IFERROR(_xlfn.XLOOKUP($A138,'Raw Data'!$G:$G,'Raw Data'!X:X),"")</f>
        <v/>
      </c>
      <c r="M138" s="118" t="str">
        <f>IFERROR(_xlfn.XLOOKUP($A138,'Raw Data'!$G:$G,'Raw Data'!Y:Y),"")</f>
        <v/>
      </c>
      <c r="N138" s="118" t="str">
        <f>IFERROR(_xlfn.XLOOKUP($A138,'Raw Data'!$G:$G,'Raw Data'!Z:Z),"")</f>
        <v/>
      </c>
      <c r="O138" s="145" t="str">
        <f>IFERROR(1-SUMIF('Plant BD'!$B:$B,$A138,'Plant BD'!$AM:$AM)/($AA138+SUMIF('Plant BD'!$B:$B,$A138,'Plant BD'!$AM:$AM)),"")</f>
        <v/>
      </c>
      <c r="P138" s="145"/>
      <c r="Q138" s="146"/>
      <c r="R138" s="145" t="str">
        <f>IFERROR(1-SUMIF('Grid BD'!$B:$B,$A138,'Grid BD'!$AE:$AE)/($AA138+SUMIF('Grid BD'!$B:$B,$A138,'Grid BD'!$AE:$AE)),"")</f>
        <v/>
      </c>
      <c r="T138" s="146" t="str">
        <f>IFERROR(1-SUMIF(Tracker_BD!$H:$H,$A138,Tracker_BD!AI:AI)/$F138,"")</f>
        <v/>
      </c>
      <c r="U138" s="147" t="str">
        <f t="shared" si="9"/>
        <v/>
      </c>
      <c r="V138" s="147"/>
      <c r="W138" s="148" t="str">
        <f t="shared" si="10"/>
        <v/>
      </c>
      <c r="X138" s="143" t="str">
        <f>IFERROR(_xlfn.XLOOKUP($A138,'Raw Data'!$G:$G,'Raw Data'!$AB:$AB),"")</f>
        <v/>
      </c>
      <c r="Y138" s="143" t="str">
        <f>IFERROR(_xlfn.XLOOKUP($A138,'Raw Data'!$G:$G,'Raw Data'!AC:AC),"")</f>
        <v/>
      </c>
      <c r="Z138" s="143" t="str">
        <f>IFERROR(_xlfn.XLOOKUP($A138,'Raw Data'!$G:$G,'Raw Data'!AD:AD),"")</f>
        <v/>
      </c>
      <c r="AA138" s="143" t="str">
        <f>IFERROR(_xlfn.XLOOKUP($A138,'Raw Data'!$G:$G,'Raw Data'!AE:AE)*(1+(_xlfn.XLOOKUP(Table13[[#This Row],[Month Year]],JMR!$A:$A,JMR!$J:$J))),"")</f>
        <v/>
      </c>
      <c r="AB138" s="143" t="str">
        <f>IFERROR(_xlfn.XLOOKUP($A138,'Raw Data'!$G:$G,'Raw Data'!$H:$H),"")</f>
        <v/>
      </c>
      <c r="AC138" s="149">
        <f>IFERROR(_xlfn.XLOOKUP($D138,'Modelling New'!$D:$D,'Modelling New'!$P:$P),"")</f>
        <v>4.7713784612903236</v>
      </c>
      <c r="AD138" s="143">
        <f>IFERROR(_xlfn.XLOOKUP($D138,'Modelling New'!$D:$D,'Modelling New'!$T:$T)*1000,"")</f>
        <v>42082.405130697269</v>
      </c>
      <c r="AE138" s="148">
        <f>IFERROR(_xlfn.XLOOKUP($D138,'Modelling New'!$D:$D,'Modelling New'!$O:$O),"")</f>
        <v>0.75253911025234577</v>
      </c>
      <c r="AF138" s="148">
        <f>IFERROR(_xlfn.XLOOKUP($D138,'Modelling New'!$D:$D,'Modelling New'!$W:$W),"")</f>
        <v>0.1496103709140261</v>
      </c>
      <c r="AG138" s="148">
        <f>IFERROR(_xlfn.XLOOKUP($D138,'Modelling New'!$D:$D,'Modelling New'!AE:AE),"")</f>
        <v>0.995</v>
      </c>
      <c r="AH138" s="148">
        <f>IFERROR(_xlfn.XLOOKUP($D138,'Modelling New'!$D:$D,'Modelling New'!AF:AF),"")</f>
        <v>0.98550000000000004</v>
      </c>
      <c r="AN138" s="145"/>
      <c r="AO138" s="148"/>
      <c r="AP138" s="148"/>
      <c r="AQ138" s="148"/>
      <c r="AR138" s="143">
        <f>IFERROR(_xlfn.XLOOKUP($D138,'Modelling New'!$D:$D,'Modelling New'!$N:$N),"")</f>
        <v>11.72</v>
      </c>
      <c r="AT138" s="143" t="str">
        <f>IFERROR(_xlfn.XLOOKUP(Table13[[#This Row],[Date]],'Raw Data'!$G:$G,'Raw Data'!$AJ:$AJ),"")</f>
        <v/>
      </c>
      <c r="AU138" s="143">
        <f>IFERROR(_xlfn.XLOOKUP(Table13[[#This Row],[Month Year]],'Modelling New'!$D:$D,'Modelling New'!$AO:$AO),"")</f>
        <v>10</v>
      </c>
      <c r="AV138" s="143"/>
    </row>
    <row r="139" spans="1:48">
      <c r="A139" s="142">
        <f t="shared" si="11"/>
        <v>45882</v>
      </c>
      <c r="B139" s="143">
        <f>YEAR(Table13[[#This Row],[Date]])+IF(MONTH(Table13[[#This Row],[Date]])&gt;=4,1,0)</f>
        <v>2026</v>
      </c>
      <c r="C139" s="116">
        <f>YEAR(Table13[[#This Row],[Date]])</f>
        <v>2025</v>
      </c>
      <c r="D139" s="144">
        <f>Table13[[#This Row],[Date]]-DAY(Table13[[#This Row],[Date]])+1</f>
        <v>45870</v>
      </c>
      <c r="E139" s="116">
        <f t="shared" si="8"/>
        <v>31</v>
      </c>
      <c r="F139" s="117" t="str">
        <f>IFERROR(_xlfn.XLOOKUP($A139,'Raw Data'!$G:$G,'Raw Data'!$AH:$AH),"")</f>
        <v/>
      </c>
      <c r="G139" s="118" t="str">
        <f>IFERROR(_xlfn.XLOOKUP($A139,'Raw Data'!$G:$G,'Raw Data'!$S:$S)/1000,"")</f>
        <v/>
      </c>
      <c r="H139" s="118"/>
      <c r="I139" s="118" t="str">
        <f>IFERROR(_xlfn.XLOOKUP($A139,'Raw Data'!$G:$G,'Raw Data'!$AF:$AF)/1000,"")</f>
        <v/>
      </c>
      <c r="J139" s="118"/>
      <c r="K139" s="118" t="str">
        <f>IFERROR(_xlfn.XLOOKUP($A139,'Raw Data'!$G:$G,'Raw Data'!W:W),"")</f>
        <v/>
      </c>
      <c r="L139" s="118" t="str">
        <f>IFERROR(_xlfn.XLOOKUP($A139,'Raw Data'!$G:$G,'Raw Data'!X:X),"")</f>
        <v/>
      </c>
      <c r="M139" s="118" t="str">
        <f>IFERROR(_xlfn.XLOOKUP($A139,'Raw Data'!$G:$G,'Raw Data'!Y:Y),"")</f>
        <v/>
      </c>
      <c r="N139" s="118" t="str">
        <f>IFERROR(_xlfn.XLOOKUP($A139,'Raw Data'!$G:$G,'Raw Data'!Z:Z),"")</f>
        <v/>
      </c>
      <c r="O139" s="145" t="str">
        <f>IFERROR(1-SUMIF('Plant BD'!$B:$B,$A139,'Plant BD'!$AM:$AM)/($AA139+SUMIF('Plant BD'!$B:$B,$A139,'Plant BD'!$AM:$AM)),"")</f>
        <v/>
      </c>
      <c r="P139" s="145"/>
      <c r="Q139" s="146"/>
      <c r="R139" s="145" t="str">
        <f>IFERROR(1-SUMIF('Grid BD'!$B:$B,$A139,'Grid BD'!$AE:$AE)/($AA139+SUMIF('Grid BD'!$B:$B,$A139,'Grid BD'!$AE:$AE)),"")</f>
        <v/>
      </c>
      <c r="T139" s="146" t="str">
        <f>IFERROR(1-SUMIF(Tracker_BD!$H:$H,$A139,Tracker_BD!AI:AI)/$F139,"")</f>
        <v/>
      </c>
      <c r="U139" s="147" t="str">
        <f t="shared" si="9"/>
        <v/>
      </c>
      <c r="V139" s="147"/>
      <c r="W139" s="148" t="str">
        <f t="shared" si="10"/>
        <v/>
      </c>
      <c r="X139" s="143" t="str">
        <f>IFERROR(_xlfn.XLOOKUP($A139,'Raw Data'!$G:$G,'Raw Data'!$AB:$AB),"")</f>
        <v/>
      </c>
      <c r="Y139" s="143" t="str">
        <f>IFERROR(_xlfn.XLOOKUP($A139,'Raw Data'!$G:$G,'Raw Data'!AC:AC),"")</f>
        <v/>
      </c>
      <c r="Z139" s="143" t="str">
        <f>IFERROR(_xlfn.XLOOKUP($A139,'Raw Data'!$G:$G,'Raw Data'!AD:AD),"")</f>
        <v/>
      </c>
      <c r="AA139" s="143" t="str">
        <f>IFERROR(_xlfn.XLOOKUP($A139,'Raw Data'!$G:$G,'Raw Data'!AE:AE)*(1+(_xlfn.XLOOKUP(Table13[[#This Row],[Month Year]],JMR!$A:$A,JMR!$J:$J))),"")</f>
        <v/>
      </c>
      <c r="AB139" s="143" t="str">
        <f>IFERROR(_xlfn.XLOOKUP($A139,'Raw Data'!$G:$G,'Raw Data'!$H:$H),"")</f>
        <v/>
      </c>
      <c r="AC139" s="149">
        <f>IFERROR(_xlfn.XLOOKUP($D139,'Modelling New'!$D:$D,'Modelling New'!$P:$P),"")</f>
        <v>4.7713784612903236</v>
      </c>
      <c r="AD139" s="143">
        <f>IFERROR(_xlfn.XLOOKUP($D139,'Modelling New'!$D:$D,'Modelling New'!$T:$T)*1000,"")</f>
        <v>42082.405130697269</v>
      </c>
      <c r="AE139" s="148">
        <f>IFERROR(_xlfn.XLOOKUP($D139,'Modelling New'!$D:$D,'Modelling New'!$O:$O),"")</f>
        <v>0.75253911025234577</v>
      </c>
      <c r="AF139" s="148">
        <f>IFERROR(_xlfn.XLOOKUP($D139,'Modelling New'!$D:$D,'Modelling New'!$W:$W),"")</f>
        <v>0.1496103709140261</v>
      </c>
      <c r="AG139" s="148">
        <f>IFERROR(_xlfn.XLOOKUP($D139,'Modelling New'!$D:$D,'Modelling New'!AE:AE),"")</f>
        <v>0.995</v>
      </c>
      <c r="AH139" s="148">
        <f>IFERROR(_xlfn.XLOOKUP($D139,'Modelling New'!$D:$D,'Modelling New'!AF:AF),"")</f>
        <v>0.98550000000000004</v>
      </c>
      <c r="AN139" s="145"/>
      <c r="AO139" s="148"/>
      <c r="AP139" s="148"/>
      <c r="AQ139" s="148"/>
      <c r="AR139" s="143">
        <f>IFERROR(_xlfn.XLOOKUP($D139,'Modelling New'!$D:$D,'Modelling New'!$N:$N),"")</f>
        <v>11.72</v>
      </c>
      <c r="AT139" s="143" t="str">
        <f>IFERROR(_xlfn.XLOOKUP(Table13[[#This Row],[Date]],'Raw Data'!$G:$G,'Raw Data'!$AJ:$AJ),"")</f>
        <v/>
      </c>
      <c r="AU139" s="143">
        <f>IFERROR(_xlfn.XLOOKUP(Table13[[#This Row],[Month Year]],'Modelling New'!$D:$D,'Modelling New'!$AO:$AO),"")</f>
        <v>10</v>
      </c>
      <c r="AV139" s="143"/>
    </row>
    <row r="140" spans="1:48">
      <c r="A140" s="142">
        <f t="shared" si="11"/>
        <v>45883</v>
      </c>
      <c r="B140" s="143">
        <f>YEAR(Table13[[#This Row],[Date]])+IF(MONTH(Table13[[#This Row],[Date]])&gt;=4,1,0)</f>
        <v>2026</v>
      </c>
      <c r="C140" s="116">
        <f>YEAR(Table13[[#This Row],[Date]])</f>
        <v>2025</v>
      </c>
      <c r="D140" s="144">
        <f>Table13[[#This Row],[Date]]-DAY(Table13[[#This Row],[Date]])+1</f>
        <v>45870</v>
      </c>
      <c r="E140" s="116">
        <f t="shared" si="8"/>
        <v>31</v>
      </c>
      <c r="F140" s="117" t="str">
        <f>IFERROR(_xlfn.XLOOKUP($A140,'Raw Data'!$G:$G,'Raw Data'!$AH:$AH),"")</f>
        <v/>
      </c>
      <c r="G140" s="118" t="str">
        <f>IFERROR(_xlfn.XLOOKUP($A140,'Raw Data'!$G:$G,'Raw Data'!$S:$S)/1000,"")</f>
        <v/>
      </c>
      <c r="H140" s="118"/>
      <c r="I140" s="118" t="str">
        <f>IFERROR(_xlfn.XLOOKUP($A140,'Raw Data'!$G:$G,'Raw Data'!$AF:$AF)/1000,"")</f>
        <v/>
      </c>
      <c r="J140" s="118"/>
      <c r="K140" s="118" t="str">
        <f>IFERROR(_xlfn.XLOOKUP($A140,'Raw Data'!$G:$G,'Raw Data'!W:W),"")</f>
        <v/>
      </c>
      <c r="L140" s="118" t="str">
        <f>IFERROR(_xlfn.XLOOKUP($A140,'Raw Data'!$G:$G,'Raw Data'!X:X),"")</f>
        <v/>
      </c>
      <c r="M140" s="118" t="str">
        <f>IFERROR(_xlfn.XLOOKUP($A140,'Raw Data'!$G:$G,'Raw Data'!Y:Y),"")</f>
        <v/>
      </c>
      <c r="N140" s="118" t="str">
        <f>IFERROR(_xlfn.XLOOKUP($A140,'Raw Data'!$G:$G,'Raw Data'!Z:Z),"")</f>
        <v/>
      </c>
      <c r="O140" s="145" t="str">
        <f>IFERROR(1-SUMIF('Plant BD'!$B:$B,$A140,'Plant BD'!$AM:$AM)/($AA140+SUMIF('Plant BD'!$B:$B,$A140,'Plant BD'!$AM:$AM)),"")</f>
        <v/>
      </c>
      <c r="P140" s="145"/>
      <c r="Q140" s="146"/>
      <c r="R140" s="145" t="str">
        <f>IFERROR(1-SUMIF('Grid BD'!$B:$B,$A140,'Grid BD'!$AE:$AE)/($AA140+SUMIF('Grid BD'!$B:$B,$A140,'Grid BD'!$AE:$AE)),"")</f>
        <v/>
      </c>
      <c r="T140" s="146" t="str">
        <f>IFERROR(1-SUMIF(Tracker_BD!$H:$H,$A140,Tracker_BD!AI:AI)/$F140,"")</f>
        <v/>
      </c>
      <c r="U140" s="147" t="str">
        <f t="shared" si="9"/>
        <v/>
      </c>
      <c r="V140" s="147"/>
      <c r="W140" s="148" t="str">
        <f t="shared" si="10"/>
        <v/>
      </c>
      <c r="X140" s="143" t="str">
        <f>IFERROR(_xlfn.XLOOKUP($A140,'Raw Data'!$G:$G,'Raw Data'!$AB:$AB),"")</f>
        <v/>
      </c>
      <c r="Y140" s="143" t="str">
        <f>IFERROR(_xlfn.XLOOKUP($A140,'Raw Data'!$G:$G,'Raw Data'!AC:AC),"")</f>
        <v/>
      </c>
      <c r="Z140" s="143" t="str">
        <f>IFERROR(_xlfn.XLOOKUP($A140,'Raw Data'!$G:$G,'Raw Data'!AD:AD),"")</f>
        <v/>
      </c>
      <c r="AA140" s="143" t="str">
        <f>IFERROR(_xlfn.XLOOKUP($A140,'Raw Data'!$G:$G,'Raw Data'!AE:AE)*(1+(_xlfn.XLOOKUP(Table13[[#This Row],[Month Year]],JMR!$A:$A,JMR!$J:$J))),"")</f>
        <v/>
      </c>
      <c r="AB140" s="143" t="str">
        <f>IFERROR(_xlfn.XLOOKUP($A140,'Raw Data'!$G:$G,'Raw Data'!$H:$H),"")</f>
        <v/>
      </c>
      <c r="AC140" s="149">
        <f>IFERROR(_xlfn.XLOOKUP($D140,'Modelling New'!$D:$D,'Modelling New'!$P:$P),"")</f>
        <v>4.7713784612903236</v>
      </c>
      <c r="AD140" s="143">
        <f>IFERROR(_xlfn.XLOOKUP($D140,'Modelling New'!$D:$D,'Modelling New'!$T:$T)*1000,"")</f>
        <v>42082.405130697269</v>
      </c>
      <c r="AE140" s="148">
        <f>IFERROR(_xlfn.XLOOKUP($D140,'Modelling New'!$D:$D,'Modelling New'!$O:$O),"")</f>
        <v>0.75253911025234577</v>
      </c>
      <c r="AF140" s="148">
        <f>IFERROR(_xlfn.XLOOKUP($D140,'Modelling New'!$D:$D,'Modelling New'!$W:$W),"")</f>
        <v>0.1496103709140261</v>
      </c>
      <c r="AG140" s="148">
        <f>IFERROR(_xlfn.XLOOKUP($D140,'Modelling New'!$D:$D,'Modelling New'!AE:AE),"")</f>
        <v>0.995</v>
      </c>
      <c r="AH140" s="148">
        <f>IFERROR(_xlfn.XLOOKUP($D140,'Modelling New'!$D:$D,'Modelling New'!AF:AF),"")</f>
        <v>0.98550000000000004</v>
      </c>
      <c r="AN140" s="145"/>
      <c r="AO140" s="148"/>
      <c r="AP140" s="148"/>
      <c r="AQ140" s="148"/>
      <c r="AR140" s="143">
        <f>IFERROR(_xlfn.XLOOKUP($D140,'Modelling New'!$D:$D,'Modelling New'!$N:$N),"")</f>
        <v>11.72</v>
      </c>
      <c r="AT140" s="143" t="str">
        <f>IFERROR(_xlfn.XLOOKUP(Table13[[#This Row],[Date]],'Raw Data'!$G:$G,'Raw Data'!$AJ:$AJ),"")</f>
        <v/>
      </c>
      <c r="AU140" s="143">
        <f>IFERROR(_xlfn.XLOOKUP(Table13[[#This Row],[Month Year]],'Modelling New'!$D:$D,'Modelling New'!$AO:$AO),"")</f>
        <v>10</v>
      </c>
      <c r="AV140" s="143"/>
    </row>
    <row r="141" spans="1:48">
      <c r="A141" s="142">
        <f t="shared" si="11"/>
        <v>45884</v>
      </c>
      <c r="B141" s="143">
        <f>YEAR(Table13[[#This Row],[Date]])+IF(MONTH(Table13[[#This Row],[Date]])&gt;=4,1,0)</f>
        <v>2026</v>
      </c>
      <c r="C141" s="116">
        <f>YEAR(Table13[[#This Row],[Date]])</f>
        <v>2025</v>
      </c>
      <c r="D141" s="144">
        <f>Table13[[#This Row],[Date]]-DAY(Table13[[#This Row],[Date]])+1</f>
        <v>45870</v>
      </c>
      <c r="E141" s="116">
        <f t="shared" si="8"/>
        <v>31</v>
      </c>
      <c r="F141" s="117" t="str">
        <f>IFERROR(_xlfn.XLOOKUP($A141,'Raw Data'!$G:$G,'Raw Data'!$AH:$AH),"")</f>
        <v/>
      </c>
      <c r="G141" s="118" t="str">
        <f>IFERROR(_xlfn.XLOOKUP($A141,'Raw Data'!$G:$G,'Raw Data'!$S:$S)/1000,"")</f>
        <v/>
      </c>
      <c r="H141" s="118"/>
      <c r="I141" s="118" t="str">
        <f>IFERROR(_xlfn.XLOOKUP($A141,'Raw Data'!$G:$G,'Raw Data'!$AF:$AF)/1000,"")</f>
        <v/>
      </c>
      <c r="J141" s="118"/>
      <c r="K141" s="118" t="str">
        <f>IFERROR(_xlfn.XLOOKUP($A141,'Raw Data'!$G:$G,'Raw Data'!W:W),"")</f>
        <v/>
      </c>
      <c r="L141" s="118" t="str">
        <f>IFERROR(_xlfn.XLOOKUP($A141,'Raw Data'!$G:$G,'Raw Data'!X:X),"")</f>
        <v/>
      </c>
      <c r="M141" s="118" t="str">
        <f>IFERROR(_xlfn.XLOOKUP($A141,'Raw Data'!$G:$G,'Raw Data'!Y:Y),"")</f>
        <v/>
      </c>
      <c r="N141" s="118" t="str">
        <f>IFERROR(_xlfn.XLOOKUP($A141,'Raw Data'!$G:$G,'Raw Data'!Z:Z),"")</f>
        <v/>
      </c>
      <c r="O141" s="145" t="str">
        <f>IFERROR(1-SUMIF('Plant BD'!$B:$B,$A141,'Plant BD'!$AM:$AM)/($AA141+SUMIF('Plant BD'!$B:$B,$A141,'Plant BD'!$AM:$AM)),"")</f>
        <v/>
      </c>
      <c r="P141" s="145"/>
      <c r="Q141" s="146"/>
      <c r="R141" s="145" t="str">
        <f>IFERROR(1-SUMIF('Grid BD'!$B:$B,$A141,'Grid BD'!$AE:$AE)/($AA141+SUMIF('Grid BD'!$B:$B,$A141,'Grid BD'!$AE:$AE)),"")</f>
        <v/>
      </c>
      <c r="T141" s="146" t="str">
        <f>IFERROR(1-SUMIF(Tracker_BD!$H:$H,$A141,Tracker_BD!AI:AI)/$F141,"")</f>
        <v/>
      </c>
      <c r="U141" s="147" t="str">
        <f t="shared" si="9"/>
        <v/>
      </c>
      <c r="V141" s="147"/>
      <c r="W141" s="148" t="str">
        <f t="shared" si="10"/>
        <v/>
      </c>
      <c r="X141" s="143" t="str">
        <f>IFERROR(_xlfn.XLOOKUP($A141,'Raw Data'!$G:$G,'Raw Data'!$AB:$AB),"")</f>
        <v/>
      </c>
      <c r="Y141" s="143" t="str">
        <f>IFERROR(_xlfn.XLOOKUP($A141,'Raw Data'!$G:$G,'Raw Data'!AC:AC),"")</f>
        <v/>
      </c>
      <c r="Z141" s="143" t="str">
        <f>IFERROR(_xlfn.XLOOKUP($A141,'Raw Data'!$G:$G,'Raw Data'!AD:AD),"")</f>
        <v/>
      </c>
      <c r="AA141" s="143" t="str">
        <f>IFERROR(_xlfn.XLOOKUP($A141,'Raw Data'!$G:$G,'Raw Data'!AE:AE)*(1+(_xlfn.XLOOKUP(Table13[[#This Row],[Month Year]],JMR!$A:$A,JMR!$J:$J))),"")</f>
        <v/>
      </c>
      <c r="AB141" s="143" t="str">
        <f>IFERROR(_xlfn.XLOOKUP($A141,'Raw Data'!$G:$G,'Raw Data'!$H:$H),"")</f>
        <v/>
      </c>
      <c r="AC141" s="149">
        <f>IFERROR(_xlfn.XLOOKUP($D141,'Modelling New'!$D:$D,'Modelling New'!$P:$P),"")</f>
        <v>4.7713784612903236</v>
      </c>
      <c r="AD141" s="143">
        <f>IFERROR(_xlfn.XLOOKUP($D141,'Modelling New'!$D:$D,'Modelling New'!$T:$T)*1000,"")</f>
        <v>42082.405130697269</v>
      </c>
      <c r="AE141" s="148">
        <f>IFERROR(_xlfn.XLOOKUP($D141,'Modelling New'!$D:$D,'Modelling New'!$O:$O),"")</f>
        <v>0.75253911025234577</v>
      </c>
      <c r="AF141" s="148">
        <f>IFERROR(_xlfn.XLOOKUP($D141,'Modelling New'!$D:$D,'Modelling New'!$W:$W),"")</f>
        <v>0.1496103709140261</v>
      </c>
      <c r="AG141" s="148">
        <f>IFERROR(_xlfn.XLOOKUP($D141,'Modelling New'!$D:$D,'Modelling New'!AE:AE),"")</f>
        <v>0.995</v>
      </c>
      <c r="AH141" s="148">
        <f>IFERROR(_xlfn.XLOOKUP($D141,'Modelling New'!$D:$D,'Modelling New'!AF:AF),"")</f>
        <v>0.98550000000000004</v>
      </c>
      <c r="AN141" s="145"/>
      <c r="AO141" s="148"/>
      <c r="AP141" s="148"/>
      <c r="AQ141" s="148"/>
      <c r="AR141" s="143">
        <f>IFERROR(_xlfn.XLOOKUP($D141,'Modelling New'!$D:$D,'Modelling New'!$N:$N),"")</f>
        <v>11.72</v>
      </c>
      <c r="AT141" s="143" t="str">
        <f>IFERROR(_xlfn.XLOOKUP(Table13[[#This Row],[Date]],'Raw Data'!$G:$G,'Raw Data'!$AJ:$AJ),"")</f>
        <v/>
      </c>
      <c r="AU141" s="143">
        <f>IFERROR(_xlfn.XLOOKUP(Table13[[#This Row],[Month Year]],'Modelling New'!$D:$D,'Modelling New'!$AO:$AO),"")</f>
        <v>10</v>
      </c>
      <c r="AV141" s="143"/>
    </row>
    <row r="142" spans="1:48">
      <c r="A142" s="142">
        <f t="shared" si="11"/>
        <v>45885</v>
      </c>
      <c r="B142" s="143">
        <f>YEAR(Table13[[#This Row],[Date]])+IF(MONTH(Table13[[#This Row],[Date]])&gt;=4,1,0)</f>
        <v>2026</v>
      </c>
      <c r="C142" s="116">
        <f>YEAR(Table13[[#This Row],[Date]])</f>
        <v>2025</v>
      </c>
      <c r="D142" s="144">
        <f>Table13[[#This Row],[Date]]-DAY(Table13[[#This Row],[Date]])+1</f>
        <v>45870</v>
      </c>
      <c r="E142" s="116">
        <f t="shared" si="8"/>
        <v>31</v>
      </c>
      <c r="F142" s="117" t="str">
        <f>IFERROR(_xlfn.XLOOKUP($A142,'Raw Data'!$G:$G,'Raw Data'!$AH:$AH),"")</f>
        <v/>
      </c>
      <c r="G142" s="118" t="str">
        <f>IFERROR(_xlfn.XLOOKUP($A142,'Raw Data'!$G:$G,'Raw Data'!$S:$S)/1000,"")</f>
        <v/>
      </c>
      <c r="H142" s="118"/>
      <c r="I142" s="118" t="str">
        <f>IFERROR(_xlfn.XLOOKUP($A142,'Raw Data'!$G:$G,'Raw Data'!$AF:$AF)/1000,"")</f>
        <v/>
      </c>
      <c r="J142" s="118"/>
      <c r="K142" s="118" t="str">
        <f>IFERROR(_xlfn.XLOOKUP($A142,'Raw Data'!$G:$G,'Raw Data'!W:W),"")</f>
        <v/>
      </c>
      <c r="L142" s="118" t="str">
        <f>IFERROR(_xlfn.XLOOKUP($A142,'Raw Data'!$G:$G,'Raw Data'!X:X),"")</f>
        <v/>
      </c>
      <c r="M142" s="118" t="str">
        <f>IFERROR(_xlfn.XLOOKUP($A142,'Raw Data'!$G:$G,'Raw Data'!Y:Y),"")</f>
        <v/>
      </c>
      <c r="N142" s="118" t="str">
        <f>IFERROR(_xlfn.XLOOKUP($A142,'Raw Data'!$G:$G,'Raw Data'!Z:Z),"")</f>
        <v/>
      </c>
      <c r="O142" s="145" t="str">
        <f>IFERROR(1-SUMIF('Plant BD'!$B:$B,$A142,'Plant BD'!$AM:$AM)/($AA142+SUMIF('Plant BD'!$B:$B,$A142,'Plant BD'!$AM:$AM)),"")</f>
        <v/>
      </c>
      <c r="P142" s="145"/>
      <c r="Q142" s="146"/>
      <c r="R142" s="145" t="str">
        <f>IFERROR(1-SUMIF('Grid BD'!$B:$B,$A142,'Grid BD'!$AE:$AE)/($AA142+SUMIF('Grid BD'!$B:$B,$A142,'Grid BD'!$AE:$AE)),"")</f>
        <v/>
      </c>
      <c r="T142" s="146" t="str">
        <f>IFERROR(1-SUMIF(Tracker_BD!$H:$H,$A142,Tracker_BD!AI:AI)/$F142,"")</f>
        <v/>
      </c>
      <c r="U142" s="147" t="str">
        <f t="shared" si="9"/>
        <v/>
      </c>
      <c r="V142" s="147"/>
      <c r="W142" s="148" t="str">
        <f t="shared" si="10"/>
        <v/>
      </c>
      <c r="X142" s="143" t="str">
        <f>IFERROR(_xlfn.XLOOKUP($A142,'Raw Data'!$G:$G,'Raw Data'!$AB:$AB),"")</f>
        <v/>
      </c>
      <c r="Y142" s="143" t="str">
        <f>IFERROR(_xlfn.XLOOKUP($A142,'Raw Data'!$G:$G,'Raw Data'!AC:AC),"")</f>
        <v/>
      </c>
      <c r="Z142" s="143" t="str">
        <f>IFERROR(_xlfn.XLOOKUP($A142,'Raw Data'!$G:$G,'Raw Data'!AD:AD),"")</f>
        <v/>
      </c>
      <c r="AA142" s="143" t="str">
        <f>IFERROR(_xlfn.XLOOKUP($A142,'Raw Data'!$G:$G,'Raw Data'!AE:AE)*(1+(_xlfn.XLOOKUP(Table13[[#This Row],[Month Year]],JMR!$A:$A,JMR!$J:$J))),"")</f>
        <v/>
      </c>
      <c r="AB142" s="143" t="str">
        <f>IFERROR(_xlfn.XLOOKUP($A142,'Raw Data'!$G:$G,'Raw Data'!$H:$H),"")</f>
        <v/>
      </c>
      <c r="AC142" s="149">
        <f>IFERROR(_xlfn.XLOOKUP($D142,'Modelling New'!$D:$D,'Modelling New'!$P:$P),"")</f>
        <v>4.7713784612903236</v>
      </c>
      <c r="AD142" s="143">
        <f>IFERROR(_xlfn.XLOOKUP($D142,'Modelling New'!$D:$D,'Modelling New'!$T:$T)*1000,"")</f>
        <v>42082.405130697269</v>
      </c>
      <c r="AE142" s="148">
        <f>IFERROR(_xlfn.XLOOKUP($D142,'Modelling New'!$D:$D,'Modelling New'!$O:$O),"")</f>
        <v>0.75253911025234577</v>
      </c>
      <c r="AF142" s="148">
        <f>IFERROR(_xlfn.XLOOKUP($D142,'Modelling New'!$D:$D,'Modelling New'!$W:$W),"")</f>
        <v>0.1496103709140261</v>
      </c>
      <c r="AG142" s="148">
        <f>IFERROR(_xlfn.XLOOKUP($D142,'Modelling New'!$D:$D,'Modelling New'!AE:AE),"")</f>
        <v>0.995</v>
      </c>
      <c r="AH142" s="148">
        <f>IFERROR(_xlfn.XLOOKUP($D142,'Modelling New'!$D:$D,'Modelling New'!AF:AF),"")</f>
        <v>0.98550000000000004</v>
      </c>
      <c r="AN142" s="145"/>
      <c r="AO142" s="148"/>
      <c r="AP142" s="148"/>
      <c r="AQ142" s="148"/>
      <c r="AR142" s="143">
        <f>IFERROR(_xlfn.XLOOKUP($D142,'Modelling New'!$D:$D,'Modelling New'!$N:$N),"")</f>
        <v>11.72</v>
      </c>
      <c r="AT142" s="143" t="str">
        <f>IFERROR(_xlfn.XLOOKUP(Table13[[#This Row],[Date]],'Raw Data'!$G:$G,'Raw Data'!$AJ:$AJ),"")</f>
        <v/>
      </c>
      <c r="AU142" s="143">
        <f>IFERROR(_xlfn.XLOOKUP(Table13[[#This Row],[Month Year]],'Modelling New'!$D:$D,'Modelling New'!$AO:$AO),"")</f>
        <v>10</v>
      </c>
      <c r="AV142" s="143"/>
    </row>
    <row r="143" spans="1:48">
      <c r="A143" s="142">
        <f t="shared" si="11"/>
        <v>45886</v>
      </c>
      <c r="B143" s="143">
        <f>YEAR(Table13[[#This Row],[Date]])+IF(MONTH(Table13[[#This Row],[Date]])&gt;=4,1,0)</f>
        <v>2026</v>
      </c>
      <c r="C143" s="116">
        <f>YEAR(Table13[[#This Row],[Date]])</f>
        <v>2025</v>
      </c>
      <c r="D143" s="144">
        <f>Table13[[#This Row],[Date]]-DAY(Table13[[#This Row],[Date]])+1</f>
        <v>45870</v>
      </c>
      <c r="E143" s="116">
        <f t="shared" si="8"/>
        <v>31</v>
      </c>
      <c r="F143" s="117" t="str">
        <f>IFERROR(_xlfn.XLOOKUP($A143,'Raw Data'!$G:$G,'Raw Data'!$AH:$AH),"")</f>
        <v/>
      </c>
      <c r="G143" s="118" t="str">
        <f>IFERROR(_xlfn.XLOOKUP($A143,'Raw Data'!$G:$G,'Raw Data'!$S:$S)/1000,"")</f>
        <v/>
      </c>
      <c r="H143" s="118"/>
      <c r="I143" s="118" t="str">
        <f>IFERROR(_xlfn.XLOOKUP($A143,'Raw Data'!$G:$G,'Raw Data'!$AF:$AF)/1000,"")</f>
        <v/>
      </c>
      <c r="J143" s="118"/>
      <c r="K143" s="118" t="str">
        <f>IFERROR(_xlfn.XLOOKUP($A143,'Raw Data'!$G:$G,'Raw Data'!W:W),"")</f>
        <v/>
      </c>
      <c r="L143" s="118" t="str">
        <f>IFERROR(_xlfn.XLOOKUP($A143,'Raw Data'!$G:$G,'Raw Data'!X:X),"")</f>
        <v/>
      </c>
      <c r="M143" s="118" t="str">
        <f>IFERROR(_xlfn.XLOOKUP($A143,'Raw Data'!$G:$G,'Raw Data'!Y:Y),"")</f>
        <v/>
      </c>
      <c r="N143" s="118" t="str">
        <f>IFERROR(_xlfn.XLOOKUP($A143,'Raw Data'!$G:$G,'Raw Data'!Z:Z),"")</f>
        <v/>
      </c>
      <c r="O143" s="145" t="str">
        <f>IFERROR(1-SUMIF('Plant BD'!$B:$B,$A143,'Plant BD'!$AM:$AM)/($AA143+SUMIF('Plant BD'!$B:$B,$A143,'Plant BD'!$AM:$AM)),"")</f>
        <v/>
      </c>
      <c r="P143" s="145"/>
      <c r="Q143" s="146"/>
      <c r="R143" s="145" t="str">
        <f>IFERROR(1-SUMIF('Grid BD'!$B:$B,$A143,'Grid BD'!$AE:$AE)/($AA143+SUMIF('Grid BD'!$B:$B,$A143,'Grid BD'!$AE:$AE)),"")</f>
        <v/>
      </c>
      <c r="T143" s="146" t="str">
        <f>IFERROR(1-SUMIF(Tracker_BD!$H:$H,$A143,Tracker_BD!AI:AI)/$F143,"")</f>
        <v/>
      </c>
      <c r="U143" s="147" t="str">
        <f t="shared" si="9"/>
        <v/>
      </c>
      <c r="V143" s="147"/>
      <c r="W143" s="148" t="str">
        <f t="shared" si="10"/>
        <v/>
      </c>
      <c r="X143" s="143" t="str">
        <f>IFERROR(_xlfn.XLOOKUP($A143,'Raw Data'!$G:$G,'Raw Data'!$AB:$AB),"")</f>
        <v/>
      </c>
      <c r="Y143" s="143" t="str">
        <f>IFERROR(_xlfn.XLOOKUP($A143,'Raw Data'!$G:$G,'Raw Data'!AC:AC),"")</f>
        <v/>
      </c>
      <c r="Z143" s="143" t="str">
        <f>IFERROR(_xlfn.XLOOKUP($A143,'Raw Data'!$G:$G,'Raw Data'!AD:AD),"")</f>
        <v/>
      </c>
      <c r="AA143" s="143" t="str">
        <f>IFERROR(_xlfn.XLOOKUP($A143,'Raw Data'!$G:$G,'Raw Data'!AE:AE)*(1+(_xlfn.XLOOKUP(Table13[[#This Row],[Month Year]],JMR!$A:$A,JMR!$J:$J))),"")</f>
        <v/>
      </c>
      <c r="AB143" s="143" t="str">
        <f>IFERROR(_xlfn.XLOOKUP($A143,'Raw Data'!$G:$G,'Raw Data'!$H:$H),"")</f>
        <v/>
      </c>
      <c r="AC143" s="149">
        <f>IFERROR(_xlfn.XLOOKUP($D143,'Modelling New'!$D:$D,'Modelling New'!$P:$P),"")</f>
        <v>4.7713784612903236</v>
      </c>
      <c r="AD143" s="143">
        <f>IFERROR(_xlfn.XLOOKUP($D143,'Modelling New'!$D:$D,'Modelling New'!$T:$T)*1000,"")</f>
        <v>42082.405130697269</v>
      </c>
      <c r="AE143" s="148">
        <f>IFERROR(_xlfn.XLOOKUP($D143,'Modelling New'!$D:$D,'Modelling New'!$O:$O),"")</f>
        <v>0.75253911025234577</v>
      </c>
      <c r="AF143" s="148">
        <f>IFERROR(_xlfn.XLOOKUP($D143,'Modelling New'!$D:$D,'Modelling New'!$W:$W),"")</f>
        <v>0.1496103709140261</v>
      </c>
      <c r="AG143" s="148">
        <f>IFERROR(_xlfn.XLOOKUP($D143,'Modelling New'!$D:$D,'Modelling New'!AE:AE),"")</f>
        <v>0.995</v>
      </c>
      <c r="AH143" s="148">
        <f>IFERROR(_xlfn.XLOOKUP($D143,'Modelling New'!$D:$D,'Modelling New'!AF:AF),"")</f>
        <v>0.98550000000000004</v>
      </c>
      <c r="AN143" s="145"/>
      <c r="AO143" s="148"/>
      <c r="AP143" s="148"/>
      <c r="AQ143" s="148"/>
      <c r="AR143" s="143">
        <f>IFERROR(_xlfn.XLOOKUP($D143,'Modelling New'!$D:$D,'Modelling New'!$N:$N),"")</f>
        <v>11.72</v>
      </c>
      <c r="AT143" s="143" t="str">
        <f>IFERROR(_xlfn.XLOOKUP(Table13[[#This Row],[Date]],'Raw Data'!$G:$G,'Raw Data'!$AJ:$AJ),"")</f>
        <v/>
      </c>
      <c r="AU143" s="143">
        <f>IFERROR(_xlfn.XLOOKUP(Table13[[#This Row],[Month Year]],'Modelling New'!$D:$D,'Modelling New'!$AO:$AO),"")</f>
        <v>10</v>
      </c>
      <c r="AV143" s="143"/>
    </row>
    <row r="144" spans="1:48">
      <c r="A144" s="142">
        <f t="shared" si="11"/>
        <v>45887</v>
      </c>
      <c r="B144" s="143">
        <f>YEAR(Table13[[#This Row],[Date]])+IF(MONTH(Table13[[#This Row],[Date]])&gt;=4,1,0)</f>
        <v>2026</v>
      </c>
      <c r="C144" s="116">
        <f>YEAR(Table13[[#This Row],[Date]])</f>
        <v>2025</v>
      </c>
      <c r="D144" s="144">
        <f>Table13[[#This Row],[Date]]-DAY(Table13[[#This Row],[Date]])+1</f>
        <v>45870</v>
      </c>
      <c r="E144" s="116">
        <f t="shared" si="8"/>
        <v>31</v>
      </c>
      <c r="F144" s="117" t="str">
        <f>IFERROR(_xlfn.XLOOKUP($A144,'Raw Data'!$G:$G,'Raw Data'!$AH:$AH),"")</f>
        <v/>
      </c>
      <c r="G144" s="118" t="str">
        <f>IFERROR(_xlfn.XLOOKUP($A144,'Raw Data'!$G:$G,'Raw Data'!$S:$S)/1000,"")</f>
        <v/>
      </c>
      <c r="H144" s="118"/>
      <c r="I144" s="118" t="str">
        <f>IFERROR(_xlfn.XLOOKUP($A144,'Raw Data'!$G:$G,'Raw Data'!$AF:$AF)/1000,"")</f>
        <v/>
      </c>
      <c r="J144" s="118"/>
      <c r="K144" s="118" t="str">
        <f>IFERROR(_xlfn.XLOOKUP($A144,'Raw Data'!$G:$G,'Raw Data'!W:W),"")</f>
        <v/>
      </c>
      <c r="L144" s="118" t="str">
        <f>IFERROR(_xlfn.XLOOKUP($A144,'Raw Data'!$G:$G,'Raw Data'!X:X),"")</f>
        <v/>
      </c>
      <c r="M144" s="118" t="str">
        <f>IFERROR(_xlfn.XLOOKUP($A144,'Raw Data'!$G:$G,'Raw Data'!Y:Y),"")</f>
        <v/>
      </c>
      <c r="N144" s="118" t="str">
        <f>IFERROR(_xlfn.XLOOKUP($A144,'Raw Data'!$G:$G,'Raw Data'!Z:Z),"")</f>
        <v/>
      </c>
      <c r="O144" s="145" t="str">
        <f>IFERROR(1-SUMIF('Plant BD'!$B:$B,$A144,'Plant BD'!$AM:$AM)/($AA144+SUMIF('Plant BD'!$B:$B,$A144,'Plant BD'!$AM:$AM)),"")</f>
        <v/>
      </c>
      <c r="P144" s="145"/>
      <c r="Q144" s="146"/>
      <c r="R144" s="145" t="str">
        <f>IFERROR(1-SUMIF('Grid BD'!$B:$B,$A144,'Grid BD'!$AE:$AE)/($AA144+SUMIF('Grid BD'!$B:$B,$A144,'Grid BD'!$AE:$AE)),"")</f>
        <v/>
      </c>
      <c r="T144" s="146" t="str">
        <f>IFERROR(1-SUMIF(Tracker_BD!$H:$H,$A144,Tracker_BD!AI:AI)/$F144,"")</f>
        <v/>
      </c>
      <c r="U144" s="147" t="str">
        <f t="shared" si="9"/>
        <v/>
      </c>
      <c r="V144" s="147"/>
      <c r="W144" s="148" t="str">
        <f t="shared" si="10"/>
        <v/>
      </c>
      <c r="X144" s="143" t="str">
        <f>IFERROR(_xlfn.XLOOKUP($A144,'Raw Data'!$G:$G,'Raw Data'!$AB:$AB),"")</f>
        <v/>
      </c>
      <c r="Y144" s="143" t="str">
        <f>IFERROR(_xlfn.XLOOKUP($A144,'Raw Data'!$G:$G,'Raw Data'!AC:AC),"")</f>
        <v/>
      </c>
      <c r="Z144" s="143" t="str">
        <f>IFERROR(_xlfn.XLOOKUP($A144,'Raw Data'!$G:$G,'Raw Data'!AD:AD),"")</f>
        <v/>
      </c>
      <c r="AA144" s="143" t="str">
        <f>IFERROR(_xlfn.XLOOKUP($A144,'Raw Data'!$G:$G,'Raw Data'!AE:AE)*(1+(_xlfn.XLOOKUP(Table13[[#This Row],[Month Year]],JMR!$A:$A,JMR!$J:$J))),"")</f>
        <v/>
      </c>
      <c r="AB144" s="143" t="str">
        <f>IFERROR(_xlfn.XLOOKUP($A144,'Raw Data'!$G:$G,'Raw Data'!$H:$H),"")</f>
        <v/>
      </c>
      <c r="AC144" s="149">
        <f>IFERROR(_xlfn.XLOOKUP($D144,'Modelling New'!$D:$D,'Modelling New'!$P:$P),"")</f>
        <v>4.7713784612903236</v>
      </c>
      <c r="AD144" s="143">
        <f>IFERROR(_xlfn.XLOOKUP($D144,'Modelling New'!$D:$D,'Modelling New'!$T:$T)*1000,"")</f>
        <v>42082.405130697269</v>
      </c>
      <c r="AE144" s="148">
        <f>IFERROR(_xlfn.XLOOKUP($D144,'Modelling New'!$D:$D,'Modelling New'!$O:$O),"")</f>
        <v>0.75253911025234577</v>
      </c>
      <c r="AF144" s="148">
        <f>IFERROR(_xlfn.XLOOKUP($D144,'Modelling New'!$D:$D,'Modelling New'!$W:$W),"")</f>
        <v>0.1496103709140261</v>
      </c>
      <c r="AG144" s="148">
        <f>IFERROR(_xlfn.XLOOKUP($D144,'Modelling New'!$D:$D,'Modelling New'!AE:AE),"")</f>
        <v>0.995</v>
      </c>
      <c r="AH144" s="148">
        <f>IFERROR(_xlfn.XLOOKUP($D144,'Modelling New'!$D:$D,'Modelling New'!AF:AF),"")</f>
        <v>0.98550000000000004</v>
      </c>
      <c r="AN144" s="145"/>
      <c r="AO144" s="148"/>
      <c r="AP144" s="148"/>
      <c r="AQ144" s="148"/>
      <c r="AR144" s="143">
        <f>IFERROR(_xlfn.XLOOKUP($D144,'Modelling New'!$D:$D,'Modelling New'!$N:$N),"")</f>
        <v>11.72</v>
      </c>
      <c r="AT144" s="143" t="str">
        <f>IFERROR(_xlfn.XLOOKUP(Table13[[#This Row],[Date]],'Raw Data'!$G:$G,'Raw Data'!$AJ:$AJ),"")</f>
        <v/>
      </c>
      <c r="AU144" s="143">
        <f>IFERROR(_xlfn.XLOOKUP(Table13[[#This Row],[Month Year]],'Modelling New'!$D:$D,'Modelling New'!$AO:$AO),"")</f>
        <v>10</v>
      </c>
      <c r="AV144" s="143"/>
    </row>
    <row r="145" spans="1:48">
      <c r="A145" s="142">
        <f t="shared" si="11"/>
        <v>45888</v>
      </c>
      <c r="B145" s="143">
        <f>YEAR(Table13[[#This Row],[Date]])+IF(MONTH(Table13[[#This Row],[Date]])&gt;=4,1,0)</f>
        <v>2026</v>
      </c>
      <c r="C145" s="116">
        <f>YEAR(Table13[[#This Row],[Date]])</f>
        <v>2025</v>
      </c>
      <c r="D145" s="144">
        <f>Table13[[#This Row],[Date]]-DAY(Table13[[#This Row],[Date]])+1</f>
        <v>45870</v>
      </c>
      <c r="E145" s="116">
        <f t="shared" si="8"/>
        <v>31</v>
      </c>
      <c r="F145" s="117" t="str">
        <f>IFERROR(_xlfn.XLOOKUP($A145,'Raw Data'!$G:$G,'Raw Data'!$AH:$AH),"")</f>
        <v/>
      </c>
      <c r="G145" s="118" t="str">
        <f>IFERROR(_xlfn.XLOOKUP($A145,'Raw Data'!$G:$G,'Raw Data'!$S:$S)/1000,"")</f>
        <v/>
      </c>
      <c r="H145" s="118"/>
      <c r="I145" s="118" t="str">
        <f>IFERROR(_xlfn.XLOOKUP($A145,'Raw Data'!$G:$G,'Raw Data'!$AF:$AF)/1000,"")</f>
        <v/>
      </c>
      <c r="J145" s="118"/>
      <c r="K145" s="118" t="str">
        <f>IFERROR(_xlfn.XLOOKUP($A145,'Raw Data'!$G:$G,'Raw Data'!W:W),"")</f>
        <v/>
      </c>
      <c r="L145" s="118" t="str">
        <f>IFERROR(_xlfn.XLOOKUP($A145,'Raw Data'!$G:$G,'Raw Data'!X:X),"")</f>
        <v/>
      </c>
      <c r="M145" s="118" t="str">
        <f>IFERROR(_xlfn.XLOOKUP($A145,'Raw Data'!$G:$G,'Raw Data'!Y:Y),"")</f>
        <v/>
      </c>
      <c r="N145" s="118" t="str">
        <f>IFERROR(_xlfn.XLOOKUP($A145,'Raw Data'!$G:$G,'Raw Data'!Z:Z),"")</f>
        <v/>
      </c>
      <c r="O145" s="145" t="str">
        <f>IFERROR(1-SUMIF('Plant BD'!$B:$B,$A145,'Plant BD'!$AM:$AM)/($AA145+SUMIF('Plant BD'!$B:$B,$A145,'Plant BD'!$AM:$AM)),"")</f>
        <v/>
      </c>
      <c r="P145" s="145"/>
      <c r="Q145" s="146"/>
      <c r="R145" s="145" t="str">
        <f>IFERROR(1-SUMIF('Grid BD'!$B:$B,$A145,'Grid BD'!$AE:$AE)/($AA145+SUMIF('Grid BD'!$B:$B,$A145,'Grid BD'!$AE:$AE)),"")</f>
        <v/>
      </c>
      <c r="T145" s="146" t="str">
        <f>IFERROR(1-SUMIF(Tracker_BD!$H:$H,$A145,Tracker_BD!AI:AI)/$F145,"")</f>
        <v/>
      </c>
      <c r="U145" s="147" t="str">
        <f t="shared" si="9"/>
        <v/>
      </c>
      <c r="V145" s="147"/>
      <c r="W145" s="148" t="str">
        <f t="shared" si="10"/>
        <v/>
      </c>
      <c r="X145" s="143" t="str">
        <f>IFERROR(_xlfn.XLOOKUP($A145,'Raw Data'!$G:$G,'Raw Data'!$AB:$AB),"")</f>
        <v/>
      </c>
      <c r="Y145" s="143" t="str">
        <f>IFERROR(_xlfn.XLOOKUP($A145,'Raw Data'!$G:$G,'Raw Data'!AC:AC),"")</f>
        <v/>
      </c>
      <c r="Z145" s="143" t="str">
        <f>IFERROR(_xlfn.XLOOKUP($A145,'Raw Data'!$G:$G,'Raw Data'!AD:AD),"")</f>
        <v/>
      </c>
      <c r="AA145" s="143" t="str">
        <f>IFERROR(_xlfn.XLOOKUP($A145,'Raw Data'!$G:$G,'Raw Data'!AE:AE)*(1+(_xlfn.XLOOKUP(Table13[[#This Row],[Month Year]],JMR!$A:$A,JMR!$J:$J))),"")</f>
        <v/>
      </c>
      <c r="AB145" s="143" t="str">
        <f>IFERROR(_xlfn.XLOOKUP($A145,'Raw Data'!$G:$G,'Raw Data'!$H:$H),"")</f>
        <v/>
      </c>
      <c r="AC145" s="149">
        <f>IFERROR(_xlfn.XLOOKUP($D145,'Modelling New'!$D:$D,'Modelling New'!$P:$P),"")</f>
        <v>4.7713784612903236</v>
      </c>
      <c r="AD145" s="143">
        <f>IFERROR(_xlfn.XLOOKUP($D145,'Modelling New'!$D:$D,'Modelling New'!$T:$T)*1000,"")</f>
        <v>42082.405130697269</v>
      </c>
      <c r="AE145" s="148">
        <f>IFERROR(_xlfn.XLOOKUP($D145,'Modelling New'!$D:$D,'Modelling New'!$O:$O),"")</f>
        <v>0.75253911025234577</v>
      </c>
      <c r="AF145" s="148">
        <f>IFERROR(_xlfn.XLOOKUP($D145,'Modelling New'!$D:$D,'Modelling New'!$W:$W),"")</f>
        <v>0.1496103709140261</v>
      </c>
      <c r="AG145" s="148">
        <f>IFERROR(_xlfn.XLOOKUP($D145,'Modelling New'!$D:$D,'Modelling New'!AE:AE),"")</f>
        <v>0.995</v>
      </c>
      <c r="AH145" s="148">
        <f>IFERROR(_xlfn.XLOOKUP($D145,'Modelling New'!$D:$D,'Modelling New'!AF:AF),"")</f>
        <v>0.98550000000000004</v>
      </c>
      <c r="AN145" s="145"/>
      <c r="AO145" s="148"/>
      <c r="AP145" s="148"/>
      <c r="AQ145" s="148"/>
      <c r="AR145" s="143">
        <f>IFERROR(_xlfn.XLOOKUP($D145,'Modelling New'!$D:$D,'Modelling New'!$N:$N),"")</f>
        <v>11.72</v>
      </c>
      <c r="AT145" s="143" t="str">
        <f>IFERROR(_xlfn.XLOOKUP(Table13[[#This Row],[Date]],'Raw Data'!$G:$G,'Raw Data'!$AJ:$AJ),"")</f>
        <v/>
      </c>
      <c r="AU145" s="143">
        <f>IFERROR(_xlfn.XLOOKUP(Table13[[#This Row],[Month Year]],'Modelling New'!$D:$D,'Modelling New'!$AO:$AO),"")</f>
        <v>10</v>
      </c>
      <c r="AV145" s="143"/>
    </row>
    <row r="146" spans="1:48">
      <c r="A146" s="142">
        <f t="shared" si="11"/>
        <v>45889</v>
      </c>
      <c r="B146" s="143">
        <f>YEAR(Table13[[#This Row],[Date]])+IF(MONTH(Table13[[#This Row],[Date]])&gt;=4,1,0)</f>
        <v>2026</v>
      </c>
      <c r="C146" s="116">
        <f>YEAR(Table13[[#This Row],[Date]])</f>
        <v>2025</v>
      </c>
      <c r="D146" s="144">
        <f>Table13[[#This Row],[Date]]-DAY(Table13[[#This Row],[Date]])+1</f>
        <v>45870</v>
      </c>
      <c r="E146" s="116">
        <f t="shared" si="8"/>
        <v>31</v>
      </c>
      <c r="F146" s="117" t="str">
        <f>IFERROR(_xlfn.XLOOKUP($A146,'Raw Data'!$G:$G,'Raw Data'!$AH:$AH),"")</f>
        <v/>
      </c>
      <c r="G146" s="118" t="str">
        <f>IFERROR(_xlfn.XLOOKUP($A146,'Raw Data'!$G:$G,'Raw Data'!$S:$S)/1000,"")</f>
        <v/>
      </c>
      <c r="H146" s="118"/>
      <c r="I146" s="118" t="str">
        <f>IFERROR(_xlfn.XLOOKUP($A146,'Raw Data'!$G:$G,'Raw Data'!$AF:$AF)/1000,"")</f>
        <v/>
      </c>
      <c r="J146" s="118"/>
      <c r="K146" s="118" t="str">
        <f>IFERROR(_xlfn.XLOOKUP($A146,'Raw Data'!$G:$G,'Raw Data'!W:W),"")</f>
        <v/>
      </c>
      <c r="L146" s="118" t="str">
        <f>IFERROR(_xlfn.XLOOKUP($A146,'Raw Data'!$G:$G,'Raw Data'!X:X),"")</f>
        <v/>
      </c>
      <c r="M146" s="118" t="str">
        <f>IFERROR(_xlfn.XLOOKUP($A146,'Raw Data'!$G:$G,'Raw Data'!Y:Y),"")</f>
        <v/>
      </c>
      <c r="N146" s="118" t="str">
        <f>IFERROR(_xlfn.XLOOKUP($A146,'Raw Data'!$G:$G,'Raw Data'!Z:Z),"")</f>
        <v/>
      </c>
      <c r="O146" s="145" t="str">
        <f>IFERROR(1-SUMIF('Plant BD'!$B:$B,$A146,'Plant BD'!$AM:$AM)/($AA146+SUMIF('Plant BD'!$B:$B,$A146,'Plant BD'!$AM:$AM)),"")</f>
        <v/>
      </c>
      <c r="P146" s="145"/>
      <c r="Q146" s="146"/>
      <c r="R146" s="145" t="str">
        <f>IFERROR(1-SUMIF('Grid BD'!$B:$B,$A146,'Grid BD'!$AE:$AE)/($AA146+SUMIF('Grid BD'!$B:$B,$A146,'Grid BD'!$AE:$AE)),"")</f>
        <v/>
      </c>
      <c r="T146" s="146" t="str">
        <f>IFERROR(1-SUMIF(Tracker_BD!$H:$H,$A146,Tracker_BD!AI:AI)/$F146,"")</f>
        <v/>
      </c>
      <c r="U146" s="147" t="str">
        <f t="shared" si="9"/>
        <v/>
      </c>
      <c r="V146" s="147"/>
      <c r="W146" s="148" t="str">
        <f t="shared" si="10"/>
        <v/>
      </c>
      <c r="X146" s="143" t="str">
        <f>IFERROR(_xlfn.XLOOKUP($A146,'Raw Data'!$G:$G,'Raw Data'!$AB:$AB),"")</f>
        <v/>
      </c>
      <c r="Y146" s="143" t="str">
        <f>IFERROR(_xlfn.XLOOKUP($A146,'Raw Data'!$G:$G,'Raw Data'!AC:AC),"")</f>
        <v/>
      </c>
      <c r="Z146" s="143" t="str">
        <f>IFERROR(_xlfn.XLOOKUP($A146,'Raw Data'!$G:$G,'Raw Data'!AD:AD),"")</f>
        <v/>
      </c>
      <c r="AA146" s="143" t="str">
        <f>IFERROR(_xlfn.XLOOKUP($A146,'Raw Data'!$G:$G,'Raw Data'!AE:AE)*(1+(_xlfn.XLOOKUP(Table13[[#This Row],[Month Year]],JMR!$A:$A,JMR!$J:$J))),"")</f>
        <v/>
      </c>
      <c r="AB146" s="143" t="str">
        <f>IFERROR(_xlfn.XLOOKUP($A146,'Raw Data'!$G:$G,'Raw Data'!$H:$H),"")</f>
        <v/>
      </c>
      <c r="AC146" s="149">
        <f>IFERROR(_xlfn.XLOOKUP($D146,'Modelling New'!$D:$D,'Modelling New'!$P:$P),"")</f>
        <v>4.7713784612903236</v>
      </c>
      <c r="AD146" s="143">
        <f>IFERROR(_xlfn.XLOOKUP($D146,'Modelling New'!$D:$D,'Modelling New'!$T:$T)*1000,"")</f>
        <v>42082.405130697269</v>
      </c>
      <c r="AE146" s="148">
        <f>IFERROR(_xlfn.XLOOKUP($D146,'Modelling New'!$D:$D,'Modelling New'!$O:$O),"")</f>
        <v>0.75253911025234577</v>
      </c>
      <c r="AF146" s="148">
        <f>IFERROR(_xlfn.XLOOKUP($D146,'Modelling New'!$D:$D,'Modelling New'!$W:$W),"")</f>
        <v>0.1496103709140261</v>
      </c>
      <c r="AG146" s="148">
        <f>IFERROR(_xlfn.XLOOKUP($D146,'Modelling New'!$D:$D,'Modelling New'!AE:AE),"")</f>
        <v>0.995</v>
      </c>
      <c r="AH146" s="148">
        <f>IFERROR(_xlfn.XLOOKUP($D146,'Modelling New'!$D:$D,'Modelling New'!AF:AF),"")</f>
        <v>0.98550000000000004</v>
      </c>
      <c r="AN146" s="145"/>
      <c r="AO146" s="148"/>
      <c r="AP146" s="148"/>
      <c r="AQ146" s="148"/>
      <c r="AR146" s="143">
        <f>IFERROR(_xlfn.XLOOKUP($D146,'Modelling New'!$D:$D,'Modelling New'!$N:$N),"")</f>
        <v>11.72</v>
      </c>
      <c r="AT146" s="143" t="str">
        <f>IFERROR(_xlfn.XLOOKUP(Table13[[#This Row],[Date]],'Raw Data'!$G:$G,'Raw Data'!$AJ:$AJ),"")</f>
        <v/>
      </c>
      <c r="AU146" s="143">
        <f>IFERROR(_xlfn.XLOOKUP(Table13[[#This Row],[Month Year]],'Modelling New'!$D:$D,'Modelling New'!$AO:$AO),"")</f>
        <v>10</v>
      </c>
      <c r="AV146" s="143"/>
    </row>
    <row r="147" spans="1:48">
      <c r="A147" s="142">
        <f t="shared" si="11"/>
        <v>45890</v>
      </c>
      <c r="B147" s="143">
        <f>YEAR(Table13[[#This Row],[Date]])+IF(MONTH(Table13[[#This Row],[Date]])&gt;=4,1,0)</f>
        <v>2026</v>
      </c>
      <c r="C147" s="116">
        <f>YEAR(Table13[[#This Row],[Date]])</f>
        <v>2025</v>
      </c>
      <c r="D147" s="144">
        <f>Table13[[#This Row],[Date]]-DAY(Table13[[#This Row],[Date]])+1</f>
        <v>45870</v>
      </c>
      <c r="E147" s="116">
        <f t="shared" si="8"/>
        <v>31</v>
      </c>
      <c r="F147" s="117" t="str">
        <f>IFERROR(_xlfn.XLOOKUP($A147,'Raw Data'!$G:$G,'Raw Data'!$AH:$AH),"")</f>
        <v/>
      </c>
      <c r="G147" s="118" t="str">
        <f>IFERROR(_xlfn.XLOOKUP($A147,'Raw Data'!$G:$G,'Raw Data'!$S:$S)/1000,"")</f>
        <v/>
      </c>
      <c r="H147" s="118"/>
      <c r="I147" s="118" t="str">
        <f>IFERROR(_xlfn.XLOOKUP($A147,'Raw Data'!$G:$G,'Raw Data'!$AF:$AF)/1000,"")</f>
        <v/>
      </c>
      <c r="J147" s="118"/>
      <c r="K147" s="118" t="str">
        <f>IFERROR(_xlfn.XLOOKUP($A147,'Raw Data'!$G:$G,'Raw Data'!W:W),"")</f>
        <v/>
      </c>
      <c r="L147" s="118" t="str">
        <f>IFERROR(_xlfn.XLOOKUP($A147,'Raw Data'!$G:$G,'Raw Data'!X:X),"")</f>
        <v/>
      </c>
      <c r="M147" s="118" t="str">
        <f>IFERROR(_xlfn.XLOOKUP($A147,'Raw Data'!$G:$G,'Raw Data'!Y:Y),"")</f>
        <v/>
      </c>
      <c r="N147" s="118" t="str">
        <f>IFERROR(_xlfn.XLOOKUP($A147,'Raw Data'!$G:$G,'Raw Data'!Z:Z),"")</f>
        <v/>
      </c>
      <c r="O147" s="145" t="str">
        <f>IFERROR(1-SUMIF('Plant BD'!$B:$B,$A147,'Plant BD'!$AM:$AM)/($AA147+SUMIF('Plant BD'!$B:$B,$A147,'Plant BD'!$AM:$AM)),"")</f>
        <v/>
      </c>
      <c r="P147" s="145"/>
      <c r="Q147" s="146"/>
      <c r="R147" s="145" t="str">
        <f>IFERROR(1-SUMIF('Grid BD'!$B:$B,$A147,'Grid BD'!$AE:$AE)/($AA147+SUMIF('Grid BD'!$B:$B,$A147,'Grid BD'!$AE:$AE)),"")</f>
        <v/>
      </c>
      <c r="T147" s="146" t="str">
        <f>IFERROR(1-SUMIF(Tracker_BD!$H:$H,$A147,Tracker_BD!AI:AI)/$F147,"")</f>
        <v/>
      </c>
      <c r="U147" s="147" t="str">
        <f t="shared" si="9"/>
        <v/>
      </c>
      <c r="V147" s="147"/>
      <c r="W147" s="148" t="str">
        <f t="shared" si="10"/>
        <v/>
      </c>
      <c r="X147" s="143" t="str">
        <f>IFERROR(_xlfn.XLOOKUP($A147,'Raw Data'!$G:$G,'Raw Data'!$AB:$AB),"")</f>
        <v/>
      </c>
      <c r="Y147" s="143" t="str">
        <f>IFERROR(_xlfn.XLOOKUP($A147,'Raw Data'!$G:$G,'Raw Data'!AC:AC),"")</f>
        <v/>
      </c>
      <c r="Z147" s="143" t="str">
        <f>IFERROR(_xlfn.XLOOKUP($A147,'Raw Data'!$G:$G,'Raw Data'!AD:AD),"")</f>
        <v/>
      </c>
      <c r="AA147" s="143" t="str">
        <f>IFERROR(_xlfn.XLOOKUP($A147,'Raw Data'!$G:$G,'Raw Data'!AE:AE)*(1+(_xlfn.XLOOKUP(Table13[[#This Row],[Month Year]],JMR!$A:$A,JMR!$J:$J))),"")</f>
        <v/>
      </c>
      <c r="AB147" s="143" t="str">
        <f>IFERROR(_xlfn.XLOOKUP($A147,'Raw Data'!$G:$G,'Raw Data'!$H:$H),"")</f>
        <v/>
      </c>
      <c r="AC147" s="149">
        <f>IFERROR(_xlfn.XLOOKUP($D147,'Modelling New'!$D:$D,'Modelling New'!$P:$P),"")</f>
        <v>4.7713784612903236</v>
      </c>
      <c r="AD147" s="143">
        <f>IFERROR(_xlfn.XLOOKUP($D147,'Modelling New'!$D:$D,'Modelling New'!$T:$T)*1000,"")</f>
        <v>42082.405130697269</v>
      </c>
      <c r="AE147" s="148">
        <f>IFERROR(_xlfn.XLOOKUP($D147,'Modelling New'!$D:$D,'Modelling New'!$O:$O),"")</f>
        <v>0.75253911025234577</v>
      </c>
      <c r="AF147" s="148">
        <f>IFERROR(_xlfn.XLOOKUP($D147,'Modelling New'!$D:$D,'Modelling New'!$W:$W),"")</f>
        <v>0.1496103709140261</v>
      </c>
      <c r="AG147" s="148">
        <f>IFERROR(_xlfn.XLOOKUP($D147,'Modelling New'!$D:$D,'Modelling New'!AE:AE),"")</f>
        <v>0.995</v>
      </c>
      <c r="AH147" s="148">
        <f>IFERROR(_xlfn.XLOOKUP($D147,'Modelling New'!$D:$D,'Modelling New'!AF:AF),"")</f>
        <v>0.98550000000000004</v>
      </c>
      <c r="AN147" s="145"/>
      <c r="AO147" s="148"/>
      <c r="AP147" s="148"/>
      <c r="AQ147" s="148"/>
      <c r="AR147" s="143">
        <f>IFERROR(_xlfn.XLOOKUP($D147,'Modelling New'!$D:$D,'Modelling New'!$N:$N),"")</f>
        <v>11.72</v>
      </c>
      <c r="AT147" s="143" t="str">
        <f>IFERROR(_xlfn.XLOOKUP(Table13[[#This Row],[Date]],'Raw Data'!$G:$G,'Raw Data'!$AJ:$AJ),"")</f>
        <v/>
      </c>
      <c r="AU147" s="143">
        <f>IFERROR(_xlfn.XLOOKUP(Table13[[#This Row],[Month Year]],'Modelling New'!$D:$D,'Modelling New'!$AO:$AO),"")</f>
        <v>10</v>
      </c>
      <c r="AV147" s="143"/>
    </row>
    <row r="148" spans="1:48">
      <c r="A148" s="142">
        <f t="shared" si="11"/>
        <v>45891</v>
      </c>
      <c r="B148" s="143">
        <f>YEAR(Table13[[#This Row],[Date]])+IF(MONTH(Table13[[#This Row],[Date]])&gt;=4,1,0)</f>
        <v>2026</v>
      </c>
      <c r="C148" s="116">
        <f>YEAR(Table13[[#This Row],[Date]])</f>
        <v>2025</v>
      </c>
      <c r="D148" s="144">
        <f>Table13[[#This Row],[Date]]-DAY(Table13[[#This Row],[Date]])+1</f>
        <v>45870</v>
      </c>
      <c r="E148" s="116">
        <f t="shared" si="8"/>
        <v>31</v>
      </c>
      <c r="F148" s="117" t="str">
        <f>IFERROR(_xlfn.XLOOKUP($A148,'Raw Data'!$G:$G,'Raw Data'!$AH:$AH),"")</f>
        <v/>
      </c>
      <c r="G148" s="118" t="str">
        <f>IFERROR(_xlfn.XLOOKUP($A148,'Raw Data'!$G:$G,'Raw Data'!$S:$S)/1000,"")</f>
        <v/>
      </c>
      <c r="H148" s="118"/>
      <c r="I148" s="118" t="str">
        <f>IFERROR(_xlfn.XLOOKUP($A148,'Raw Data'!$G:$G,'Raw Data'!$AF:$AF)/1000,"")</f>
        <v/>
      </c>
      <c r="J148" s="118"/>
      <c r="K148" s="118" t="str">
        <f>IFERROR(_xlfn.XLOOKUP($A148,'Raw Data'!$G:$G,'Raw Data'!W:W),"")</f>
        <v/>
      </c>
      <c r="L148" s="118" t="str">
        <f>IFERROR(_xlfn.XLOOKUP($A148,'Raw Data'!$G:$G,'Raw Data'!X:X),"")</f>
        <v/>
      </c>
      <c r="M148" s="118" t="str">
        <f>IFERROR(_xlfn.XLOOKUP($A148,'Raw Data'!$G:$G,'Raw Data'!Y:Y),"")</f>
        <v/>
      </c>
      <c r="N148" s="118" t="str">
        <f>IFERROR(_xlfn.XLOOKUP($A148,'Raw Data'!$G:$G,'Raw Data'!Z:Z),"")</f>
        <v/>
      </c>
      <c r="O148" s="145" t="str">
        <f>IFERROR(1-SUMIF('Plant BD'!$B:$B,$A148,'Plant BD'!$AM:$AM)/($AA148+SUMIF('Plant BD'!$B:$B,$A148,'Plant BD'!$AM:$AM)),"")</f>
        <v/>
      </c>
      <c r="P148" s="145"/>
      <c r="Q148" s="146"/>
      <c r="R148" s="145" t="str">
        <f>IFERROR(1-SUMIF('Grid BD'!$B:$B,$A148,'Grid BD'!$AE:$AE)/($AA148+SUMIF('Grid BD'!$B:$B,$A148,'Grid BD'!$AE:$AE)),"")</f>
        <v/>
      </c>
      <c r="T148" s="146" t="str">
        <f>IFERROR(1-SUMIF(Tracker_BD!$H:$H,$A148,Tracker_BD!AI:AI)/$F148,"")</f>
        <v/>
      </c>
      <c r="U148" s="147" t="str">
        <f t="shared" si="9"/>
        <v/>
      </c>
      <c r="V148" s="147"/>
      <c r="W148" s="148" t="str">
        <f t="shared" si="10"/>
        <v/>
      </c>
      <c r="X148" s="143" t="str">
        <f>IFERROR(_xlfn.XLOOKUP($A148,'Raw Data'!$G:$G,'Raw Data'!$AB:$AB),"")</f>
        <v/>
      </c>
      <c r="Y148" s="143" t="str">
        <f>IFERROR(_xlfn.XLOOKUP($A148,'Raw Data'!$G:$G,'Raw Data'!AC:AC),"")</f>
        <v/>
      </c>
      <c r="Z148" s="143" t="str">
        <f>IFERROR(_xlfn.XLOOKUP($A148,'Raw Data'!$G:$G,'Raw Data'!AD:AD),"")</f>
        <v/>
      </c>
      <c r="AA148" s="143" t="str">
        <f>IFERROR(_xlfn.XLOOKUP($A148,'Raw Data'!$G:$G,'Raw Data'!AE:AE)*(1+(_xlfn.XLOOKUP(Table13[[#This Row],[Month Year]],JMR!$A:$A,JMR!$J:$J))),"")</f>
        <v/>
      </c>
      <c r="AB148" s="143" t="str">
        <f>IFERROR(_xlfn.XLOOKUP($A148,'Raw Data'!$G:$G,'Raw Data'!$H:$H),"")</f>
        <v/>
      </c>
      <c r="AC148" s="149">
        <f>IFERROR(_xlfn.XLOOKUP($D148,'Modelling New'!$D:$D,'Modelling New'!$P:$P),"")</f>
        <v>4.7713784612903236</v>
      </c>
      <c r="AD148" s="143">
        <f>IFERROR(_xlfn.XLOOKUP($D148,'Modelling New'!$D:$D,'Modelling New'!$T:$T)*1000,"")</f>
        <v>42082.405130697269</v>
      </c>
      <c r="AE148" s="148">
        <f>IFERROR(_xlfn.XLOOKUP($D148,'Modelling New'!$D:$D,'Modelling New'!$O:$O),"")</f>
        <v>0.75253911025234577</v>
      </c>
      <c r="AF148" s="148">
        <f>IFERROR(_xlfn.XLOOKUP($D148,'Modelling New'!$D:$D,'Modelling New'!$W:$W),"")</f>
        <v>0.1496103709140261</v>
      </c>
      <c r="AG148" s="148">
        <f>IFERROR(_xlfn.XLOOKUP($D148,'Modelling New'!$D:$D,'Modelling New'!AE:AE),"")</f>
        <v>0.995</v>
      </c>
      <c r="AH148" s="148">
        <f>IFERROR(_xlfn.XLOOKUP($D148,'Modelling New'!$D:$D,'Modelling New'!AF:AF),"")</f>
        <v>0.98550000000000004</v>
      </c>
      <c r="AN148" s="145"/>
      <c r="AO148" s="148"/>
      <c r="AP148" s="148"/>
      <c r="AQ148" s="148"/>
      <c r="AR148" s="143">
        <f>IFERROR(_xlfn.XLOOKUP($D148,'Modelling New'!$D:$D,'Modelling New'!$N:$N),"")</f>
        <v>11.72</v>
      </c>
      <c r="AT148" s="143" t="str">
        <f>IFERROR(_xlfn.XLOOKUP(Table13[[#This Row],[Date]],'Raw Data'!$G:$G,'Raw Data'!$AJ:$AJ),"")</f>
        <v/>
      </c>
      <c r="AU148" s="143">
        <f>IFERROR(_xlfn.XLOOKUP(Table13[[#This Row],[Month Year]],'Modelling New'!$D:$D,'Modelling New'!$AO:$AO),"")</f>
        <v>10</v>
      </c>
      <c r="AV148" s="143"/>
    </row>
    <row r="149" spans="1:48">
      <c r="A149" s="142">
        <f t="shared" si="11"/>
        <v>45892</v>
      </c>
      <c r="B149" s="143">
        <f>YEAR(Table13[[#This Row],[Date]])+IF(MONTH(Table13[[#This Row],[Date]])&gt;=4,1,0)</f>
        <v>2026</v>
      </c>
      <c r="C149" s="116">
        <f>YEAR(Table13[[#This Row],[Date]])</f>
        <v>2025</v>
      </c>
      <c r="D149" s="144">
        <f>Table13[[#This Row],[Date]]-DAY(Table13[[#This Row],[Date]])+1</f>
        <v>45870</v>
      </c>
      <c r="E149" s="116">
        <f t="shared" si="8"/>
        <v>31</v>
      </c>
      <c r="F149" s="117" t="str">
        <f>IFERROR(_xlfn.XLOOKUP($A149,'Raw Data'!$G:$G,'Raw Data'!$AH:$AH),"")</f>
        <v/>
      </c>
      <c r="G149" s="118" t="str">
        <f>IFERROR(_xlfn.XLOOKUP($A149,'Raw Data'!$G:$G,'Raw Data'!$S:$S)/1000,"")</f>
        <v/>
      </c>
      <c r="H149" s="118"/>
      <c r="I149" s="118" t="str">
        <f>IFERROR(_xlfn.XLOOKUP($A149,'Raw Data'!$G:$G,'Raw Data'!$AF:$AF)/1000,"")</f>
        <v/>
      </c>
      <c r="J149" s="118"/>
      <c r="K149" s="118" t="str">
        <f>IFERROR(_xlfn.XLOOKUP($A149,'Raw Data'!$G:$G,'Raw Data'!W:W),"")</f>
        <v/>
      </c>
      <c r="L149" s="118" t="str">
        <f>IFERROR(_xlfn.XLOOKUP($A149,'Raw Data'!$G:$G,'Raw Data'!X:X),"")</f>
        <v/>
      </c>
      <c r="M149" s="118" t="str">
        <f>IFERROR(_xlfn.XLOOKUP($A149,'Raw Data'!$G:$G,'Raw Data'!Y:Y),"")</f>
        <v/>
      </c>
      <c r="N149" s="118" t="str">
        <f>IFERROR(_xlfn.XLOOKUP($A149,'Raw Data'!$G:$G,'Raw Data'!Z:Z),"")</f>
        <v/>
      </c>
      <c r="O149" s="145" t="str">
        <f>IFERROR(1-SUMIF('Plant BD'!$B:$B,$A149,'Plant BD'!$AM:$AM)/($AA149+SUMIF('Plant BD'!$B:$B,$A149,'Plant BD'!$AM:$AM)),"")</f>
        <v/>
      </c>
      <c r="P149" s="145"/>
      <c r="Q149" s="146"/>
      <c r="R149" s="145" t="str">
        <f>IFERROR(1-SUMIF('Grid BD'!$B:$B,$A149,'Grid BD'!$AE:$AE)/($AA149+SUMIF('Grid BD'!$B:$B,$A149,'Grid BD'!$AE:$AE)),"")</f>
        <v/>
      </c>
      <c r="T149" s="146" t="str">
        <f>IFERROR(1-SUMIF(Tracker_BD!$H:$H,$A149,Tracker_BD!AI:AI)/$F149,"")</f>
        <v/>
      </c>
      <c r="U149" s="147" t="str">
        <f t="shared" si="9"/>
        <v/>
      </c>
      <c r="V149" s="147"/>
      <c r="W149" s="148" t="str">
        <f t="shared" si="10"/>
        <v/>
      </c>
      <c r="X149" s="143" t="str">
        <f>IFERROR(_xlfn.XLOOKUP($A149,'Raw Data'!$G:$G,'Raw Data'!$AB:$AB),"")</f>
        <v/>
      </c>
      <c r="Y149" s="143" t="str">
        <f>IFERROR(_xlfn.XLOOKUP($A149,'Raw Data'!$G:$G,'Raw Data'!AC:AC),"")</f>
        <v/>
      </c>
      <c r="Z149" s="143" t="str">
        <f>IFERROR(_xlfn.XLOOKUP($A149,'Raw Data'!$G:$G,'Raw Data'!AD:AD),"")</f>
        <v/>
      </c>
      <c r="AA149" s="143" t="str">
        <f>IFERROR(_xlfn.XLOOKUP($A149,'Raw Data'!$G:$G,'Raw Data'!AE:AE)*(1+(_xlfn.XLOOKUP(Table13[[#This Row],[Month Year]],JMR!$A:$A,JMR!$J:$J))),"")</f>
        <v/>
      </c>
      <c r="AB149" s="143" t="str">
        <f>IFERROR(_xlfn.XLOOKUP($A149,'Raw Data'!$G:$G,'Raw Data'!$H:$H),"")</f>
        <v/>
      </c>
      <c r="AC149" s="149">
        <f>IFERROR(_xlfn.XLOOKUP($D149,'Modelling New'!$D:$D,'Modelling New'!$P:$P),"")</f>
        <v>4.7713784612903236</v>
      </c>
      <c r="AD149" s="143">
        <f>IFERROR(_xlfn.XLOOKUP($D149,'Modelling New'!$D:$D,'Modelling New'!$T:$T)*1000,"")</f>
        <v>42082.405130697269</v>
      </c>
      <c r="AE149" s="148">
        <f>IFERROR(_xlfn.XLOOKUP($D149,'Modelling New'!$D:$D,'Modelling New'!$O:$O),"")</f>
        <v>0.75253911025234577</v>
      </c>
      <c r="AF149" s="148">
        <f>IFERROR(_xlfn.XLOOKUP($D149,'Modelling New'!$D:$D,'Modelling New'!$W:$W),"")</f>
        <v>0.1496103709140261</v>
      </c>
      <c r="AG149" s="148">
        <f>IFERROR(_xlfn.XLOOKUP($D149,'Modelling New'!$D:$D,'Modelling New'!AE:AE),"")</f>
        <v>0.995</v>
      </c>
      <c r="AH149" s="148">
        <f>IFERROR(_xlfn.XLOOKUP($D149,'Modelling New'!$D:$D,'Modelling New'!AF:AF),"")</f>
        <v>0.98550000000000004</v>
      </c>
      <c r="AN149" s="145"/>
      <c r="AO149" s="148"/>
      <c r="AP149" s="148"/>
      <c r="AQ149" s="148"/>
      <c r="AR149" s="143">
        <f>IFERROR(_xlfn.XLOOKUP($D149,'Modelling New'!$D:$D,'Modelling New'!$N:$N),"")</f>
        <v>11.72</v>
      </c>
      <c r="AT149" s="143" t="str">
        <f>IFERROR(_xlfn.XLOOKUP(Table13[[#This Row],[Date]],'Raw Data'!$G:$G,'Raw Data'!$AJ:$AJ),"")</f>
        <v/>
      </c>
      <c r="AU149" s="143">
        <f>IFERROR(_xlfn.XLOOKUP(Table13[[#This Row],[Month Year]],'Modelling New'!$D:$D,'Modelling New'!$AO:$AO),"")</f>
        <v>10</v>
      </c>
      <c r="AV149" s="143"/>
    </row>
    <row r="150" spans="1:48">
      <c r="A150" s="142">
        <f t="shared" si="11"/>
        <v>45893</v>
      </c>
      <c r="B150" s="143">
        <f>YEAR(Table13[[#This Row],[Date]])+IF(MONTH(Table13[[#This Row],[Date]])&gt;=4,1,0)</f>
        <v>2026</v>
      </c>
      <c r="C150" s="116">
        <f>YEAR(Table13[[#This Row],[Date]])</f>
        <v>2025</v>
      </c>
      <c r="D150" s="144">
        <f>Table13[[#This Row],[Date]]-DAY(Table13[[#This Row],[Date]])+1</f>
        <v>45870</v>
      </c>
      <c r="E150" s="116">
        <f t="shared" si="8"/>
        <v>31</v>
      </c>
      <c r="F150" s="117" t="str">
        <f>IFERROR(_xlfn.XLOOKUP($A150,'Raw Data'!$G:$G,'Raw Data'!$AH:$AH),"")</f>
        <v/>
      </c>
      <c r="G150" s="118" t="str">
        <f>IFERROR(_xlfn.XLOOKUP($A150,'Raw Data'!$G:$G,'Raw Data'!$S:$S)/1000,"")</f>
        <v/>
      </c>
      <c r="H150" s="118"/>
      <c r="I150" s="118" t="str">
        <f>IFERROR(_xlfn.XLOOKUP($A150,'Raw Data'!$G:$G,'Raw Data'!$AF:$AF)/1000,"")</f>
        <v/>
      </c>
      <c r="J150" s="118"/>
      <c r="K150" s="118" t="str">
        <f>IFERROR(_xlfn.XLOOKUP($A150,'Raw Data'!$G:$G,'Raw Data'!W:W),"")</f>
        <v/>
      </c>
      <c r="L150" s="118" t="str">
        <f>IFERROR(_xlfn.XLOOKUP($A150,'Raw Data'!$G:$G,'Raw Data'!X:X),"")</f>
        <v/>
      </c>
      <c r="M150" s="118" t="str">
        <f>IFERROR(_xlfn.XLOOKUP($A150,'Raw Data'!$G:$G,'Raw Data'!Y:Y),"")</f>
        <v/>
      </c>
      <c r="N150" s="118" t="str">
        <f>IFERROR(_xlfn.XLOOKUP($A150,'Raw Data'!$G:$G,'Raw Data'!Z:Z),"")</f>
        <v/>
      </c>
      <c r="O150" s="145" t="str">
        <f>IFERROR(1-SUMIF('Plant BD'!$B:$B,$A150,'Plant BD'!$AM:$AM)/($AA150+SUMIF('Plant BD'!$B:$B,$A150,'Plant BD'!$AM:$AM)),"")</f>
        <v/>
      </c>
      <c r="P150" s="145"/>
      <c r="Q150" s="146"/>
      <c r="R150" s="145" t="str">
        <f>IFERROR(1-SUMIF('Grid BD'!$B:$B,$A150,'Grid BD'!$AE:$AE)/($AA150+SUMIF('Grid BD'!$B:$B,$A150,'Grid BD'!$AE:$AE)),"")</f>
        <v/>
      </c>
      <c r="T150" s="146" t="str">
        <f>IFERROR(1-SUMIF(Tracker_BD!$H:$H,$A150,Tracker_BD!AI:AI)/$F150,"")</f>
        <v/>
      </c>
      <c r="U150" s="147" t="str">
        <f t="shared" si="9"/>
        <v/>
      </c>
      <c r="V150" s="147"/>
      <c r="W150" s="148" t="str">
        <f t="shared" si="10"/>
        <v/>
      </c>
      <c r="X150" s="143" t="str">
        <f>IFERROR(_xlfn.XLOOKUP($A150,'Raw Data'!$G:$G,'Raw Data'!$AB:$AB),"")</f>
        <v/>
      </c>
      <c r="Y150" s="143" t="str">
        <f>IFERROR(_xlfn.XLOOKUP($A150,'Raw Data'!$G:$G,'Raw Data'!AC:AC),"")</f>
        <v/>
      </c>
      <c r="Z150" s="143" t="str">
        <f>IFERROR(_xlfn.XLOOKUP($A150,'Raw Data'!$G:$G,'Raw Data'!AD:AD),"")</f>
        <v/>
      </c>
      <c r="AA150" s="143" t="str">
        <f>IFERROR(_xlfn.XLOOKUP($A150,'Raw Data'!$G:$G,'Raw Data'!AE:AE)*(1+(_xlfn.XLOOKUP(Table13[[#This Row],[Month Year]],JMR!$A:$A,JMR!$J:$J))),"")</f>
        <v/>
      </c>
      <c r="AB150" s="143" t="str">
        <f>IFERROR(_xlfn.XLOOKUP($A150,'Raw Data'!$G:$G,'Raw Data'!$H:$H),"")</f>
        <v/>
      </c>
      <c r="AC150" s="149">
        <f>IFERROR(_xlfn.XLOOKUP($D150,'Modelling New'!$D:$D,'Modelling New'!$P:$P),"")</f>
        <v>4.7713784612903236</v>
      </c>
      <c r="AD150" s="143">
        <f>IFERROR(_xlfn.XLOOKUP($D150,'Modelling New'!$D:$D,'Modelling New'!$T:$T)*1000,"")</f>
        <v>42082.405130697269</v>
      </c>
      <c r="AE150" s="148">
        <f>IFERROR(_xlfn.XLOOKUP($D150,'Modelling New'!$D:$D,'Modelling New'!$O:$O),"")</f>
        <v>0.75253911025234577</v>
      </c>
      <c r="AF150" s="148">
        <f>IFERROR(_xlfn.XLOOKUP($D150,'Modelling New'!$D:$D,'Modelling New'!$W:$W),"")</f>
        <v>0.1496103709140261</v>
      </c>
      <c r="AG150" s="148">
        <f>IFERROR(_xlfn.XLOOKUP($D150,'Modelling New'!$D:$D,'Modelling New'!AE:AE),"")</f>
        <v>0.995</v>
      </c>
      <c r="AH150" s="148">
        <f>IFERROR(_xlfn.XLOOKUP($D150,'Modelling New'!$D:$D,'Modelling New'!AF:AF),"")</f>
        <v>0.98550000000000004</v>
      </c>
      <c r="AN150" s="145"/>
      <c r="AO150" s="148"/>
      <c r="AP150" s="148"/>
      <c r="AQ150" s="148"/>
      <c r="AR150" s="143">
        <f>IFERROR(_xlfn.XLOOKUP($D150,'Modelling New'!$D:$D,'Modelling New'!$N:$N),"")</f>
        <v>11.72</v>
      </c>
      <c r="AT150" s="143" t="str">
        <f>IFERROR(_xlfn.XLOOKUP(Table13[[#This Row],[Date]],'Raw Data'!$G:$G,'Raw Data'!$AJ:$AJ),"")</f>
        <v/>
      </c>
      <c r="AU150" s="143">
        <f>IFERROR(_xlfn.XLOOKUP(Table13[[#This Row],[Month Year]],'Modelling New'!$D:$D,'Modelling New'!$AO:$AO),"")</f>
        <v>10</v>
      </c>
      <c r="AV150" s="143"/>
    </row>
    <row r="151" spans="1:48">
      <c r="A151" s="142">
        <f t="shared" si="11"/>
        <v>45894</v>
      </c>
      <c r="B151" s="143">
        <f>YEAR(Table13[[#This Row],[Date]])+IF(MONTH(Table13[[#This Row],[Date]])&gt;=4,1,0)</f>
        <v>2026</v>
      </c>
      <c r="C151" s="116">
        <f>YEAR(Table13[[#This Row],[Date]])</f>
        <v>2025</v>
      </c>
      <c r="D151" s="144">
        <f>Table13[[#This Row],[Date]]-DAY(Table13[[#This Row],[Date]])+1</f>
        <v>45870</v>
      </c>
      <c r="E151" s="116">
        <f t="shared" si="8"/>
        <v>31</v>
      </c>
      <c r="F151" s="117" t="str">
        <f>IFERROR(_xlfn.XLOOKUP($A151,'Raw Data'!$G:$G,'Raw Data'!$AH:$AH),"")</f>
        <v/>
      </c>
      <c r="G151" s="118" t="str">
        <f>IFERROR(_xlfn.XLOOKUP($A151,'Raw Data'!$G:$G,'Raw Data'!$S:$S)/1000,"")</f>
        <v/>
      </c>
      <c r="H151" s="118"/>
      <c r="I151" s="118" t="str">
        <f>IFERROR(_xlfn.XLOOKUP($A151,'Raw Data'!$G:$G,'Raw Data'!$AF:$AF)/1000,"")</f>
        <v/>
      </c>
      <c r="J151" s="118"/>
      <c r="K151" s="118" t="str">
        <f>IFERROR(_xlfn.XLOOKUP($A151,'Raw Data'!$G:$G,'Raw Data'!W:W),"")</f>
        <v/>
      </c>
      <c r="L151" s="118" t="str">
        <f>IFERROR(_xlfn.XLOOKUP($A151,'Raw Data'!$G:$G,'Raw Data'!X:X),"")</f>
        <v/>
      </c>
      <c r="M151" s="118" t="str">
        <f>IFERROR(_xlfn.XLOOKUP($A151,'Raw Data'!$G:$G,'Raw Data'!Y:Y),"")</f>
        <v/>
      </c>
      <c r="N151" s="118" t="str">
        <f>IFERROR(_xlfn.XLOOKUP($A151,'Raw Data'!$G:$G,'Raw Data'!Z:Z),"")</f>
        <v/>
      </c>
      <c r="O151" s="145" t="str">
        <f>IFERROR(1-SUMIF('Plant BD'!$B:$B,$A151,'Plant BD'!$AM:$AM)/($AA151+SUMIF('Plant BD'!$B:$B,$A151,'Plant BD'!$AM:$AM)),"")</f>
        <v/>
      </c>
      <c r="P151" s="145"/>
      <c r="Q151" s="146"/>
      <c r="R151" s="145" t="str">
        <f>IFERROR(1-SUMIF('Grid BD'!$B:$B,$A151,'Grid BD'!$AE:$AE)/($AA151+SUMIF('Grid BD'!$B:$B,$A151,'Grid BD'!$AE:$AE)),"")</f>
        <v/>
      </c>
      <c r="T151" s="146" t="str">
        <f>IFERROR(1-SUMIF(Tracker_BD!$H:$H,$A151,Tracker_BD!AI:AI)/$F151,"")</f>
        <v/>
      </c>
      <c r="U151" s="147" t="str">
        <f t="shared" si="9"/>
        <v/>
      </c>
      <c r="V151" s="147"/>
      <c r="W151" s="148" t="str">
        <f t="shared" si="10"/>
        <v/>
      </c>
      <c r="X151" s="143" t="str">
        <f>IFERROR(_xlfn.XLOOKUP($A151,'Raw Data'!$G:$G,'Raw Data'!$AB:$AB),"")</f>
        <v/>
      </c>
      <c r="Y151" s="143" t="str">
        <f>IFERROR(_xlfn.XLOOKUP($A151,'Raw Data'!$G:$G,'Raw Data'!AC:AC),"")</f>
        <v/>
      </c>
      <c r="Z151" s="143" t="str">
        <f>IFERROR(_xlfn.XLOOKUP($A151,'Raw Data'!$G:$G,'Raw Data'!AD:AD),"")</f>
        <v/>
      </c>
      <c r="AA151" s="143" t="str">
        <f>IFERROR(_xlfn.XLOOKUP($A151,'Raw Data'!$G:$G,'Raw Data'!AE:AE)*(1+(_xlfn.XLOOKUP(Table13[[#This Row],[Month Year]],JMR!$A:$A,JMR!$J:$J))),"")</f>
        <v/>
      </c>
      <c r="AB151" s="143" t="str">
        <f>IFERROR(_xlfn.XLOOKUP($A151,'Raw Data'!$G:$G,'Raw Data'!$H:$H),"")</f>
        <v/>
      </c>
      <c r="AC151" s="149">
        <f>IFERROR(_xlfn.XLOOKUP($D151,'Modelling New'!$D:$D,'Modelling New'!$P:$P),"")</f>
        <v>4.7713784612903236</v>
      </c>
      <c r="AD151" s="143">
        <f>IFERROR(_xlfn.XLOOKUP($D151,'Modelling New'!$D:$D,'Modelling New'!$T:$T)*1000,"")</f>
        <v>42082.405130697269</v>
      </c>
      <c r="AE151" s="148">
        <f>IFERROR(_xlfn.XLOOKUP($D151,'Modelling New'!$D:$D,'Modelling New'!$O:$O),"")</f>
        <v>0.75253911025234577</v>
      </c>
      <c r="AF151" s="148">
        <f>IFERROR(_xlfn.XLOOKUP($D151,'Modelling New'!$D:$D,'Modelling New'!$W:$W),"")</f>
        <v>0.1496103709140261</v>
      </c>
      <c r="AG151" s="148">
        <f>IFERROR(_xlfn.XLOOKUP($D151,'Modelling New'!$D:$D,'Modelling New'!AE:AE),"")</f>
        <v>0.995</v>
      </c>
      <c r="AH151" s="148">
        <f>IFERROR(_xlfn.XLOOKUP($D151,'Modelling New'!$D:$D,'Modelling New'!AF:AF),"")</f>
        <v>0.98550000000000004</v>
      </c>
      <c r="AN151" s="145"/>
      <c r="AO151" s="148"/>
      <c r="AP151" s="148"/>
      <c r="AQ151" s="148"/>
      <c r="AR151" s="143">
        <f>IFERROR(_xlfn.XLOOKUP($D151,'Modelling New'!$D:$D,'Modelling New'!$N:$N),"")</f>
        <v>11.72</v>
      </c>
      <c r="AT151" s="143" t="str">
        <f>IFERROR(_xlfn.XLOOKUP(Table13[[#This Row],[Date]],'Raw Data'!$G:$G,'Raw Data'!$AJ:$AJ),"")</f>
        <v/>
      </c>
      <c r="AU151" s="143">
        <f>IFERROR(_xlfn.XLOOKUP(Table13[[#This Row],[Month Year]],'Modelling New'!$D:$D,'Modelling New'!$AO:$AO),"")</f>
        <v>10</v>
      </c>
      <c r="AV151" s="143"/>
    </row>
    <row r="152" spans="1:48">
      <c r="A152" s="142">
        <f t="shared" si="11"/>
        <v>45895</v>
      </c>
      <c r="B152" s="143">
        <f>YEAR(Table13[[#This Row],[Date]])+IF(MONTH(Table13[[#This Row],[Date]])&gt;=4,1,0)</f>
        <v>2026</v>
      </c>
      <c r="C152" s="116">
        <f>YEAR(Table13[[#This Row],[Date]])</f>
        <v>2025</v>
      </c>
      <c r="D152" s="144">
        <f>Table13[[#This Row],[Date]]-DAY(Table13[[#This Row],[Date]])+1</f>
        <v>45870</v>
      </c>
      <c r="E152" s="116">
        <f t="shared" si="8"/>
        <v>31</v>
      </c>
      <c r="F152" s="117" t="str">
        <f>IFERROR(_xlfn.XLOOKUP($A152,'Raw Data'!$G:$G,'Raw Data'!$AH:$AH),"")</f>
        <v/>
      </c>
      <c r="G152" s="118" t="str">
        <f>IFERROR(_xlfn.XLOOKUP($A152,'Raw Data'!$G:$G,'Raw Data'!$S:$S)/1000,"")</f>
        <v/>
      </c>
      <c r="H152" s="118"/>
      <c r="I152" s="118" t="str">
        <f>IFERROR(_xlfn.XLOOKUP($A152,'Raw Data'!$G:$G,'Raw Data'!$AF:$AF)/1000,"")</f>
        <v/>
      </c>
      <c r="J152" s="118"/>
      <c r="K152" s="118" t="str">
        <f>IFERROR(_xlfn.XLOOKUP($A152,'Raw Data'!$G:$G,'Raw Data'!W:W),"")</f>
        <v/>
      </c>
      <c r="L152" s="118" t="str">
        <f>IFERROR(_xlfn.XLOOKUP($A152,'Raw Data'!$G:$G,'Raw Data'!X:X),"")</f>
        <v/>
      </c>
      <c r="M152" s="118" t="str">
        <f>IFERROR(_xlfn.XLOOKUP($A152,'Raw Data'!$G:$G,'Raw Data'!Y:Y),"")</f>
        <v/>
      </c>
      <c r="N152" s="118" t="str">
        <f>IFERROR(_xlfn.XLOOKUP($A152,'Raw Data'!$G:$G,'Raw Data'!Z:Z),"")</f>
        <v/>
      </c>
      <c r="O152" s="145" t="str">
        <f>IFERROR(1-SUMIF('Plant BD'!$B:$B,$A152,'Plant BD'!$AM:$AM)/($AA152+SUMIF('Plant BD'!$B:$B,$A152,'Plant BD'!$AM:$AM)),"")</f>
        <v/>
      </c>
      <c r="P152" s="145"/>
      <c r="Q152" s="146"/>
      <c r="R152" s="145" t="str">
        <f>IFERROR(1-SUMIF('Grid BD'!$B:$B,$A152,'Grid BD'!$AE:$AE)/($AA152+SUMIF('Grid BD'!$B:$B,$A152,'Grid BD'!$AE:$AE)),"")</f>
        <v/>
      </c>
      <c r="T152" s="146" t="str">
        <f>IFERROR(1-SUMIF(Tracker_BD!$H:$H,$A152,Tracker_BD!AI:AI)/$F152,"")</f>
        <v/>
      </c>
      <c r="U152" s="147" t="str">
        <f t="shared" si="9"/>
        <v/>
      </c>
      <c r="V152" s="147"/>
      <c r="W152" s="148" t="str">
        <f t="shared" si="10"/>
        <v/>
      </c>
      <c r="X152" s="143" t="str">
        <f>IFERROR(_xlfn.XLOOKUP($A152,'Raw Data'!$G:$G,'Raw Data'!$AB:$AB),"")</f>
        <v/>
      </c>
      <c r="Y152" s="143" t="str">
        <f>IFERROR(_xlfn.XLOOKUP($A152,'Raw Data'!$G:$G,'Raw Data'!AC:AC),"")</f>
        <v/>
      </c>
      <c r="Z152" s="143" t="str">
        <f>IFERROR(_xlfn.XLOOKUP($A152,'Raw Data'!$G:$G,'Raw Data'!AD:AD),"")</f>
        <v/>
      </c>
      <c r="AA152" s="143" t="str">
        <f>IFERROR(_xlfn.XLOOKUP($A152,'Raw Data'!$G:$G,'Raw Data'!AE:AE)*(1+(_xlfn.XLOOKUP(Table13[[#This Row],[Month Year]],JMR!$A:$A,JMR!$J:$J))),"")</f>
        <v/>
      </c>
      <c r="AB152" s="143" t="str">
        <f>IFERROR(_xlfn.XLOOKUP($A152,'Raw Data'!$G:$G,'Raw Data'!$H:$H),"")</f>
        <v/>
      </c>
      <c r="AC152" s="149">
        <f>IFERROR(_xlfn.XLOOKUP($D152,'Modelling New'!$D:$D,'Modelling New'!$P:$P),"")</f>
        <v>4.7713784612903236</v>
      </c>
      <c r="AD152" s="143">
        <f>IFERROR(_xlfn.XLOOKUP($D152,'Modelling New'!$D:$D,'Modelling New'!$T:$T)*1000,"")</f>
        <v>42082.405130697269</v>
      </c>
      <c r="AE152" s="148">
        <f>IFERROR(_xlfn.XLOOKUP($D152,'Modelling New'!$D:$D,'Modelling New'!$O:$O),"")</f>
        <v>0.75253911025234577</v>
      </c>
      <c r="AF152" s="148">
        <f>IFERROR(_xlfn.XLOOKUP($D152,'Modelling New'!$D:$D,'Modelling New'!$W:$W),"")</f>
        <v>0.1496103709140261</v>
      </c>
      <c r="AG152" s="148">
        <f>IFERROR(_xlfn.XLOOKUP($D152,'Modelling New'!$D:$D,'Modelling New'!AE:AE),"")</f>
        <v>0.995</v>
      </c>
      <c r="AH152" s="148">
        <f>IFERROR(_xlfn.XLOOKUP($D152,'Modelling New'!$D:$D,'Modelling New'!AF:AF),"")</f>
        <v>0.98550000000000004</v>
      </c>
      <c r="AN152" s="145"/>
      <c r="AO152" s="148"/>
      <c r="AP152" s="148"/>
      <c r="AQ152" s="148"/>
      <c r="AR152" s="143">
        <f>IFERROR(_xlfn.XLOOKUP($D152,'Modelling New'!$D:$D,'Modelling New'!$N:$N),"")</f>
        <v>11.72</v>
      </c>
      <c r="AT152" s="143" t="str">
        <f>IFERROR(_xlfn.XLOOKUP(Table13[[#This Row],[Date]],'Raw Data'!$G:$G,'Raw Data'!$AJ:$AJ),"")</f>
        <v/>
      </c>
      <c r="AU152" s="143">
        <f>IFERROR(_xlfn.XLOOKUP(Table13[[#This Row],[Month Year]],'Modelling New'!$D:$D,'Modelling New'!$AO:$AO),"")</f>
        <v>10</v>
      </c>
      <c r="AV152" s="143"/>
    </row>
    <row r="153" spans="1:48">
      <c r="A153" s="142">
        <f t="shared" si="11"/>
        <v>45896</v>
      </c>
      <c r="B153" s="143">
        <f>YEAR(Table13[[#This Row],[Date]])+IF(MONTH(Table13[[#This Row],[Date]])&gt;=4,1,0)</f>
        <v>2026</v>
      </c>
      <c r="C153" s="116">
        <f>YEAR(Table13[[#This Row],[Date]])</f>
        <v>2025</v>
      </c>
      <c r="D153" s="144">
        <f>Table13[[#This Row],[Date]]-DAY(Table13[[#This Row],[Date]])+1</f>
        <v>45870</v>
      </c>
      <c r="E153" s="116">
        <f t="shared" si="8"/>
        <v>31</v>
      </c>
      <c r="F153" s="117" t="str">
        <f>IFERROR(_xlfn.XLOOKUP($A153,'Raw Data'!$G:$G,'Raw Data'!$AH:$AH),"")</f>
        <v/>
      </c>
      <c r="G153" s="118" t="str">
        <f>IFERROR(_xlfn.XLOOKUP($A153,'Raw Data'!$G:$G,'Raw Data'!$S:$S)/1000,"")</f>
        <v/>
      </c>
      <c r="H153" s="118"/>
      <c r="I153" s="118" t="str">
        <f>IFERROR(_xlfn.XLOOKUP($A153,'Raw Data'!$G:$G,'Raw Data'!$AF:$AF)/1000,"")</f>
        <v/>
      </c>
      <c r="J153" s="118"/>
      <c r="K153" s="118" t="str">
        <f>IFERROR(_xlfn.XLOOKUP($A153,'Raw Data'!$G:$G,'Raw Data'!W:W),"")</f>
        <v/>
      </c>
      <c r="L153" s="118" t="str">
        <f>IFERROR(_xlfn.XLOOKUP($A153,'Raw Data'!$G:$G,'Raw Data'!X:X),"")</f>
        <v/>
      </c>
      <c r="M153" s="118" t="str">
        <f>IFERROR(_xlfn.XLOOKUP($A153,'Raw Data'!$G:$G,'Raw Data'!Y:Y),"")</f>
        <v/>
      </c>
      <c r="N153" s="118" t="str">
        <f>IFERROR(_xlfn.XLOOKUP($A153,'Raw Data'!$G:$G,'Raw Data'!Z:Z),"")</f>
        <v/>
      </c>
      <c r="O153" s="145" t="str">
        <f>IFERROR(1-SUMIF('Plant BD'!$B:$B,$A153,'Plant BD'!$AM:$AM)/($AA153+SUMIF('Plant BD'!$B:$B,$A153,'Plant BD'!$AM:$AM)),"")</f>
        <v/>
      </c>
      <c r="P153" s="145"/>
      <c r="Q153" s="146"/>
      <c r="R153" s="145" t="str">
        <f>IFERROR(1-SUMIF('Grid BD'!$B:$B,$A153,'Grid BD'!$AE:$AE)/($AA153+SUMIF('Grid BD'!$B:$B,$A153,'Grid BD'!$AE:$AE)),"")</f>
        <v/>
      </c>
      <c r="T153" s="146" t="str">
        <f>IFERROR(1-SUMIF(Tracker_BD!$H:$H,$A153,Tracker_BD!AI:AI)/$F153,"")</f>
        <v/>
      </c>
      <c r="U153" s="147" t="str">
        <f t="shared" si="9"/>
        <v/>
      </c>
      <c r="V153" s="147"/>
      <c r="W153" s="148" t="str">
        <f t="shared" si="10"/>
        <v/>
      </c>
      <c r="X153" s="143" t="str">
        <f>IFERROR(_xlfn.XLOOKUP($A153,'Raw Data'!$G:$G,'Raw Data'!$AB:$AB),"")</f>
        <v/>
      </c>
      <c r="Y153" s="143" t="str">
        <f>IFERROR(_xlfn.XLOOKUP($A153,'Raw Data'!$G:$G,'Raw Data'!AC:AC),"")</f>
        <v/>
      </c>
      <c r="Z153" s="143" t="str">
        <f>IFERROR(_xlfn.XLOOKUP($A153,'Raw Data'!$G:$G,'Raw Data'!AD:AD),"")</f>
        <v/>
      </c>
      <c r="AA153" s="143" t="str">
        <f>IFERROR(_xlfn.XLOOKUP($A153,'Raw Data'!$G:$G,'Raw Data'!AE:AE)*(1+(_xlfn.XLOOKUP(Table13[[#This Row],[Month Year]],JMR!$A:$A,JMR!$J:$J))),"")</f>
        <v/>
      </c>
      <c r="AB153" s="143" t="str">
        <f>IFERROR(_xlfn.XLOOKUP($A153,'Raw Data'!$G:$G,'Raw Data'!$H:$H),"")</f>
        <v/>
      </c>
      <c r="AC153" s="149">
        <f>IFERROR(_xlfn.XLOOKUP($D153,'Modelling New'!$D:$D,'Modelling New'!$P:$P),"")</f>
        <v>4.7713784612903236</v>
      </c>
      <c r="AD153" s="143">
        <f>IFERROR(_xlfn.XLOOKUP($D153,'Modelling New'!$D:$D,'Modelling New'!$T:$T)*1000,"")</f>
        <v>42082.405130697269</v>
      </c>
      <c r="AE153" s="148">
        <f>IFERROR(_xlfn.XLOOKUP($D153,'Modelling New'!$D:$D,'Modelling New'!$O:$O),"")</f>
        <v>0.75253911025234577</v>
      </c>
      <c r="AF153" s="148">
        <f>IFERROR(_xlfn.XLOOKUP($D153,'Modelling New'!$D:$D,'Modelling New'!$W:$W),"")</f>
        <v>0.1496103709140261</v>
      </c>
      <c r="AG153" s="148">
        <f>IFERROR(_xlfn.XLOOKUP($D153,'Modelling New'!$D:$D,'Modelling New'!AE:AE),"")</f>
        <v>0.995</v>
      </c>
      <c r="AH153" s="148">
        <f>IFERROR(_xlfn.XLOOKUP($D153,'Modelling New'!$D:$D,'Modelling New'!AF:AF),"")</f>
        <v>0.98550000000000004</v>
      </c>
      <c r="AN153" s="145"/>
      <c r="AO153" s="148"/>
      <c r="AP153" s="148"/>
      <c r="AQ153" s="148"/>
      <c r="AR153" s="143">
        <f>IFERROR(_xlfn.XLOOKUP($D153,'Modelling New'!$D:$D,'Modelling New'!$N:$N),"")</f>
        <v>11.72</v>
      </c>
      <c r="AT153" s="143" t="str">
        <f>IFERROR(_xlfn.XLOOKUP(Table13[[#This Row],[Date]],'Raw Data'!$G:$G,'Raw Data'!$AJ:$AJ),"")</f>
        <v/>
      </c>
      <c r="AU153" s="143">
        <f>IFERROR(_xlfn.XLOOKUP(Table13[[#This Row],[Month Year]],'Modelling New'!$D:$D,'Modelling New'!$AO:$AO),"")</f>
        <v>10</v>
      </c>
      <c r="AV153" s="143"/>
    </row>
    <row r="154" spans="1:48">
      <c r="A154" s="142">
        <f t="shared" si="11"/>
        <v>45897</v>
      </c>
      <c r="B154" s="143">
        <f>YEAR(Table13[[#This Row],[Date]])+IF(MONTH(Table13[[#This Row],[Date]])&gt;=4,1,0)</f>
        <v>2026</v>
      </c>
      <c r="C154" s="116">
        <f>YEAR(Table13[[#This Row],[Date]])</f>
        <v>2025</v>
      </c>
      <c r="D154" s="144">
        <f>Table13[[#This Row],[Date]]-DAY(Table13[[#This Row],[Date]])+1</f>
        <v>45870</v>
      </c>
      <c r="E154" s="116">
        <f t="shared" si="8"/>
        <v>31</v>
      </c>
      <c r="F154" s="117" t="str">
        <f>IFERROR(_xlfn.XLOOKUP($A154,'Raw Data'!$G:$G,'Raw Data'!$AH:$AH),"")</f>
        <v/>
      </c>
      <c r="G154" s="118" t="str">
        <f>IFERROR(_xlfn.XLOOKUP($A154,'Raw Data'!$G:$G,'Raw Data'!$S:$S)/1000,"")</f>
        <v/>
      </c>
      <c r="H154" s="118"/>
      <c r="I154" s="118" t="str">
        <f>IFERROR(_xlfn.XLOOKUP($A154,'Raw Data'!$G:$G,'Raw Data'!$AF:$AF)/1000,"")</f>
        <v/>
      </c>
      <c r="J154" s="118"/>
      <c r="K154" s="118" t="str">
        <f>IFERROR(_xlfn.XLOOKUP($A154,'Raw Data'!$G:$G,'Raw Data'!W:W),"")</f>
        <v/>
      </c>
      <c r="L154" s="118" t="str">
        <f>IFERROR(_xlfn.XLOOKUP($A154,'Raw Data'!$G:$G,'Raw Data'!X:X),"")</f>
        <v/>
      </c>
      <c r="M154" s="118" t="str">
        <f>IFERROR(_xlfn.XLOOKUP($A154,'Raw Data'!$G:$G,'Raw Data'!Y:Y),"")</f>
        <v/>
      </c>
      <c r="N154" s="118" t="str">
        <f>IFERROR(_xlfn.XLOOKUP($A154,'Raw Data'!$G:$G,'Raw Data'!Z:Z),"")</f>
        <v/>
      </c>
      <c r="O154" s="145" t="str">
        <f>IFERROR(1-SUMIF('Plant BD'!$B:$B,$A154,'Plant BD'!$AM:$AM)/($AA154+SUMIF('Plant BD'!$B:$B,$A154,'Plant BD'!$AM:$AM)),"")</f>
        <v/>
      </c>
      <c r="P154" s="145"/>
      <c r="Q154" s="146"/>
      <c r="R154" s="145" t="str">
        <f>IFERROR(1-SUMIF('Grid BD'!$B:$B,$A154,'Grid BD'!$AE:$AE)/($AA154+SUMIF('Grid BD'!$B:$B,$A154,'Grid BD'!$AE:$AE)),"")</f>
        <v/>
      </c>
      <c r="T154" s="146" t="str">
        <f>IFERROR(1-SUMIF(Tracker_BD!$H:$H,$A154,Tracker_BD!AI:AI)/$F154,"")</f>
        <v/>
      </c>
      <c r="U154" s="147" t="str">
        <f t="shared" si="9"/>
        <v/>
      </c>
      <c r="V154" s="147"/>
      <c r="W154" s="148" t="str">
        <f t="shared" si="10"/>
        <v/>
      </c>
      <c r="X154" s="143" t="str">
        <f>IFERROR(_xlfn.XLOOKUP($A154,'Raw Data'!$G:$G,'Raw Data'!$AB:$AB),"")</f>
        <v/>
      </c>
      <c r="Y154" s="143" t="str">
        <f>IFERROR(_xlfn.XLOOKUP($A154,'Raw Data'!$G:$G,'Raw Data'!AC:AC),"")</f>
        <v/>
      </c>
      <c r="Z154" s="143" t="str">
        <f>IFERROR(_xlfn.XLOOKUP($A154,'Raw Data'!$G:$G,'Raw Data'!AD:AD),"")</f>
        <v/>
      </c>
      <c r="AA154" s="143" t="str">
        <f>IFERROR(_xlfn.XLOOKUP($A154,'Raw Data'!$G:$G,'Raw Data'!AE:AE)*(1+(_xlfn.XLOOKUP(Table13[[#This Row],[Month Year]],JMR!$A:$A,JMR!$J:$J))),"")</f>
        <v/>
      </c>
      <c r="AB154" s="143" t="str">
        <f>IFERROR(_xlfn.XLOOKUP($A154,'Raw Data'!$G:$G,'Raw Data'!$H:$H),"")</f>
        <v/>
      </c>
      <c r="AC154" s="149">
        <f>IFERROR(_xlfn.XLOOKUP($D154,'Modelling New'!$D:$D,'Modelling New'!$P:$P),"")</f>
        <v>4.7713784612903236</v>
      </c>
      <c r="AD154" s="143">
        <f>IFERROR(_xlfn.XLOOKUP($D154,'Modelling New'!$D:$D,'Modelling New'!$T:$T)*1000,"")</f>
        <v>42082.405130697269</v>
      </c>
      <c r="AE154" s="148">
        <f>IFERROR(_xlfn.XLOOKUP($D154,'Modelling New'!$D:$D,'Modelling New'!$O:$O),"")</f>
        <v>0.75253911025234577</v>
      </c>
      <c r="AF154" s="148">
        <f>IFERROR(_xlfn.XLOOKUP($D154,'Modelling New'!$D:$D,'Modelling New'!$W:$W),"")</f>
        <v>0.1496103709140261</v>
      </c>
      <c r="AG154" s="148">
        <f>IFERROR(_xlfn.XLOOKUP($D154,'Modelling New'!$D:$D,'Modelling New'!AE:AE),"")</f>
        <v>0.995</v>
      </c>
      <c r="AH154" s="148">
        <f>IFERROR(_xlfn.XLOOKUP($D154,'Modelling New'!$D:$D,'Modelling New'!AF:AF),"")</f>
        <v>0.98550000000000004</v>
      </c>
      <c r="AN154" s="145"/>
      <c r="AO154" s="148"/>
      <c r="AP154" s="148"/>
      <c r="AQ154" s="148"/>
      <c r="AR154" s="143">
        <f>IFERROR(_xlfn.XLOOKUP($D154,'Modelling New'!$D:$D,'Modelling New'!$N:$N),"")</f>
        <v>11.72</v>
      </c>
      <c r="AT154" s="143" t="str">
        <f>IFERROR(_xlfn.XLOOKUP(Table13[[#This Row],[Date]],'Raw Data'!$G:$G,'Raw Data'!$AJ:$AJ),"")</f>
        <v/>
      </c>
      <c r="AU154" s="143">
        <f>IFERROR(_xlfn.XLOOKUP(Table13[[#This Row],[Month Year]],'Modelling New'!$D:$D,'Modelling New'!$AO:$AO),"")</f>
        <v>10</v>
      </c>
      <c r="AV154" s="143"/>
    </row>
    <row r="155" spans="1:48">
      <c r="A155" s="142">
        <f t="shared" si="11"/>
        <v>45898</v>
      </c>
      <c r="B155" s="143">
        <f>YEAR(Table13[[#This Row],[Date]])+IF(MONTH(Table13[[#This Row],[Date]])&gt;=4,1,0)</f>
        <v>2026</v>
      </c>
      <c r="C155" s="116">
        <f>YEAR(Table13[[#This Row],[Date]])</f>
        <v>2025</v>
      </c>
      <c r="D155" s="144">
        <f>Table13[[#This Row],[Date]]-DAY(Table13[[#This Row],[Date]])+1</f>
        <v>45870</v>
      </c>
      <c r="E155" s="116">
        <f t="shared" si="8"/>
        <v>31</v>
      </c>
      <c r="F155" s="117" t="str">
        <f>IFERROR(_xlfn.XLOOKUP($A155,'Raw Data'!$G:$G,'Raw Data'!$AH:$AH),"")</f>
        <v/>
      </c>
      <c r="G155" s="118" t="str">
        <f>IFERROR(_xlfn.XLOOKUP($A155,'Raw Data'!$G:$G,'Raw Data'!$S:$S)/1000,"")</f>
        <v/>
      </c>
      <c r="H155" s="118"/>
      <c r="I155" s="118" t="str">
        <f>IFERROR(_xlfn.XLOOKUP($A155,'Raw Data'!$G:$G,'Raw Data'!$AF:$AF)/1000,"")</f>
        <v/>
      </c>
      <c r="J155" s="118"/>
      <c r="K155" s="118" t="str">
        <f>IFERROR(_xlfn.XLOOKUP($A155,'Raw Data'!$G:$G,'Raw Data'!W:W),"")</f>
        <v/>
      </c>
      <c r="L155" s="118" t="str">
        <f>IFERROR(_xlfn.XLOOKUP($A155,'Raw Data'!$G:$G,'Raw Data'!X:X),"")</f>
        <v/>
      </c>
      <c r="M155" s="118" t="str">
        <f>IFERROR(_xlfn.XLOOKUP($A155,'Raw Data'!$G:$G,'Raw Data'!Y:Y),"")</f>
        <v/>
      </c>
      <c r="N155" s="118" t="str">
        <f>IFERROR(_xlfn.XLOOKUP($A155,'Raw Data'!$G:$G,'Raw Data'!Z:Z),"")</f>
        <v/>
      </c>
      <c r="O155" s="145" t="str">
        <f>IFERROR(1-SUMIF('Plant BD'!$B:$B,$A155,'Plant BD'!$AM:$AM)/($AA155+SUMIF('Plant BD'!$B:$B,$A155,'Plant BD'!$AM:$AM)),"")</f>
        <v/>
      </c>
      <c r="P155" s="145"/>
      <c r="Q155" s="146"/>
      <c r="R155" s="145" t="str">
        <f>IFERROR(1-SUMIF('Grid BD'!$B:$B,$A155,'Grid BD'!$AE:$AE)/($AA155+SUMIF('Grid BD'!$B:$B,$A155,'Grid BD'!$AE:$AE)),"")</f>
        <v/>
      </c>
      <c r="T155" s="146" t="str">
        <f>IFERROR(1-SUMIF(Tracker_BD!$H:$H,$A155,Tracker_BD!AI:AI)/$F155,"")</f>
        <v/>
      </c>
      <c r="U155" s="147" t="str">
        <f t="shared" si="9"/>
        <v/>
      </c>
      <c r="V155" s="147"/>
      <c r="W155" s="148" t="str">
        <f t="shared" si="10"/>
        <v/>
      </c>
      <c r="X155" s="143" t="str">
        <f>IFERROR(_xlfn.XLOOKUP($A155,'Raw Data'!$G:$G,'Raw Data'!$AB:$AB),"")</f>
        <v/>
      </c>
      <c r="Y155" s="143" t="str">
        <f>IFERROR(_xlfn.XLOOKUP($A155,'Raw Data'!$G:$G,'Raw Data'!AC:AC),"")</f>
        <v/>
      </c>
      <c r="Z155" s="143" t="str">
        <f>IFERROR(_xlfn.XLOOKUP($A155,'Raw Data'!$G:$G,'Raw Data'!AD:AD),"")</f>
        <v/>
      </c>
      <c r="AA155" s="143" t="str">
        <f>IFERROR(_xlfn.XLOOKUP($A155,'Raw Data'!$G:$G,'Raw Data'!AE:AE)*(1+(_xlfn.XLOOKUP(Table13[[#This Row],[Month Year]],JMR!$A:$A,JMR!$J:$J))),"")</f>
        <v/>
      </c>
      <c r="AB155" s="143" t="str">
        <f>IFERROR(_xlfn.XLOOKUP($A155,'Raw Data'!$G:$G,'Raw Data'!$H:$H),"")</f>
        <v/>
      </c>
      <c r="AC155" s="149">
        <f>IFERROR(_xlfn.XLOOKUP($D155,'Modelling New'!$D:$D,'Modelling New'!$P:$P),"")</f>
        <v>4.7713784612903236</v>
      </c>
      <c r="AD155" s="143">
        <f>IFERROR(_xlfn.XLOOKUP($D155,'Modelling New'!$D:$D,'Modelling New'!$T:$T)*1000,"")</f>
        <v>42082.405130697269</v>
      </c>
      <c r="AE155" s="148">
        <f>IFERROR(_xlfn.XLOOKUP($D155,'Modelling New'!$D:$D,'Modelling New'!$O:$O),"")</f>
        <v>0.75253911025234577</v>
      </c>
      <c r="AF155" s="148">
        <f>IFERROR(_xlfn.XLOOKUP($D155,'Modelling New'!$D:$D,'Modelling New'!$W:$W),"")</f>
        <v>0.1496103709140261</v>
      </c>
      <c r="AG155" s="148">
        <f>IFERROR(_xlfn.XLOOKUP($D155,'Modelling New'!$D:$D,'Modelling New'!AE:AE),"")</f>
        <v>0.995</v>
      </c>
      <c r="AH155" s="148">
        <f>IFERROR(_xlfn.XLOOKUP($D155,'Modelling New'!$D:$D,'Modelling New'!AF:AF),"")</f>
        <v>0.98550000000000004</v>
      </c>
      <c r="AN155" s="145"/>
      <c r="AO155" s="148"/>
      <c r="AP155" s="148"/>
      <c r="AQ155" s="148"/>
      <c r="AR155" s="143">
        <f>IFERROR(_xlfn.XLOOKUP($D155,'Modelling New'!$D:$D,'Modelling New'!$N:$N),"")</f>
        <v>11.72</v>
      </c>
      <c r="AT155" s="143" t="str">
        <f>IFERROR(_xlfn.XLOOKUP(Table13[[#This Row],[Date]],'Raw Data'!$G:$G,'Raw Data'!$AJ:$AJ),"")</f>
        <v/>
      </c>
      <c r="AU155" s="143">
        <f>IFERROR(_xlfn.XLOOKUP(Table13[[#This Row],[Month Year]],'Modelling New'!$D:$D,'Modelling New'!$AO:$AO),"")</f>
        <v>10</v>
      </c>
      <c r="AV155" s="143"/>
    </row>
    <row r="156" spans="1:48">
      <c r="A156" s="142">
        <f t="shared" si="11"/>
        <v>45899</v>
      </c>
      <c r="B156" s="143">
        <f>YEAR(Table13[[#This Row],[Date]])+IF(MONTH(Table13[[#This Row],[Date]])&gt;=4,1,0)</f>
        <v>2026</v>
      </c>
      <c r="C156" s="116">
        <f>YEAR(Table13[[#This Row],[Date]])</f>
        <v>2025</v>
      </c>
      <c r="D156" s="144">
        <f>Table13[[#This Row],[Date]]-DAY(Table13[[#This Row],[Date]])+1</f>
        <v>45870</v>
      </c>
      <c r="E156" s="116">
        <f t="shared" si="8"/>
        <v>31</v>
      </c>
      <c r="F156" s="117" t="str">
        <f>IFERROR(_xlfn.XLOOKUP($A156,'Raw Data'!$G:$G,'Raw Data'!$AH:$AH),"")</f>
        <v/>
      </c>
      <c r="G156" s="118" t="str">
        <f>IFERROR(_xlfn.XLOOKUP($A156,'Raw Data'!$G:$G,'Raw Data'!$S:$S)/1000,"")</f>
        <v/>
      </c>
      <c r="H156" s="118"/>
      <c r="I156" s="118" t="str">
        <f>IFERROR(_xlfn.XLOOKUP($A156,'Raw Data'!$G:$G,'Raw Data'!$AF:$AF)/1000,"")</f>
        <v/>
      </c>
      <c r="J156" s="118"/>
      <c r="K156" s="118" t="str">
        <f>IFERROR(_xlfn.XLOOKUP($A156,'Raw Data'!$G:$G,'Raw Data'!W:W),"")</f>
        <v/>
      </c>
      <c r="L156" s="118" t="str">
        <f>IFERROR(_xlfn.XLOOKUP($A156,'Raw Data'!$G:$G,'Raw Data'!X:X),"")</f>
        <v/>
      </c>
      <c r="M156" s="118" t="str">
        <f>IFERROR(_xlfn.XLOOKUP($A156,'Raw Data'!$G:$G,'Raw Data'!Y:Y),"")</f>
        <v/>
      </c>
      <c r="N156" s="118" t="str">
        <f>IFERROR(_xlfn.XLOOKUP($A156,'Raw Data'!$G:$G,'Raw Data'!Z:Z),"")</f>
        <v/>
      </c>
      <c r="O156" s="145" t="str">
        <f>IFERROR(1-SUMIF('Plant BD'!$B:$B,$A156,'Plant BD'!$AM:$AM)/($AA156+SUMIF('Plant BD'!$B:$B,$A156,'Plant BD'!$AM:$AM)),"")</f>
        <v/>
      </c>
      <c r="P156" s="145"/>
      <c r="Q156" s="146"/>
      <c r="R156" s="145" t="str">
        <f>IFERROR(1-SUMIF('Grid BD'!$B:$B,$A156,'Grid BD'!$AE:$AE)/($AA156+SUMIF('Grid BD'!$B:$B,$A156,'Grid BD'!$AE:$AE)),"")</f>
        <v/>
      </c>
      <c r="T156" s="146" t="str">
        <f>IFERROR(1-SUMIF(Tracker_BD!$H:$H,$A156,Tracker_BD!AI:AI)/$F156,"")</f>
        <v/>
      </c>
      <c r="U156" s="147" t="str">
        <f t="shared" si="9"/>
        <v/>
      </c>
      <c r="V156" s="147"/>
      <c r="W156" s="148" t="str">
        <f t="shared" si="10"/>
        <v/>
      </c>
      <c r="X156" s="143" t="str">
        <f>IFERROR(_xlfn.XLOOKUP($A156,'Raw Data'!$G:$G,'Raw Data'!$AB:$AB),"")</f>
        <v/>
      </c>
      <c r="Y156" s="143" t="str">
        <f>IFERROR(_xlfn.XLOOKUP($A156,'Raw Data'!$G:$G,'Raw Data'!AC:AC),"")</f>
        <v/>
      </c>
      <c r="Z156" s="143" t="str">
        <f>IFERROR(_xlfn.XLOOKUP($A156,'Raw Data'!$G:$G,'Raw Data'!AD:AD),"")</f>
        <v/>
      </c>
      <c r="AA156" s="143" t="str">
        <f>IFERROR(_xlfn.XLOOKUP($A156,'Raw Data'!$G:$G,'Raw Data'!AE:AE)*(1+(_xlfn.XLOOKUP(Table13[[#This Row],[Month Year]],JMR!$A:$A,JMR!$J:$J))),"")</f>
        <v/>
      </c>
      <c r="AB156" s="143" t="str">
        <f>IFERROR(_xlfn.XLOOKUP($A156,'Raw Data'!$G:$G,'Raw Data'!$H:$H),"")</f>
        <v/>
      </c>
      <c r="AC156" s="149">
        <f>IFERROR(_xlfn.XLOOKUP($D156,'Modelling New'!$D:$D,'Modelling New'!$P:$P),"")</f>
        <v>4.7713784612903236</v>
      </c>
      <c r="AD156" s="143">
        <f>IFERROR(_xlfn.XLOOKUP($D156,'Modelling New'!$D:$D,'Modelling New'!$T:$T)*1000,"")</f>
        <v>42082.405130697269</v>
      </c>
      <c r="AE156" s="148">
        <f>IFERROR(_xlfn.XLOOKUP($D156,'Modelling New'!$D:$D,'Modelling New'!$O:$O),"")</f>
        <v>0.75253911025234577</v>
      </c>
      <c r="AF156" s="148">
        <f>IFERROR(_xlfn.XLOOKUP($D156,'Modelling New'!$D:$D,'Modelling New'!$W:$W),"")</f>
        <v>0.1496103709140261</v>
      </c>
      <c r="AG156" s="148">
        <f>IFERROR(_xlfn.XLOOKUP($D156,'Modelling New'!$D:$D,'Modelling New'!AE:AE),"")</f>
        <v>0.995</v>
      </c>
      <c r="AH156" s="148">
        <f>IFERROR(_xlfn.XLOOKUP($D156,'Modelling New'!$D:$D,'Modelling New'!AF:AF),"")</f>
        <v>0.98550000000000004</v>
      </c>
      <c r="AN156" s="145"/>
      <c r="AO156" s="148"/>
      <c r="AP156" s="148"/>
      <c r="AQ156" s="148"/>
      <c r="AR156" s="143">
        <f>IFERROR(_xlfn.XLOOKUP($D156,'Modelling New'!$D:$D,'Modelling New'!$N:$N),"")</f>
        <v>11.72</v>
      </c>
      <c r="AT156" s="143" t="str">
        <f>IFERROR(_xlfn.XLOOKUP(Table13[[#This Row],[Date]],'Raw Data'!$G:$G,'Raw Data'!$AJ:$AJ),"")</f>
        <v/>
      </c>
      <c r="AU156" s="143">
        <f>IFERROR(_xlfn.XLOOKUP(Table13[[#This Row],[Month Year]],'Modelling New'!$D:$D,'Modelling New'!$AO:$AO),"")</f>
        <v>10</v>
      </c>
      <c r="AV156" s="143"/>
    </row>
    <row r="157" spans="1:48">
      <c r="A157" s="142">
        <f t="shared" si="11"/>
        <v>45900</v>
      </c>
      <c r="B157" s="143">
        <f>YEAR(Table13[[#This Row],[Date]])+IF(MONTH(Table13[[#This Row],[Date]])&gt;=4,1,0)</f>
        <v>2026</v>
      </c>
      <c r="C157" s="116">
        <f>YEAR(Table13[[#This Row],[Date]])</f>
        <v>2025</v>
      </c>
      <c r="D157" s="144">
        <f>Table13[[#This Row],[Date]]-DAY(Table13[[#This Row],[Date]])+1</f>
        <v>45870</v>
      </c>
      <c r="E157" s="116">
        <f t="shared" si="8"/>
        <v>31</v>
      </c>
      <c r="F157" s="117" t="str">
        <f>IFERROR(_xlfn.XLOOKUP($A157,'Raw Data'!$G:$G,'Raw Data'!$AH:$AH),"")</f>
        <v/>
      </c>
      <c r="G157" s="118" t="str">
        <f>IFERROR(_xlfn.XLOOKUP($A157,'Raw Data'!$G:$G,'Raw Data'!$S:$S)/1000,"")</f>
        <v/>
      </c>
      <c r="H157" s="118"/>
      <c r="I157" s="118" t="str">
        <f>IFERROR(_xlfn.XLOOKUP($A157,'Raw Data'!$G:$G,'Raw Data'!$AF:$AF)/1000,"")</f>
        <v/>
      </c>
      <c r="J157" s="118"/>
      <c r="K157" s="118" t="str">
        <f>IFERROR(_xlfn.XLOOKUP($A157,'Raw Data'!$G:$G,'Raw Data'!W:W),"")</f>
        <v/>
      </c>
      <c r="L157" s="118" t="str">
        <f>IFERROR(_xlfn.XLOOKUP($A157,'Raw Data'!$G:$G,'Raw Data'!X:X),"")</f>
        <v/>
      </c>
      <c r="M157" s="118" t="str">
        <f>IFERROR(_xlfn.XLOOKUP($A157,'Raw Data'!$G:$G,'Raw Data'!Y:Y),"")</f>
        <v/>
      </c>
      <c r="N157" s="118" t="str">
        <f>IFERROR(_xlfn.XLOOKUP($A157,'Raw Data'!$G:$G,'Raw Data'!Z:Z),"")</f>
        <v/>
      </c>
      <c r="O157" s="145" t="str">
        <f>IFERROR(1-SUMIF('Plant BD'!$B:$B,$A157,'Plant BD'!$AM:$AM)/($AA157+SUMIF('Plant BD'!$B:$B,$A157,'Plant BD'!$AM:$AM)),"")</f>
        <v/>
      </c>
      <c r="P157" s="145"/>
      <c r="Q157" s="146"/>
      <c r="R157" s="145" t="str">
        <f>IFERROR(1-SUMIF('Grid BD'!$B:$B,$A157,'Grid BD'!$AE:$AE)/($AA157+SUMIF('Grid BD'!$B:$B,$A157,'Grid BD'!$AE:$AE)),"")</f>
        <v/>
      </c>
      <c r="T157" s="146" t="str">
        <f>IFERROR(1-SUMIF(Tracker_BD!$H:$H,$A157,Tracker_BD!AI:AI)/$F157,"")</f>
        <v/>
      </c>
      <c r="U157" s="147" t="str">
        <f t="shared" si="9"/>
        <v/>
      </c>
      <c r="V157" s="147"/>
      <c r="W157" s="148" t="str">
        <f t="shared" si="10"/>
        <v/>
      </c>
      <c r="X157" s="143" t="str">
        <f>IFERROR(_xlfn.XLOOKUP($A157,'Raw Data'!$G:$G,'Raw Data'!$AB:$AB),"")</f>
        <v/>
      </c>
      <c r="Y157" s="143" t="str">
        <f>IFERROR(_xlfn.XLOOKUP($A157,'Raw Data'!$G:$G,'Raw Data'!AC:AC),"")</f>
        <v/>
      </c>
      <c r="Z157" s="143" t="str">
        <f>IFERROR(_xlfn.XLOOKUP($A157,'Raw Data'!$G:$G,'Raw Data'!AD:AD),"")</f>
        <v/>
      </c>
      <c r="AA157" s="143" t="str">
        <f>IFERROR(_xlfn.XLOOKUP($A157,'Raw Data'!$G:$G,'Raw Data'!AE:AE)*(1+(_xlfn.XLOOKUP(Table13[[#This Row],[Month Year]],JMR!$A:$A,JMR!$J:$J))),"")</f>
        <v/>
      </c>
      <c r="AB157" s="143" t="str">
        <f>IFERROR(_xlfn.XLOOKUP($A157,'Raw Data'!$G:$G,'Raw Data'!$H:$H),"")</f>
        <v/>
      </c>
      <c r="AC157" s="149">
        <f>IFERROR(_xlfn.XLOOKUP($D157,'Modelling New'!$D:$D,'Modelling New'!$P:$P),"")</f>
        <v>4.7713784612903236</v>
      </c>
      <c r="AD157" s="143">
        <f>IFERROR(_xlfn.XLOOKUP($D157,'Modelling New'!$D:$D,'Modelling New'!$T:$T)*1000,"")</f>
        <v>42082.405130697269</v>
      </c>
      <c r="AE157" s="148">
        <f>IFERROR(_xlfn.XLOOKUP($D157,'Modelling New'!$D:$D,'Modelling New'!$O:$O),"")</f>
        <v>0.75253911025234577</v>
      </c>
      <c r="AF157" s="148">
        <f>IFERROR(_xlfn.XLOOKUP($D157,'Modelling New'!$D:$D,'Modelling New'!$W:$W),"")</f>
        <v>0.1496103709140261</v>
      </c>
      <c r="AG157" s="148">
        <f>IFERROR(_xlfn.XLOOKUP($D157,'Modelling New'!$D:$D,'Modelling New'!AE:AE),"")</f>
        <v>0.995</v>
      </c>
      <c r="AH157" s="148">
        <f>IFERROR(_xlfn.XLOOKUP($D157,'Modelling New'!$D:$D,'Modelling New'!AF:AF),"")</f>
        <v>0.98550000000000004</v>
      </c>
      <c r="AN157" s="145"/>
      <c r="AO157" s="148"/>
      <c r="AP157" s="148"/>
      <c r="AQ157" s="148"/>
      <c r="AR157" s="143">
        <f>IFERROR(_xlfn.XLOOKUP($D157,'Modelling New'!$D:$D,'Modelling New'!$N:$N),"")</f>
        <v>11.72</v>
      </c>
      <c r="AT157" s="143" t="str">
        <f>IFERROR(_xlfn.XLOOKUP(Table13[[#This Row],[Date]],'Raw Data'!$G:$G,'Raw Data'!$AJ:$AJ),"")</f>
        <v/>
      </c>
      <c r="AU157" s="143">
        <f>IFERROR(_xlfn.XLOOKUP(Table13[[#This Row],[Month Year]],'Modelling New'!$D:$D,'Modelling New'!$AO:$AO),"")</f>
        <v>10</v>
      </c>
      <c r="AV157" s="143"/>
    </row>
    <row r="158" spans="1:48">
      <c r="A158" s="142">
        <f t="shared" si="11"/>
        <v>45901</v>
      </c>
      <c r="B158" s="143">
        <f>YEAR(Table13[[#This Row],[Date]])+IF(MONTH(Table13[[#This Row],[Date]])&gt;=4,1,0)</f>
        <v>2026</v>
      </c>
      <c r="C158" s="116">
        <f>YEAR(Table13[[#This Row],[Date]])</f>
        <v>2025</v>
      </c>
      <c r="D158" s="144">
        <f>Table13[[#This Row],[Date]]-DAY(Table13[[#This Row],[Date]])+1</f>
        <v>45901</v>
      </c>
      <c r="E158" s="116">
        <f t="shared" si="8"/>
        <v>30</v>
      </c>
      <c r="F158" s="117" t="str">
        <f>IFERROR(_xlfn.XLOOKUP($A158,'Raw Data'!$G:$G,'Raw Data'!$AH:$AH),"")</f>
        <v/>
      </c>
      <c r="G158" s="118" t="str">
        <f>IFERROR(_xlfn.XLOOKUP($A158,'Raw Data'!$G:$G,'Raw Data'!$S:$S)/1000,"")</f>
        <v/>
      </c>
      <c r="H158" s="118"/>
      <c r="I158" s="118" t="str">
        <f>IFERROR(_xlfn.XLOOKUP($A158,'Raw Data'!$G:$G,'Raw Data'!$AF:$AF)/1000,"")</f>
        <v/>
      </c>
      <c r="J158" s="118"/>
      <c r="K158" s="118" t="str">
        <f>IFERROR(_xlfn.XLOOKUP($A158,'Raw Data'!$G:$G,'Raw Data'!W:W),"")</f>
        <v/>
      </c>
      <c r="L158" s="118" t="str">
        <f>IFERROR(_xlfn.XLOOKUP($A158,'Raw Data'!$G:$G,'Raw Data'!X:X),"")</f>
        <v/>
      </c>
      <c r="M158" s="118" t="str">
        <f>IFERROR(_xlfn.XLOOKUP($A158,'Raw Data'!$G:$G,'Raw Data'!Y:Y),"")</f>
        <v/>
      </c>
      <c r="N158" s="118" t="str">
        <f>IFERROR(_xlfn.XLOOKUP($A158,'Raw Data'!$G:$G,'Raw Data'!Z:Z),"")</f>
        <v/>
      </c>
      <c r="O158" s="145" t="str">
        <f>IFERROR(1-SUMIF('Plant BD'!$B:$B,$A158,'Plant BD'!$AM:$AM)/($AA158+SUMIF('Plant BD'!$B:$B,$A158,'Plant BD'!$AM:$AM)),"")</f>
        <v/>
      </c>
      <c r="P158" s="145"/>
      <c r="Q158" s="146"/>
      <c r="R158" s="145" t="str">
        <f>IFERROR(1-SUMIF('Grid BD'!$B:$B,$A158,'Grid BD'!$AE:$AE)/($AA158+SUMIF('Grid BD'!$B:$B,$A158,'Grid BD'!$AE:$AE)),"")</f>
        <v/>
      </c>
      <c r="T158" s="146" t="str">
        <f>IFERROR(1-SUMIF(Tracker_BD!$H:$H,$A158,Tracker_BD!AI:AI)/$F158,"")</f>
        <v/>
      </c>
      <c r="U158" s="147" t="str">
        <f t="shared" si="9"/>
        <v/>
      </c>
      <c r="V158" s="147"/>
      <c r="W158" s="148" t="str">
        <f t="shared" si="10"/>
        <v/>
      </c>
      <c r="X158" s="143" t="str">
        <f>IFERROR(_xlfn.XLOOKUP($A158,'Raw Data'!$G:$G,'Raw Data'!$AB:$AB),"")</f>
        <v/>
      </c>
      <c r="Y158" s="143" t="str">
        <f>IFERROR(_xlfn.XLOOKUP($A158,'Raw Data'!$G:$G,'Raw Data'!AC:AC),"")</f>
        <v/>
      </c>
      <c r="Z158" s="143" t="str">
        <f>IFERROR(_xlfn.XLOOKUP($A158,'Raw Data'!$G:$G,'Raw Data'!AD:AD),"")</f>
        <v/>
      </c>
      <c r="AA158" s="143" t="str">
        <f>IFERROR(_xlfn.XLOOKUP($A158,'Raw Data'!$G:$G,'Raw Data'!AE:AE)*(1+(_xlfn.XLOOKUP(Table13[[#This Row],[Month Year]],JMR!$A:$A,JMR!$J:$J))),"")</f>
        <v/>
      </c>
      <c r="AB158" s="143" t="str">
        <f>IFERROR(_xlfn.XLOOKUP($A158,'Raw Data'!$G:$G,'Raw Data'!$H:$H),"")</f>
        <v/>
      </c>
      <c r="AC158" s="149">
        <f>IFERROR(_xlfn.XLOOKUP($D158,'Modelling New'!$D:$D,'Modelling New'!$P:$P),"")</f>
        <v>5.5049609600000018</v>
      </c>
      <c r="AD158" s="143">
        <f>IFERROR(_xlfn.XLOOKUP($D158,'Modelling New'!$D:$D,'Modelling New'!$T:$T)*1000,"")</f>
        <v>47057.046080205721</v>
      </c>
      <c r="AE158" s="148">
        <f>IFERROR(_xlfn.XLOOKUP($D158,'Modelling New'!$D:$D,'Modelling New'!$O:$O),"")</f>
        <v>0.72936145233565186</v>
      </c>
      <c r="AF158" s="148">
        <f>IFERROR(_xlfn.XLOOKUP($D158,'Modelling New'!$D:$D,'Modelling New'!$W:$W),"")</f>
        <v>0.16729609670152773</v>
      </c>
      <c r="AG158" s="148">
        <f>IFERROR(_xlfn.XLOOKUP($D158,'Modelling New'!$D:$D,'Modelling New'!AE:AE),"")</f>
        <v>0.995</v>
      </c>
      <c r="AH158" s="148">
        <f>IFERROR(_xlfn.XLOOKUP($D158,'Modelling New'!$D:$D,'Modelling New'!AF:AF),"")</f>
        <v>0.98550000000000004</v>
      </c>
      <c r="AN158" s="145"/>
      <c r="AO158" s="148"/>
      <c r="AP158" s="148"/>
      <c r="AQ158" s="148"/>
      <c r="AR158" s="143">
        <f>IFERROR(_xlfn.XLOOKUP($D158,'Modelling New'!$D:$D,'Modelling New'!$N:$N),"")</f>
        <v>11.72</v>
      </c>
      <c r="AT158" s="143" t="str">
        <f>IFERROR(_xlfn.XLOOKUP(Table13[[#This Row],[Date]],'Raw Data'!$G:$G,'Raw Data'!$AJ:$AJ),"")</f>
        <v/>
      </c>
      <c r="AU158" s="143">
        <f>IFERROR(_xlfn.XLOOKUP(Table13[[#This Row],[Month Year]],'Modelling New'!$D:$D,'Modelling New'!$AO:$AO),"")</f>
        <v>10</v>
      </c>
      <c r="AV158" s="143"/>
    </row>
    <row r="159" spans="1:48">
      <c r="A159" s="142">
        <f t="shared" si="11"/>
        <v>45902</v>
      </c>
      <c r="B159" s="143">
        <f>YEAR(Table13[[#This Row],[Date]])+IF(MONTH(Table13[[#This Row],[Date]])&gt;=4,1,0)</f>
        <v>2026</v>
      </c>
      <c r="C159" s="116">
        <f>YEAR(Table13[[#This Row],[Date]])</f>
        <v>2025</v>
      </c>
      <c r="D159" s="144">
        <f>Table13[[#This Row],[Date]]-DAY(Table13[[#This Row],[Date]])+1</f>
        <v>45901</v>
      </c>
      <c r="E159" s="116">
        <f t="shared" si="8"/>
        <v>30</v>
      </c>
      <c r="F159" s="117" t="str">
        <f>IFERROR(_xlfn.XLOOKUP($A159,'Raw Data'!$G:$G,'Raw Data'!$AH:$AH),"")</f>
        <v/>
      </c>
      <c r="G159" s="118" t="str">
        <f>IFERROR(_xlfn.XLOOKUP($A159,'Raw Data'!$G:$G,'Raw Data'!$S:$S)/1000,"")</f>
        <v/>
      </c>
      <c r="H159" s="118"/>
      <c r="I159" s="118" t="str">
        <f>IFERROR(_xlfn.XLOOKUP($A159,'Raw Data'!$G:$G,'Raw Data'!$AF:$AF)/1000,"")</f>
        <v/>
      </c>
      <c r="J159" s="118"/>
      <c r="K159" s="118" t="str">
        <f>IFERROR(_xlfn.XLOOKUP($A159,'Raw Data'!$G:$G,'Raw Data'!W:W),"")</f>
        <v/>
      </c>
      <c r="L159" s="118" t="str">
        <f>IFERROR(_xlfn.XLOOKUP($A159,'Raw Data'!$G:$G,'Raw Data'!X:X),"")</f>
        <v/>
      </c>
      <c r="M159" s="118" t="str">
        <f>IFERROR(_xlfn.XLOOKUP($A159,'Raw Data'!$G:$G,'Raw Data'!Y:Y),"")</f>
        <v/>
      </c>
      <c r="N159" s="118" t="str">
        <f>IFERROR(_xlfn.XLOOKUP($A159,'Raw Data'!$G:$G,'Raw Data'!Z:Z),"")</f>
        <v/>
      </c>
      <c r="O159" s="145" t="str">
        <f>IFERROR(1-SUMIF('Plant BD'!$B:$B,$A159,'Plant BD'!$AM:$AM)/($AA159+SUMIF('Plant BD'!$B:$B,$A159,'Plant BD'!$AM:$AM)),"")</f>
        <v/>
      </c>
      <c r="P159" s="145"/>
      <c r="Q159" s="146"/>
      <c r="R159" s="145" t="str">
        <f>IFERROR(1-SUMIF('Grid BD'!$B:$B,$A159,'Grid BD'!$AE:$AE)/($AA159+SUMIF('Grid BD'!$B:$B,$A159,'Grid BD'!$AE:$AE)),"")</f>
        <v/>
      </c>
      <c r="T159" s="146" t="str">
        <f>IFERROR(1-SUMIF(Tracker_BD!$H:$H,$A159,Tracker_BD!AI:AI)/$F159,"")</f>
        <v/>
      </c>
      <c r="U159" s="147" t="str">
        <f t="shared" si="9"/>
        <v/>
      </c>
      <c r="V159" s="147"/>
      <c r="W159" s="148" t="str">
        <f t="shared" si="10"/>
        <v/>
      </c>
      <c r="X159" s="143" t="str">
        <f>IFERROR(_xlfn.XLOOKUP($A159,'Raw Data'!$G:$G,'Raw Data'!$AB:$AB),"")</f>
        <v/>
      </c>
      <c r="Y159" s="143" t="str">
        <f>IFERROR(_xlfn.XLOOKUP($A159,'Raw Data'!$G:$G,'Raw Data'!AC:AC),"")</f>
        <v/>
      </c>
      <c r="Z159" s="143" t="str">
        <f>IFERROR(_xlfn.XLOOKUP($A159,'Raw Data'!$G:$G,'Raw Data'!AD:AD),"")</f>
        <v/>
      </c>
      <c r="AA159" s="143" t="str">
        <f>IFERROR(_xlfn.XLOOKUP($A159,'Raw Data'!$G:$G,'Raw Data'!AE:AE)*(1+(_xlfn.XLOOKUP(Table13[[#This Row],[Month Year]],JMR!$A:$A,JMR!$J:$J))),"")</f>
        <v/>
      </c>
      <c r="AB159" s="143" t="str">
        <f>IFERROR(_xlfn.XLOOKUP($A159,'Raw Data'!$G:$G,'Raw Data'!$H:$H),"")</f>
        <v/>
      </c>
      <c r="AC159" s="149">
        <f>IFERROR(_xlfn.XLOOKUP($D159,'Modelling New'!$D:$D,'Modelling New'!$P:$P),"")</f>
        <v>5.5049609600000018</v>
      </c>
      <c r="AD159" s="143">
        <f>IFERROR(_xlfn.XLOOKUP($D159,'Modelling New'!$D:$D,'Modelling New'!$T:$T)*1000,"")</f>
        <v>47057.046080205721</v>
      </c>
      <c r="AE159" s="148">
        <f>IFERROR(_xlfn.XLOOKUP($D159,'Modelling New'!$D:$D,'Modelling New'!$O:$O),"")</f>
        <v>0.72936145233565186</v>
      </c>
      <c r="AF159" s="148">
        <f>IFERROR(_xlfn.XLOOKUP($D159,'Modelling New'!$D:$D,'Modelling New'!$W:$W),"")</f>
        <v>0.16729609670152773</v>
      </c>
      <c r="AG159" s="148">
        <f>IFERROR(_xlfn.XLOOKUP($D159,'Modelling New'!$D:$D,'Modelling New'!AE:AE),"")</f>
        <v>0.995</v>
      </c>
      <c r="AH159" s="148">
        <f>IFERROR(_xlfn.XLOOKUP($D159,'Modelling New'!$D:$D,'Modelling New'!AF:AF),"")</f>
        <v>0.98550000000000004</v>
      </c>
      <c r="AN159" s="145"/>
      <c r="AO159" s="148"/>
      <c r="AP159" s="148"/>
      <c r="AQ159" s="148"/>
      <c r="AR159" s="143">
        <f>IFERROR(_xlfn.XLOOKUP($D159,'Modelling New'!$D:$D,'Modelling New'!$N:$N),"")</f>
        <v>11.72</v>
      </c>
      <c r="AT159" s="143" t="str">
        <f>IFERROR(_xlfn.XLOOKUP(Table13[[#This Row],[Date]],'Raw Data'!$G:$G,'Raw Data'!$AJ:$AJ),"")</f>
        <v/>
      </c>
      <c r="AU159" s="143">
        <f>IFERROR(_xlfn.XLOOKUP(Table13[[#This Row],[Month Year]],'Modelling New'!$D:$D,'Modelling New'!$AO:$AO),"")</f>
        <v>10</v>
      </c>
      <c r="AV159" s="143"/>
    </row>
    <row r="160" spans="1:48">
      <c r="A160" s="142">
        <f t="shared" si="11"/>
        <v>45903</v>
      </c>
      <c r="B160" s="143">
        <f>YEAR(Table13[[#This Row],[Date]])+IF(MONTH(Table13[[#This Row],[Date]])&gt;=4,1,0)</f>
        <v>2026</v>
      </c>
      <c r="C160" s="116">
        <f>YEAR(Table13[[#This Row],[Date]])</f>
        <v>2025</v>
      </c>
      <c r="D160" s="144">
        <f>Table13[[#This Row],[Date]]-DAY(Table13[[#This Row],[Date]])+1</f>
        <v>45901</v>
      </c>
      <c r="E160" s="116">
        <f t="shared" si="8"/>
        <v>30</v>
      </c>
      <c r="F160" s="117" t="str">
        <f>IFERROR(_xlfn.XLOOKUP($A160,'Raw Data'!$G:$G,'Raw Data'!$AH:$AH),"")</f>
        <v/>
      </c>
      <c r="G160" s="118" t="str">
        <f>IFERROR(_xlfn.XLOOKUP($A160,'Raw Data'!$G:$G,'Raw Data'!$S:$S)/1000,"")</f>
        <v/>
      </c>
      <c r="H160" s="118"/>
      <c r="I160" s="118" t="str">
        <f>IFERROR(_xlfn.XLOOKUP($A160,'Raw Data'!$G:$G,'Raw Data'!$AF:$AF)/1000,"")</f>
        <v/>
      </c>
      <c r="J160" s="118"/>
      <c r="K160" s="118" t="str">
        <f>IFERROR(_xlfn.XLOOKUP($A160,'Raw Data'!$G:$G,'Raw Data'!W:W),"")</f>
        <v/>
      </c>
      <c r="L160" s="118" t="str">
        <f>IFERROR(_xlfn.XLOOKUP($A160,'Raw Data'!$G:$G,'Raw Data'!X:X),"")</f>
        <v/>
      </c>
      <c r="M160" s="118" t="str">
        <f>IFERROR(_xlfn.XLOOKUP($A160,'Raw Data'!$G:$G,'Raw Data'!Y:Y),"")</f>
        <v/>
      </c>
      <c r="N160" s="118" t="str">
        <f>IFERROR(_xlfn.XLOOKUP($A160,'Raw Data'!$G:$G,'Raw Data'!Z:Z),"")</f>
        <v/>
      </c>
      <c r="O160" s="145" t="str">
        <f>IFERROR(1-SUMIF('Plant BD'!$B:$B,$A160,'Plant BD'!$AM:$AM)/($AA160+SUMIF('Plant BD'!$B:$B,$A160,'Plant BD'!$AM:$AM)),"")</f>
        <v/>
      </c>
      <c r="P160" s="145"/>
      <c r="Q160" s="146"/>
      <c r="R160" s="145" t="str">
        <f>IFERROR(1-SUMIF('Grid BD'!$B:$B,$A160,'Grid BD'!$AE:$AE)/($AA160+SUMIF('Grid BD'!$B:$B,$A160,'Grid BD'!$AE:$AE)),"")</f>
        <v/>
      </c>
      <c r="T160" s="146" t="str">
        <f>IFERROR(1-SUMIF(Tracker_BD!$H:$H,$A160,Tracker_BD!AI:AI)/$F160,"")</f>
        <v/>
      </c>
      <c r="U160" s="147" t="str">
        <f t="shared" si="9"/>
        <v/>
      </c>
      <c r="V160" s="147"/>
      <c r="W160" s="148" t="str">
        <f t="shared" si="10"/>
        <v/>
      </c>
      <c r="X160" s="143" t="str">
        <f>IFERROR(_xlfn.XLOOKUP($A160,'Raw Data'!$G:$G,'Raw Data'!$AB:$AB),"")</f>
        <v/>
      </c>
      <c r="Y160" s="143" t="str">
        <f>IFERROR(_xlfn.XLOOKUP($A160,'Raw Data'!$G:$G,'Raw Data'!AC:AC),"")</f>
        <v/>
      </c>
      <c r="Z160" s="143" t="str">
        <f>IFERROR(_xlfn.XLOOKUP($A160,'Raw Data'!$G:$G,'Raw Data'!AD:AD),"")</f>
        <v/>
      </c>
      <c r="AA160" s="143" t="str">
        <f>IFERROR(_xlfn.XLOOKUP($A160,'Raw Data'!$G:$G,'Raw Data'!AE:AE)*(1+(_xlfn.XLOOKUP(Table13[[#This Row],[Month Year]],JMR!$A:$A,JMR!$J:$J))),"")</f>
        <v/>
      </c>
      <c r="AB160" s="143" t="str">
        <f>IFERROR(_xlfn.XLOOKUP($A160,'Raw Data'!$G:$G,'Raw Data'!$H:$H),"")</f>
        <v/>
      </c>
      <c r="AC160" s="149">
        <f>IFERROR(_xlfn.XLOOKUP($D160,'Modelling New'!$D:$D,'Modelling New'!$P:$P),"")</f>
        <v>5.5049609600000018</v>
      </c>
      <c r="AD160" s="143">
        <f>IFERROR(_xlfn.XLOOKUP($D160,'Modelling New'!$D:$D,'Modelling New'!$T:$T)*1000,"")</f>
        <v>47057.046080205721</v>
      </c>
      <c r="AE160" s="148">
        <f>IFERROR(_xlfn.XLOOKUP($D160,'Modelling New'!$D:$D,'Modelling New'!$O:$O),"")</f>
        <v>0.72936145233565186</v>
      </c>
      <c r="AF160" s="148">
        <f>IFERROR(_xlfn.XLOOKUP($D160,'Modelling New'!$D:$D,'Modelling New'!$W:$W),"")</f>
        <v>0.16729609670152773</v>
      </c>
      <c r="AG160" s="148">
        <f>IFERROR(_xlfn.XLOOKUP($D160,'Modelling New'!$D:$D,'Modelling New'!AE:AE),"")</f>
        <v>0.995</v>
      </c>
      <c r="AH160" s="148">
        <f>IFERROR(_xlfn.XLOOKUP($D160,'Modelling New'!$D:$D,'Modelling New'!AF:AF),"")</f>
        <v>0.98550000000000004</v>
      </c>
      <c r="AN160" s="145"/>
      <c r="AO160" s="148"/>
      <c r="AP160" s="148"/>
      <c r="AQ160" s="148"/>
      <c r="AR160" s="143">
        <f>IFERROR(_xlfn.XLOOKUP($D160,'Modelling New'!$D:$D,'Modelling New'!$N:$N),"")</f>
        <v>11.72</v>
      </c>
      <c r="AT160" s="143" t="str">
        <f>IFERROR(_xlfn.XLOOKUP(Table13[[#This Row],[Date]],'Raw Data'!$G:$G,'Raw Data'!$AJ:$AJ),"")</f>
        <v/>
      </c>
      <c r="AU160" s="143">
        <f>IFERROR(_xlfn.XLOOKUP(Table13[[#This Row],[Month Year]],'Modelling New'!$D:$D,'Modelling New'!$AO:$AO),"")</f>
        <v>10</v>
      </c>
      <c r="AV160" s="143"/>
    </row>
    <row r="161" spans="1:48">
      <c r="A161" s="142">
        <f t="shared" si="11"/>
        <v>45904</v>
      </c>
      <c r="B161" s="143">
        <f>YEAR(Table13[[#This Row],[Date]])+IF(MONTH(Table13[[#This Row],[Date]])&gt;=4,1,0)</f>
        <v>2026</v>
      </c>
      <c r="C161" s="116">
        <f>YEAR(Table13[[#This Row],[Date]])</f>
        <v>2025</v>
      </c>
      <c r="D161" s="144">
        <f>Table13[[#This Row],[Date]]-DAY(Table13[[#This Row],[Date]])+1</f>
        <v>45901</v>
      </c>
      <c r="E161" s="116">
        <f t="shared" si="8"/>
        <v>30</v>
      </c>
      <c r="F161" s="117" t="str">
        <f>IFERROR(_xlfn.XLOOKUP($A161,'Raw Data'!$G:$G,'Raw Data'!$AH:$AH),"")</f>
        <v/>
      </c>
      <c r="G161" s="118" t="str">
        <f>IFERROR(_xlfn.XLOOKUP($A161,'Raw Data'!$G:$G,'Raw Data'!$S:$S)/1000,"")</f>
        <v/>
      </c>
      <c r="H161" s="118"/>
      <c r="I161" s="118" t="str">
        <f>IFERROR(_xlfn.XLOOKUP($A161,'Raw Data'!$G:$G,'Raw Data'!$AF:$AF)/1000,"")</f>
        <v/>
      </c>
      <c r="J161" s="118"/>
      <c r="K161" s="118" t="str">
        <f>IFERROR(_xlfn.XLOOKUP($A161,'Raw Data'!$G:$G,'Raw Data'!W:W),"")</f>
        <v/>
      </c>
      <c r="L161" s="118" t="str">
        <f>IFERROR(_xlfn.XLOOKUP($A161,'Raw Data'!$G:$G,'Raw Data'!X:X),"")</f>
        <v/>
      </c>
      <c r="M161" s="118" t="str">
        <f>IFERROR(_xlfn.XLOOKUP($A161,'Raw Data'!$G:$G,'Raw Data'!Y:Y),"")</f>
        <v/>
      </c>
      <c r="N161" s="118" t="str">
        <f>IFERROR(_xlfn.XLOOKUP($A161,'Raw Data'!$G:$G,'Raw Data'!Z:Z),"")</f>
        <v/>
      </c>
      <c r="O161" s="145" t="str">
        <f>IFERROR(1-SUMIF('Plant BD'!$B:$B,$A161,'Plant BD'!$AM:$AM)/($AA161+SUMIF('Plant BD'!$B:$B,$A161,'Plant BD'!$AM:$AM)),"")</f>
        <v/>
      </c>
      <c r="P161" s="145"/>
      <c r="Q161" s="146"/>
      <c r="R161" s="145" t="str">
        <f>IFERROR(1-SUMIF('Grid BD'!$B:$B,$A161,'Grid BD'!$AE:$AE)/($AA161+SUMIF('Grid BD'!$B:$B,$A161,'Grid BD'!$AE:$AE)),"")</f>
        <v/>
      </c>
      <c r="T161" s="146" t="str">
        <f>IFERROR(1-SUMIF(Tracker_BD!$H:$H,$A161,Tracker_BD!AI:AI)/$F161,"")</f>
        <v/>
      </c>
      <c r="U161" s="147" t="str">
        <f t="shared" si="9"/>
        <v/>
      </c>
      <c r="V161" s="147"/>
      <c r="W161" s="148" t="str">
        <f t="shared" si="10"/>
        <v/>
      </c>
      <c r="X161" s="143" t="str">
        <f>IFERROR(_xlfn.XLOOKUP($A161,'Raw Data'!$G:$G,'Raw Data'!$AB:$AB),"")</f>
        <v/>
      </c>
      <c r="Y161" s="143" t="str">
        <f>IFERROR(_xlfn.XLOOKUP($A161,'Raw Data'!$G:$G,'Raw Data'!AC:AC),"")</f>
        <v/>
      </c>
      <c r="Z161" s="143" t="str">
        <f>IFERROR(_xlfn.XLOOKUP($A161,'Raw Data'!$G:$G,'Raw Data'!AD:AD),"")</f>
        <v/>
      </c>
      <c r="AA161" s="143" t="str">
        <f>IFERROR(_xlfn.XLOOKUP($A161,'Raw Data'!$G:$G,'Raw Data'!AE:AE)*(1+(_xlfn.XLOOKUP(Table13[[#This Row],[Month Year]],JMR!$A:$A,JMR!$J:$J))),"")</f>
        <v/>
      </c>
      <c r="AB161" s="143" t="str">
        <f>IFERROR(_xlfn.XLOOKUP($A161,'Raw Data'!$G:$G,'Raw Data'!$H:$H),"")</f>
        <v/>
      </c>
      <c r="AC161" s="149">
        <f>IFERROR(_xlfn.XLOOKUP($D161,'Modelling New'!$D:$D,'Modelling New'!$P:$P),"")</f>
        <v>5.5049609600000018</v>
      </c>
      <c r="AD161" s="143">
        <f>IFERROR(_xlfn.XLOOKUP($D161,'Modelling New'!$D:$D,'Modelling New'!$T:$T)*1000,"")</f>
        <v>47057.046080205721</v>
      </c>
      <c r="AE161" s="148">
        <f>IFERROR(_xlfn.XLOOKUP($D161,'Modelling New'!$D:$D,'Modelling New'!$O:$O),"")</f>
        <v>0.72936145233565186</v>
      </c>
      <c r="AF161" s="148">
        <f>IFERROR(_xlfn.XLOOKUP($D161,'Modelling New'!$D:$D,'Modelling New'!$W:$W),"")</f>
        <v>0.16729609670152773</v>
      </c>
      <c r="AG161" s="148">
        <f>IFERROR(_xlfn.XLOOKUP($D161,'Modelling New'!$D:$D,'Modelling New'!AE:AE),"")</f>
        <v>0.995</v>
      </c>
      <c r="AH161" s="148">
        <f>IFERROR(_xlfn.XLOOKUP($D161,'Modelling New'!$D:$D,'Modelling New'!AF:AF),"")</f>
        <v>0.98550000000000004</v>
      </c>
      <c r="AN161" s="145"/>
      <c r="AO161" s="148"/>
      <c r="AP161" s="148"/>
      <c r="AQ161" s="148"/>
      <c r="AR161" s="143">
        <f>IFERROR(_xlfn.XLOOKUP($D161,'Modelling New'!$D:$D,'Modelling New'!$N:$N),"")</f>
        <v>11.72</v>
      </c>
      <c r="AT161" s="143" t="str">
        <f>IFERROR(_xlfn.XLOOKUP(Table13[[#This Row],[Date]],'Raw Data'!$G:$G,'Raw Data'!$AJ:$AJ),"")</f>
        <v/>
      </c>
      <c r="AU161" s="143">
        <f>IFERROR(_xlfn.XLOOKUP(Table13[[#This Row],[Month Year]],'Modelling New'!$D:$D,'Modelling New'!$AO:$AO),"")</f>
        <v>10</v>
      </c>
      <c r="AV161" s="143"/>
    </row>
    <row r="162" spans="1:48">
      <c r="A162" s="142">
        <f t="shared" si="11"/>
        <v>45905</v>
      </c>
      <c r="B162" s="143">
        <f>YEAR(Table13[[#This Row],[Date]])+IF(MONTH(Table13[[#This Row],[Date]])&gt;=4,1,0)</f>
        <v>2026</v>
      </c>
      <c r="C162" s="116">
        <f>YEAR(Table13[[#This Row],[Date]])</f>
        <v>2025</v>
      </c>
      <c r="D162" s="144">
        <f>Table13[[#This Row],[Date]]-DAY(Table13[[#This Row],[Date]])+1</f>
        <v>45901</v>
      </c>
      <c r="E162" s="116">
        <f t="shared" si="8"/>
        <v>30</v>
      </c>
      <c r="F162" s="117" t="str">
        <f>IFERROR(_xlfn.XLOOKUP($A162,'Raw Data'!$G:$G,'Raw Data'!$AH:$AH),"")</f>
        <v/>
      </c>
      <c r="G162" s="118" t="str">
        <f>IFERROR(_xlfn.XLOOKUP($A162,'Raw Data'!$G:$G,'Raw Data'!$S:$S)/1000,"")</f>
        <v/>
      </c>
      <c r="H162" s="118"/>
      <c r="I162" s="118" t="str">
        <f>IFERROR(_xlfn.XLOOKUP($A162,'Raw Data'!$G:$G,'Raw Data'!$AF:$AF)/1000,"")</f>
        <v/>
      </c>
      <c r="J162" s="118"/>
      <c r="K162" s="118" t="str">
        <f>IFERROR(_xlfn.XLOOKUP($A162,'Raw Data'!$G:$G,'Raw Data'!W:W),"")</f>
        <v/>
      </c>
      <c r="L162" s="118" t="str">
        <f>IFERROR(_xlfn.XLOOKUP($A162,'Raw Data'!$G:$G,'Raw Data'!X:X),"")</f>
        <v/>
      </c>
      <c r="M162" s="118" t="str">
        <f>IFERROR(_xlfn.XLOOKUP($A162,'Raw Data'!$G:$G,'Raw Data'!Y:Y),"")</f>
        <v/>
      </c>
      <c r="N162" s="118" t="str">
        <f>IFERROR(_xlfn.XLOOKUP($A162,'Raw Data'!$G:$G,'Raw Data'!Z:Z),"")</f>
        <v/>
      </c>
      <c r="O162" s="145" t="str">
        <f>IFERROR(1-SUMIF('Plant BD'!$B:$B,$A162,'Plant BD'!$AM:$AM)/($AA162+SUMIF('Plant BD'!$B:$B,$A162,'Plant BD'!$AM:$AM)),"")</f>
        <v/>
      </c>
      <c r="P162" s="145"/>
      <c r="Q162" s="146"/>
      <c r="R162" s="145" t="str">
        <f>IFERROR(1-SUMIF('Grid BD'!$B:$B,$A162,'Grid BD'!$AE:$AE)/($AA162+SUMIF('Grid BD'!$B:$B,$A162,'Grid BD'!$AE:$AE)),"")</f>
        <v/>
      </c>
      <c r="T162" s="146" t="str">
        <f>IFERROR(1-SUMIF(Tracker_BD!$H:$H,$A162,Tracker_BD!AI:AI)/$F162,"")</f>
        <v/>
      </c>
      <c r="U162" s="147" t="str">
        <f t="shared" si="9"/>
        <v/>
      </c>
      <c r="V162" s="147"/>
      <c r="W162" s="148" t="str">
        <f t="shared" si="10"/>
        <v/>
      </c>
      <c r="X162" s="143" t="str">
        <f>IFERROR(_xlfn.XLOOKUP($A162,'Raw Data'!$G:$G,'Raw Data'!$AB:$AB),"")</f>
        <v/>
      </c>
      <c r="Y162" s="143" t="str">
        <f>IFERROR(_xlfn.XLOOKUP($A162,'Raw Data'!$G:$G,'Raw Data'!AC:AC),"")</f>
        <v/>
      </c>
      <c r="Z162" s="143" t="str">
        <f>IFERROR(_xlfn.XLOOKUP($A162,'Raw Data'!$G:$G,'Raw Data'!AD:AD),"")</f>
        <v/>
      </c>
      <c r="AA162" s="143" t="str">
        <f>IFERROR(_xlfn.XLOOKUP($A162,'Raw Data'!$G:$G,'Raw Data'!AE:AE)*(1+(_xlfn.XLOOKUP(Table13[[#This Row],[Month Year]],JMR!$A:$A,JMR!$J:$J))),"")</f>
        <v/>
      </c>
      <c r="AB162" s="143" t="str">
        <f>IFERROR(_xlfn.XLOOKUP($A162,'Raw Data'!$G:$G,'Raw Data'!$H:$H),"")</f>
        <v/>
      </c>
      <c r="AC162" s="149">
        <f>IFERROR(_xlfn.XLOOKUP($D162,'Modelling New'!$D:$D,'Modelling New'!$P:$P),"")</f>
        <v>5.5049609600000018</v>
      </c>
      <c r="AD162" s="143">
        <f>IFERROR(_xlfn.XLOOKUP($D162,'Modelling New'!$D:$D,'Modelling New'!$T:$T)*1000,"")</f>
        <v>47057.046080205721</v>
      </c>
      <c r="AE162" s="148">
        <f>IFERROR(_xlfn.XLOOKUP($D162,'Modelling New'!$D:$D,'Modelling New'!$O:$O),"")</f>
        <v>0.72936145233565186</v>
      </c>
      <c r="AF162" s="148">
        <f>IFERROR(_xlfn.XLOOKUP($D162,'Modelling New'!$D:$D,'Modelling New'!$W:$W),"")</f>
        <v>0.16729609670152773</v>
      </c>
      <c r="AG162" s="148">
        <f>IFERROR(_xlfn.XLOOKUP($D162,'Modelling New'!$D:$D,'Modelling New'!AE:AE),"")</f>
        <v>0.995</v>
      </c>
      <c r="AH162" s="148">
        <f>IFERROR(_xlfn.XLOOKUP($D162,'Modelling New'!$D:$D,'Modelling New'!AF:AF),"")</f>
        <v>0.98550000000000004</v>
      </c>
      <c r="AN162" s="145"/>
      <c r="AO162" s="148"/>
      <c r="AP162" s="148"/>
      <c r="AQ162" s="148"/>
      <c r="AR162" s="143">
        <f>IFERROR(_xlfn.XLOOKUP($D162,'Modelling New'!$D:$D,'Modelling New'!$N:$N),"")</f>
        <v>11.72</v>
      </c>
      <c r="AT162" s="143" t="str">
        <f>IFERROR(_xlfn.XLOOKUP(Table13[[#This Row],[Date]],'Raw Data'!$G:$G,'Raw Data'!$AJ:$AJ),"")</f>
        <v/>
      </c>
      <c r="AU162" s="143">
        <f>IFERROR(_xlfn.XLOOKUP(Table13[[#This Row],[Month Year]],'Modelling New'!$D:$D,'Modelling New'!$AO:$AO),"")</f>
        <v>10</v>
      </c>
      <c r="AV162" s="143"/>
    </row>
    <row r="163" spans="1:48">
      <c r="A163" s="142">
        <f t="shared" si="11"/>
        <v>45906</v>
      </c>
      <c r="B163" s="143">
        <f>YEAR(Table13[[#This Row],[Date]])+IF(MONTH(Table13[[#This Row],[Date]])&gt;=4,1,0)</f>
        <v>2026</v>
      </c>
      <c r="C163" s="116">
        <f>YEAR(Table13[[#This Row],[Date]])</f>
        <v>2025</v>
      </c>
      <c r="D163" s="144">
        <f>Table13[[#This Row],[Date]]-DAY(Table13[[#This Row],[Date]])+1</f>
        <v>45901</v>
      </c>
      <c r="E163" s="116">
        <f t="shared" si="8"/>
        <v>30</v>
      </c>
      <c r="F163" s="117" t="str">
        <f>IFERROR(_xlfn.XLOOKUP($A163,'Raw Data'!$G:$G,'Raw Data'!$AH:$AH),"")</f>
        <v/>
      </c>
      <c r="G163" s="118" t="str">
        <f>IFERROR(_xlfn.XLOOKUP($A163,'Raw Data'!$G:$G,'Raw Data'!$S:$S)/1000,"")</f>
        <v/>
      </c>
      <c r="H163" s="118"/>
      <c r="I163" s="118" t="str">
        <f>IFERROR(_xlfn.XLOOKUP($A163,'Raw Data'!$G:$G,'Raw Data'!$AF:$AF)/1000,"")</f>
        <v/>
      </c>
      <c r="J163" s="118"/>
      <c r="K163" s="118" t="str">
        <f>IFERROR(_xlfn.XLOOKUP($A163,'Raw Data'!$G:$G,'Raw Data'!W:W),"")</f>
        <v/>
      </c>
      <c r="L163" s="118" t="str">
        <f>IFERROR(_xlfn.XLOOKUP($A163,'Raw Data'!$G:$G,'Raw Data'!X:X),"")</f>
        <v/>
      </c>
      <c r="M163" s="118" t="str">
        <f>IFERROR(_xlfn.XLOOKUP($A163,'Raw Data'!$G:$G,'Raw Data'!Y:Y),"")</f>
        <v/>
      </c>
      <c r="N163" s="118" t="str">
        <f>IFERROR(_xlfn.XLOOKUP($A163,'Raw Data'!$G:$G,'Raw Data'!Z:Z),"")</f>
        <v/>
      </c>
      <c r="O163" s="145" t="str">
        <f>IFERROR(1-SUMIF('Plant BD'!$B:$B,$A163,'Plant BD'!$AM:$AM)/($AA163+SUMIF('Plant BD'!$B:$B,$A163,'Plant BD'!$AM:$AM)),"")</f>
        <v/>
      </c>
      <c r="P163" s="145"/>
      <c r="Q163" s="146"/>
      <c r="R163" s="145" t="str">
        <f>IFERROR(1-SUMIF('Grid BD'!$B:$B,$A163,'Grid BD'!$AE:$AE)/($AA163+SUMIF('Grid BD'!$B:$B,$A163,'Grid BD'!$AE:$AE)),"")</f>
        <v/>
      </c>
      <c r="T163" s="146" t="str">
        <f>IFERROR(1-SUMIF(Tracker_BD!$H:$H,$A163,Tracker_BD!AI:AI)/$F163,"")</f>
        <v/>
      </c>
      <c r="U163" s="147" t="str">
        <f t="shared" si="9"/>
        <v/>
      </c>
      <c r="V163" s="147"/>
      <c r="W163" s="148" t="str">
        <f t="shared" si="10"/>
        <v/>
      </c>
      <c r="X163" s="143" t="str">
        <f>IFERROR(_xlfn.XLOOKUP($A163,'Raw Data'!$G:$G,'Raw Data'!$AB:$AB),"")</f>
        <v/>
      </c>
      <c r="Y163" s="143" t="str">
        <f>IFERROR(_xlfn.XLOOKUP($A163,'Raw Data'!$G:$G,'Raw Data'!AC:AC),"")</f>
        <v/>
      </c>
      <c r="Z163" s="143" t="str">
        <f>IFERROR(_xlfn.XLOOKUP($A163,'Raw Data'!$G:$G,'Raw Data'!AD:AD),"")</f>
        <v/>
      </c>
      <c r="AA163" s="143" t="str">
        <f>IFERROR(_xlfn.XLOOKUP($A163,'Raw Data'!$G:$G,'Raw Data'!AE:AE)*(1+(_xlfn.XLOOKUP(Table13[[#This Row],[Month Year]],JMR!$A:$A,JMR!$J:$J))),"")</f>
        <v/>
      </c>
      <c r="AB163" s="143" t="str">
        <f>IFERROR(_xlfn.XLOOKUP($A163,'Raw Data'!$G:$G,'Raw Data'!$H:$H),"")</f>
        <v/>
      </c>
      <c r="AC163" s="149">
        <f>IFERROR(_xlfn.XLOOKUP($D163,'Modelling New'!$D:$D,'Modelling New'!$P:$P),"")</f>
        <v>5.5049609600000018</v>
      </c>
      <c r="AD163" s="143">
        <f>IFERROR(_xlfn.XLOOKUP($D163,'Modelling New'!$D:$D,'Modelling New'!$T:$T)*1000,"")</f>
        <v>47057.046080205721</v>
      </c>
      <c r="AE163" s="148">
        <f>IFERROR(_xlfn.XLOOKUP($D163,'Modelling New'!$D:$D,'Modelling New'!$O:$O),"")</f>
        <v>0.72936145233565186</v>
      </c>
      <c r="AF163" s="148">
        <f>IFERROR(_xlfn.XLOOKUP($D163,'Modelling New'!$D:$D,'Modelling New'!$W:$W),"")</f>
        <v>0.16729609670152773</v>
      </c>
      <c r="AG163" s="148">
        <f>IFERROR(_xlfn.XLOOKUP($D163,'Modelling New'!$D:$D,'Modelling New'!AE:AE),"")</f>
        <v>0.995</v>
      </c>
      <c r="AH163" s="148">
        <f>IFERROR(_xlfn.XLOOKUP($D163,'Modelling New'!$D:$D,'Modelling New'!AF:AF),"")</f>
        <v>0.98550000000000004</v>
      </c>
      <c r="AN163" s="145"/>
      <c r="AO163" s="148"/>
      <c r="AP163" s="148"/>
      <c r="AQ163" s="148"/>
      <c r="AR163" s="143">
        <f>IFERROR(_xlfn.XLOOKUP($D163,'Modelling New'!$D:$D,'Modelling New'!$N:$N),"")</f>
        <v>11.72</v>
      </c>
      <c r="AT163" s="143" t="str">
        <f>IFERROR(_xlfn.XLOOKUP(Table13[[#This Row],[Date]],'Raw Data'!$G:$G,'Raw Data'!$AJ:$AJ),"")</f>
        <v/>
      </c>
      <c r="AU163" s="143">
        <f>IFERROR(_xlfn.XLOOKUP(Table13[[#This Row],[Month Year]],'Modelling New'!$D:$D,'Modelling New'!$AO:$AO),"")</f>
        <v>10</v>
      </c>
      <c r="AV163" s="143"/>
    </row>
    <row r="164" spans="1:48">
      <c r="A164" s="142">
        <f t="shared" si="11"/>
        <v>45907</v>
      </c>
      <c r="B164" s="143">
        <f>YEAR(Table13[[#This Row],[Date]])+IF(MONTH(Table13[[#This Row],[Date]])&gt;=4,1,0)</f>
        <v>2026</v>
      </c>
      <c r="C164" s="116">
        <f>YEAR(Table13[[#This Row],[Date]])</f>
        <v>2025</v>
      </c>
      <c r="D164" s="144">
        <f>Table13[[#This Row],[Date]]-DAY(Table13[[#This Row],[Date]])+1</f>
        <v>45901</v>
      </c>
      <c r="E164" s="116">
        <f t="shared" si="8"/>
        <v>30</v>
      </c>
      <c r="F164" s="117" t="str">
        <f>IFERROR(_xlfn.XLOOKUP($A164,'Raw Data'!$G:$G,'Raw Data'!$AH:$AH),"")</f>
        <v/>
      </c>
      <c r="G164" s="118" t="str">
        <f>IFERROR(_xlfn.XLOOKUP($A164,'Raw Data'!$G:$G,'Raw Data'!$S:$S)/1000,"")</f>
        <v/>
      </c>
      <c r="H164" s="118"/>
      <c r="I164" s="118" t="str">
        <f>IFERROR(_xlfn.XLOOKUP($A164,'Raw Data'!$G:$G,'Raw Data'!$AF:$AF)/1000,"")</f>
        <v/>
      </c>
      <c r="J164" s="118"/>
      <c r="K164" s="118" t="str">
        <f>IFERROR(_xlfn.XLOOKUP($A164,'Raw Data'!$G:$G,'Raw Data'!W:W),"")</f>
        <v/>
      </c>
      <c r="L164" s="118" t="str">
        <f>IFERROR(_xlfn.XLOOKUP($A164,'Raw Data'!$G:$G,'Raw Data'!X:X),"")</f>
        <v/>
      </c>
      <c r="M164" s="118" t="str">
        <f>IFERROR(_xlfn.XLOOKUP($A164,'Raw Data'!$G:$G,'Raw Data'!Y:Y),"")</f>
        <v/>
      </c>
      <c r="N164" s="118" t="str">
        <f>IFERROR(_xlfn.XLOOKUP($A164,'Raw Data'!$G:$G,'Raw Data'!Z:Z),"")</f>
        <v/>
      </c>
      <c r="O164" s="145" t="str">
        <f>IFERROR(1-SUMIF('Plant BD'!$B:$B,$A164,'Plant BD'!$AM:$AM)/($AA164+SUMIF('Plant BD'!$B:$B,$A164,'Plant BD'!$AM:$AM)),"")</f>
        <v/>
      </c>
      <c r="P164" s="145"/>
      <c r="Q164" s="146"/>
      <c r="R164" s="145" t="str">
        <f>IFERROR(1-SUMIF('Grid BD'!$B:$B,$A164,'Grid BD'!$AE:$AE)/($AA164+SUMIF('Grid BD'!$B:$B,$A164,'Grid BD'!$AE:$AE)),"")</f>
        <v/>
      </c>
      <c r="T164" s="146" t="str">
        <f>IFERROR(1-SUMIF(Tracker_BD!$H:$H,$A164,Tracker_BD!AI:AI)/$F164,"")</f>
        <v/>
      </c>
      <c r="U164" s="147" t="str">
        <f t="shared" si="9"/>
        <v/>
      </c>
      <c r="V164" s="147"/>
      <c r="W164" s="148" t="str">
        <f t="shared" si="10"/>
        <v/>
      </c>
      <c r="X164" s="143" t="str">
        <f>IFERROR(_xlfn.XLOOKUP($A164,'Raw Data'!$G:$G,'Raw Data'!$AB:$AB),"")</f>
        <v/>
      </c>
      <c r="Y164" s="143" t="str">
        <f>IFERROR(_xlfn.XLOOKUP($A164,'Raw Data'!$G:$G,'Raw Data'!AC:AC),"")</f>
        <v/>
      </c>
      <c r="Z164" s="143" t="str">
        <f>IFERROR(_xlfn.XLOOKUP($A164,'Raw Data'!$G:$G,'Raw Data'!AD:AD),"")</f>
        <v/>
      </c>
      <c r="AA164" s="143" t="str">
        <f>IFERROR(_xlfn.XLOOKUP($A164,'Raw Data'!$G:$G,'Raw Data'!AE:AE)*(1+(_xlfn.XLOOKUP(Table13[[#This Row],[Month Year]],JMR!$A:$A,JMR!$J:$J))),"")</f>
        <v/>
      </c>
      <c r="AB164" s="143" t="str">
        <f>IFERROR(_xlfn.XLOOKUP($A164,'Raw Data'!$G:$G,'Raw Data'!$H:$H),"")</f>
        <v/>
      </c>
      <c r="AC164" s="149">
        <f>IFERROR(_xlfn.XLOOKUP($D164,'Modelling New'!$D:$D,'Modelling New'!$P:$P),"")</f>
        <v>5.5049609600000018</v>
      </c>
      <c r="AD164" s="143">
        <f>IFERROR(_xlfn.XLOOKUP($D164,'Modelling New'!$D:$D,'Modelling New'!$T:$T)*1000,"")</f>
        <v>47057.046080205721</v>
      </c>
      <c r="AE164" s="148">
        <f>IFERROR(_xlfn.XLOOKUP($D164,'Modelling New'!$D:$D,'Modelling New'!$O:$O),"")</f>
        <v>0.72936145233565186</v>
      </c>
      <c r="AF164" s="148">
        <f>IFERROR(_xlfn.XLOOKUP($D164,'Modelling New'!$D:$D,'Modelling New'!$W:$W),"")</f>
        <v>0.16729609670152773</v>
      </c>
      <c r="AG164" s="148">
        <f>IFERROR(_xlfn.XLOOKUP($D164,'Modelling New'!$D:$D,'Modelling New'!AE:AE),"")</f>
        <v>0.995</v>
      </c>
      <c r="AH164" s="148">
        <f>IFERROR(_xlfn.XLOOKUP($D164,'Modelling New'!$D:$D,'Modelling New'!AF:AF),"")</f>
        <v>0.98550000000000004</v>
      </c>
      <c r="AN164" s="145"/>
      <c r="AO164" s="148"/>
      <c r="AP164" s="148"/>
      <c r="AQ164" s="148"/>
      <c r="AR164" s="143">
        <f>IFERROR(_xlfn.XLOOKUP($D164,'Modelling New'!$D:$D,'Modelling New'!$N:$N),"")</f>
        <v>11.72</v>
      </c>
      <c r="AT164" s="143" t="str">
        <f>IFERROR(_xlfn.XLOOKUP(Table13[[#This Row],[Date]],'Raw Data'!$G:$G,'Raw Data'!$AJ:$AJ),"")</f>
        <v/>
      </c>
      <c r="AU164" s="143">
        <f>IFERROR(_xlfn.XLOOKUP(Table13[[#This Row],[Month Year]],'Modelling New'!$D:$D,'Modelling New'!$AO:$AO),"")</f>
        <v>10</v>
      </c>
      <c r="AV164" s="143"/>
    </row>
    <row r="165" spans="1:48">
      <c r="A165" s="142">
        <f t="shared" si="11"/>
        <v>45908</v>
      </c>
      <c r="B165" s="143">
        <f>YEAR(Table13[[#This Row],[Date]])+IF(MONTH(Table13[[#This Row],[Date]])&gt;=4,1,0)</f>
        <v>2026</v>
      </c>
      <c r="C165" s="116">
        <f>YEAR(Table13[[#This Row],[Date]])</f>
        <v>2025</v>
      </c>
      <c r="D165" s="144">
        <f>Table13[[#This Row],[Date]]-DAY(Table13[[#This Row],[Date]])+1</f>
        <v>45901</v>
      </c>
      <c r="E165" s="116">
        <f t="shared" si="8"/>
        <v>30</v>
      </c>
      <c r="F165" s="117" t="str">
        <f>IFERROR(_xlfn.XLOOKUP($A165,'Raw Data'!$G:$G,'Raw Data'!$AH:$AH),"")</f>
        <v/>
      </c>
      <c r="G165" s="118" t="str">
        <f>IFERROR(_xlfn.XLOOKUP($A165,'Raw Data'!$G:$G,'Raw Data'!$S:$S)/1000,"")</f>
        <v/>
      </c>
      <c r="H165" s="118"/>
      <c r="I165" s="118" t="str">
        <f>IFERROR(_xlfn.XLOOKUP($A165,'Raw Data'!$G:$G,'Raw Data'!$AF:$AF)/1000,"")</f>
        <v/>
      </c>
      <c r="J165" s="118"/>
      <c r="K165" s="118" t="str">
        <f>IFERROR(_xlfn.XLOOKUP($A165,'Raw Data'!$G:$G,'Raw Data'!W:W),"")</f>
        <v/>
      </c>
      <c r="L165" s="118" t="str">
        <f>IFERROR(_xlfn.XLOOKUP($A165,'Raw Data'!$G:$G,'Raw Data'!X:X),"")</f>
        <v/>
      </c>
      <c r="M165" s="118" t="str">
        <f>IFERROR(_xlfn.XLOOKUP($A165,'Raw Data'!$G:$G,'Raw Data'!Y:Y),"")</f>
        <v/>
      </c>
      <c r="N165" s="118" t="str">
        <f>IFERROR(_xlfn.XLOOKUP($A165,'Raw Data'!$G:$G,'Raw Data'!Z:Z),"")</f>
        <v/>
      </c>
      <c r="O165" s="145" t="str">
        <f>IFERROR(1-SUMIF('Plant BD'!$B:$B,$A165,'Plant BD'!$AM:$AM)/($AA165+SUMIF('Plant BD'!$B:$B,$A165,'Plant BD'!$AM:$AM)),"")</f>
        <v/>
      </c>
      <c r="P165" s="145"/>
      <c r="Q165" s="146"/>
      <c r="R165" s="145" t="str">
        <f>IFERROR(1-SUMIF('Grid BD'!$B:$B,$A165,'Grid BD'!$AE:$AE)/($AA165+SUMIF('Grid BD'!$B:$B,$A165,'Grid BD'!$AE:$AE)),"")</f>
        <v/>
      </c>
      <c r="T165" s="146" t="str">
        <f>IFERROR(1-SUMIF(Tracker_BD!$H:$H,$A165,Tracker_BD!AI:AI)/$F165,"")</f>
        <v/>
      </c>
      <c r="U165" s="147" t="str">
        <f t="shared" si="9"/>
        <v/>
      </c>
      <c r="V165" s="147"/>
      <c r="W165" s="148" t="str">
        <f t="shared" si="10"/>
        <v/>
      </c>
      <c r="X165" s="143" t="str">
        <f>IFERROR(_xlfn.XLOOKUP($A165,'Raw Data'!$G:$G,'Raw Data'!$AB:$AB),"")</f>
        <v/>
      </c>
      <c r="Y165" s="143" t="str">
        <f>IFERROR(_xlfn.XLOOKUP($A165,'Raw Data'!$G:$G,'Raw Data'!AC:AC),"")</f>
        <v/>
      </c>
      <c r="Z165" s="143" t="str">
        <f>IFERROR(_xlfn.XLOOKUP($A165,'Raw Data'!$G:$G,'Raw Data'!AD:AD),"")</f>
        <v/>
      </c>
      <c r="AA165" s="143" t="str">
        <f>IFERROR(_xlfn.XLOOKUP($A165,'Raw Data'!$G:$G,'Raw Data'!AE:AE)*(1+(_xlfn.XLOOKUP(Table13[[#This Row],[Month Year]],JMR!$A:$A,JMR!$J:$J))),"")</f>
        <v/>
      </c>
      <c r="AB165" s="143" t="str">
        <f>IFERROR(_xlfn.XLOOKUP($A165,'Raw Data'!$G:$G,'Raw Data'!$H:$H),"")</f>
        <v/>
      </c>
      <c r="AC165" s="149">
        <f>IFERROR(_xlfn.XLOOKUP($D165,'Modelling New'!$D:$D,'Modelling New'!$P:$P),"")</f>
        <v>5.5049609600000018</v>
      </c>
      <c r="AD165" s="143">
        <f>IFERROR(_xlfn.XLOOKUP($D165,'Modelling New'!$D:$D,'Modelling New'!$T:$T)*1000,"")</f>
        <v>47057.046080205721</v>
      </c>
      <c r="AE165" s="148">
        <f>IFERROR(_xlfn.XLOOKUP($D165,'Modelling New'!$D:$D,'Modelling New'!$O:$O),"")</f>
        <v>0.72936145233565186</v>
      </c>
      <c r="AF165" s="148">
        <f>IFERROR(_xlfn.XLOOKUP($D165,'Modelling New'!$D:$D,'Modelling New'!$W:$W),"")</f>
        <v>0.16729609670152773</v>
      </c>
      <c r="AG165" s="148">
        <f>IFERROR(_xlfn.XLOOKUP($D165,'Modelling New'!$D:$D,'Modelling New'!AE:AE),"")</f>
        <v>0.995</v>
      </c>
      <c r="AH165" s="148">
        <f>IFERROR(_xlfn.XLOOKUP($D165,'Modelling New'!$D:$D,'Modelling New'!AF:AF),"")</f>
        <v>0.98550000000000004</v>
      </c>
      <c r="AN165" s="145"/>
      <c r="AO165" s="148"/>
      <c r="AP165" s="148"/>
      <c r="AQ165" s="148"/>
      <c r="AR165" s="143">
        <f>IFERROR(_xlfn.XLOOKUP($D165,'Modelling New'!$D:$D,'Modelling New'!$N:$N),"")</f>
        <v>11.72</v>
      </c>
      <c r="AT165" s="143" t="str">
        <f>IFERROR(_xlfn.XLOOKUP(Table13[[#This Row],[Date]],'Raw Data'!$G:$G,'Raw Data'!$AJ:$AJ),"")</f>
        <v/>
      </c>
      <c r="AU165" s="143">
        <f>IFERROR(_xlfn.XLOOKUP(Table13[[#This Row],[Month Year]],'Modelling New'!$D:$D,'Modelling New'!$AO:$AO),"")</f>
        <v>10</v>
      </c>
      <c r="AV165" s="143"/>
    </row>
    <row r="166" spans="1:48">
      <c r="A166" s="142">
        <f t="shared" si="11"/>
        <v>45909</v>
      </c>
      <c r="B166" s="143">
        <f>YEAR(Table13[[#This Row],[Date]])+IF(MONTH(Table13[[#This Row],[Date]])&gt;=4,1,0)</f>
        <v>2026</v>
      </c>
      <c r="C166" s="116">
        <f>YEAR(Table13[[#This Row],[Date]])</f>
        <v>2025</v>
      </c>
      <c r="D166" s="144">
        <f>Table13[[#This Row],[Date]]-DAY(Table13[[#This Row],[Date]])+1</f>
        <v>45901</v>
      </c>
      <c r="E166" s="116">
        <f t="shared" si="8"/>
        <v>30</v>
      </c>
      <c r="F166" s="117" t="str">
        <f>IFERROR(_xlfn.XLOOKUP($A166,'Raw Data'!$G:$G,'Raw Data'!$AH:$AH),"")</f>
        <v/>
      </c>
      <c r="G166" s="118" t="str">
        <f>IFERROR(_xlfn.XLOOKUP($A166,'Raw Data'!$G:$G,'Raw Data'!$S:$S)/1000,"")</f>
        <v/>
      </c>
      <c r="H166" s="118"/>
      <c r="I166" s="118" t="str">
        <f>IFERROR(_xlfn.XLOOKUP($A166,'Raw Data'!$G:$G,'Raw Data'!$AF:$AF)/1000,"")</f>
        <v/>
      </c>
      <c r="J166" s="118"/>
      <c r="K166" s="118" t="str">
        <f>IFERROR(_xlfn.XLOOKUP($A166,'Raw Data'!$G:$G,'Raw Data'!W:W),"")</f>
        <v/>
      </c>
      <c r="L166" s="118" t="str">
        <f>IFERROR(_xlfn.XLOOKUP($A166,'Raw Data'!$G:$G,'Raw Data'!X:X),"")</f>
        <v/>
      </c>
      <c r="M166" s="118" t="str">
        <f>IFERROR(_xlfn.XLOOKUP($A166,'Raw Data'!$G:$G,'Raw Data'!Y:Y),"")</f>
        <v/>
      </c>
      <c r="N166" s="118" t="str">
        <f>IFERROR(_xlfn.XLOOKUP($A166,'Raw Data'!$G:$G,'Raw Data'!Z:Z),"")</f>
        <v/>
      </c>
      <c r="O166" s="145" t="str">
        <f>IFERROR(1-SUMIF('Plant BD'!$B:$B,$A166,'Plant BD'!$AM:$AM)/($AA166+SUMIF('Plant BD'!$B:$B,$A166,'Plant BD'!$AM:$AM)),"")</f>
        <v/>
      </c>
      <c r="P166" s="145"/>
      <c r="Q166" s="146"/>
      <c r="R166" s="145" t="str">
        <f>IFERROR(1-SUMIF('Grid BD'!$B:$B,$A166,'Grid BD'!$AE:$AE)/($AA166+SUMIF('Grid BD'!$B:$B,$A166,'Grid BD'!$AE:$AE)),"")</f>
        <v/>
      </c>
      <c r="T166" s="146" t="str">
        <f>IFERROR(1-SUMIF(Tracker_BD!$H:$H,$A166,Tracker_BD!AI:AI)/$F166,"")</f>
        <v/>
      </c>
      <c r="U166" s="147" t="str">
        <f t="shared" si="9"/>
        <v/>
      </c>
      <c r="V166" s="147"/>
      <c r="W166" s="148" t="str">
        <f t="shared" si="10"/>
        <v/>
      </c>
      <c r="X166" s="143" t="str">
        <f>IFERROR(_xlfn.XLOOKUP($A166,'Raw Data'!$G:$G,'Raw Data'!$AB:$AB),"")</f>
        <v/>
      </c>
      <c r="Y166" s="143" t="str">
        <f>IFERROR(_xlfn.XLOOKUP($A166,'Raw Data'!$G:$G,'Raw Data'!AC:AC),"")</f>
        <v/>
      </c>
      <c r="Z166" s="143" t="str">
        <f>IFERROR(_xlfn.XLOOKUP($A166,'Raw Data'!$G:$G,'Raw Data'!AD:AD),"")</f>
        <v/>
      </c>
      <c r="AA166" s="143" t="str">
        <f>IFERROR(_xlfn.XLOOKUP($A166,'Raw Data'!$G:$G,'Raw Data'!AE:AE)*(1+(_xlfn.XLOOKUP(Table13[[#This Row],[Month Year]],JMR!$A:$A,JMR!$J:$J))),"")</f>
        <v/>
      </c>
      <c r="AB166" s="143" t="str">
        <f>IFERROR(_xlfn.XLOOKUP($A166,'Raw Data'!$G:$G,'Raw Data'!$H:$H),"")</f>
        <v/>
      </c>
      <c r="AC166" s="149">
        <f>IFERROR(_xlfn.XLOOKUP($D166,'Modelling New'!$D:$D,'Modelling New'!$P:$P),"")</f>
        <v>5.5049609600000018</v>
      </c>
      <c r="AD166" s="143">
        <f>IFERROR(_xlfn.XLOOKUP($D166,'Modelling New'!$D:$D,'Modelling New'!$T:$T)*1000,"")</f>
        <v>47057.046080205721</v>
      </c>
      <c r="AE166" s="148">
        <f>IFERROR(_xlfn.XLOOKUP($D166,'Modelling New'!$D:$D,'Modelling New'!$O:$O),"")</f>
        <v>0.72936145233565186</v>
      </c>
      <c r="AF166" s="148">
        <f>IFERROR(_xlfn.XLOOKUP($D166,'Modelling New'!$D:$D,'Modelling New'!$W:$W),"")</f>
        <v>0.16729609670152773</v>
      </c>
      <c r="AG166" s="148">
        <f>IFERROR(_xlfn.XLOOKUP($D166,'Modelling New'!$D:$D,'Modelling New'!AE:AE),"")</f>
        <v>0.995</v>
      </c>
      <c r="AH166" s="148">
        <f>IFERROR(_xlfn.XLOOKUP($D166,'Modelling New'!$D:$D,'Modelling New'!AF:AF),"")</f>
        <v>0.98550000000000004</v>
      </c>
      <c r="AN166" s="145"/>
      <c r="AO166" s="148"/>
      <c r="AP166" s="148"/>
      <c r="AQ166" s="148"/>
      <c r="AR166" s="143">
        <f>IFERROR(_xlfn.XLOOKUP($D166,'Modelling New'!$D:$D,'Modelling New'!$N:$N),"")</f>
        <v>11.72</v>
      </c>
      <c r="AT166" s="143" t="str">
        <f>IFERROR(_xlfn.XLOOKUP(Table13[[#This Row],[Date]],'Raw Data'!$G:$G,'Raw Data'!$AJ:$AJ),"")</f>
        <v/>
      </c>
      <c r="AU166" s="143">
        <f>IFERROR(_xlfn.XLOOKUP(Table13[[#This Row],[Month Year]],'Modelling New'!$D:$D,'Modelling New'!$AO:$AO),"")</f>
        <v>10</v>
      </c>
      <c r="AV166" s="143"/>
    </row>
    <row r="167" spans="1:48">
      <c r="A167" s="142">
        <f t="shared" si="11"/>
        <v>45910</v>
      </c>
      <c r="B167" s="143">
        <f>YEAR(Table13[[#This Row],[Date]])+IF(MONTH(Table13[[#This Row],[Date]])&gt;=4,1,0)</f>
        <v>2026</v>
      </c>
      <c r="C167" s="116">
        <f>YEAR(Table13[[#This Row],[Date]])</f>
        <v>2025</v>
      </c>
      <c r="D167" s="144">
        <f>Table13[[#This Row],[Date]]-DAY(Table13[[#This Row],[Date]])+1</f>
        <v>45901</v>
      </c>
      <c r="E167" s="116">
        <f t="shared" si="8"/>
        <v>30</v>
      </c>
      <c r="F167" s="117" t="str">
        <f>IFERROR(_xlfn.XLOOKUP($A167,'Raw Data'!$G:$G,'Raw Data'!$AH:$AH),"")</f>
        <v/>
      </c>
      <c r="G167" s="118" t="str">
        <f>IFERROR(_xlfn.XLOOKUP($A167,'Raw Data'!$G:$G,'Raw Data'!$S:$S)/1000,"")</f>
        <v/>
      </c>
      <c r="H167" s="118"/>
      <c r="I167" s="118" t="str">
        <f>IFERROR(_xlfn.XLOOKUP($A167,'Raw Data'!$G:$G,'Raw Data'!$AF:$AF)/1000,"")</f>
        <v/>
      </c>
      <c r="J167" s="118"/>
      <c r="K167" s="118" t="str">
        <f>IFERROR(_xlfn.XLOOKUP($A167,'Raw Data'!$G:$G,'Raw Data'!W:W),"")</f>
        <v/>
      </c>
      <c r="L167" s="118" t="str">
        <f>IFERROR(_xlfn.XLOOKUP($A167,'Raw Data'!$G:$G,'Raw Data'!X:X),"")</f>
        <v/>
      </c>
      <c r="M167" s="118" t="str">
        <f>IFERROR(_xlfn.XLOOKUP($A167,'Raw Data'!$G:$G,'Raw Data'!Y:Y),"")</f>
        <v/>
      </c>
      <c r="N167" s="118" t="str">
        <f>IFERROR(_xlfn.XLOOKUP($A167,'Raw Data'!$G:$G,'Raw Data'!Z:Z),"")</f>
        <v/>
      </c>
      <c r="O167" s="145" t="str">
        <f>IFERROR(1-SUMIF('Plant BD'!$B:$B,$A167,'Plant BD'!$AM:$AM)/($AA167+SUMIF('Plant BD'!$B:$B,$A167,'Plant BD'!$AM:$AM)),"")</f>
        <v/>
      </c>
      <c r="P167" s="145"/>
      <c r="Q167" s="146"/>
      <c r="R167" s="145" t="str">
        <f>IFERROR(1-SUMIF('Grid BD'!$B:$B,$A167,'Grid BD'!$AE:$AE)/($AA167+SUMIF('Grid BD'!$B:$B,$A167,'Grid BD'!$AE:$AE)),"")</f>
        <v/>
      </c>
      <c r="T167" s="146" t="str">
        <f>IFERROR(1-SUMIF(Tracker_BD!$H:$H,$A167,Tracker_BD!AI:AI)/$F167,"")</f>
        <v/>
      </c>
      <c r="U167" s="147" t="str">
        <f t="shared" si="9"/>
        <v/>
      </c>
      <c r="V167" s="147"/>
      <c r="W167" s="148" t="str">
        <f t="shared" si="10"/>
        <v/>
      </c>
      <c r="X167" s="143" t="str">
        <f>IFERROR(_xlfn.XLOOKUP($A167,'Raw Data'!$G:$G,'Raw Data'!$AB:$AB),"")</f>
        <v/>
      </c>
      <c r="Y167" s="143" t="str">
        <f>IFERROR(_xlfn.XLOOKUP($A167,'Raw Data'!$G:$G,'Raw Data'!AC:AC),"")</f>
        <v/>
      </c>
      <c r="Z167" s="143" t="str">
        <f>IFERROR(_xlfn.XLOOKUP($A167,'Raw Data'!$G:$G,'Raw Data'!AD:AD),"")</f>
        <v/>
      </c>
      <c r="AA167" s="143" t="str">
        <f>IFERROR(_xlfn.XLOOKUP($A167,'Raw Data'!$G:$G,'Raw Data'!AE:AE)*(1+(_xlfn.XLOOKUP(Table13[[#This Row],[Month Year]],JMR!$A:$A,JMR!$J:$J))),"")</f>
        <v/>
      </c>
      <c r="AB167" s="143" t="str">
        <f>IFERROR(_xlfn.XLOOKUP($A167,'Raw Data'!$G:$G,'Raw Data'!$H:$H),"")</f>
        <v/>
      </c>
      <c r="AC167" s="149">
        <f>IFERROR(_xlfn.XLOOKUP($D167,'Modelling New'!$D:$D,'Modelling New'!$P:$P),"")</f>
        <v>5.5049609600000018</v>
      </c>
      <c r="AD167" s="143">
        <f>IFERROR(_xlfn.XLOOKUP($D167,'Modelling New'!$D:$D,'Modelling New'!$T:$T)*1000,"")</f>
        <v>47057.046080205721</v>
      </c>
      <c r="AE167" s="148">
        <f>IFERROR(_xlfn.XLOOKUP($D167,'Modelling New'!$D:$D,'Modelling New'!$O:$O),"")</f>
        <v>0.72936145233565186</v>
      </c>
      <c r="AF167" s="148">
        <f>IFERROR(_xlfn.XLOOKUP($D167,'Modelling New'!$D:$D,'Modelling New'!$W:$W),"")</f>
        <v>0.16729609670152773</v>
      </c>
      <c r="AG167" s="148">
        <f>IFERROR(_xlfn.XLOOKUP($D167,'Modelling New'!$D:$D,'Modelling New'!AE:AE),"")</f>
        <v>0.995</v>
      </c>
      <c r="AH167" s="148">
        <f>IFERROR(_xlfn.XLOOKUP($D167,'Modelling New'!$D:$D,'Modelling New'!AF:AF),"")</f>
        <v>0.98550000000000004</v>
      </c>
      <c r="AN167" s="145"/>
      <c r="AO167" s="148"/>
      <c r="AP167" s="148"/>
      <c r="AQ167" s="148"/>
      <c r="AR167" s="143">
        <f>IFERROR(_xlfn.XLOOKUP($D167,'Modelling New'!$D:$D,'Modelling New'!$N:$N),"")</f>
        <v>11.72</v>
      </c>
      <c r="AT167" s="143" t="str">
        <f>IFERROR(_xlfn.XLOOKUP(Table13[[#This Row],[Date]],'Raw Data'!$G:$G,'Raw Data'!$AJ:$AJ),"")</f>
        <v/>
      </c>
      <c r="AU167" s="143">
        <f>IFERROR(_xlfn.XLOOKUP(Table13[[#This Row],[Month Year]],'Modelling New'!$D:$D,'Modelling New'!$AO:$AO),"")</f>
        <v>10</v>
      </c>
      <c r="AV167" s="143"/>
    </row>
    <row r="168" spans="1:48">
      <c r="A168" s="142">
        <f t="shared" si="11"/>
        <v>45911</v>
      </c>
      <c r="B168" s="143">
        <f>YEAR(Table13[[#This Row],[Date]])+IF(MONTH(Table13[[#This Row],[Date]])&gt;=4,1,0)</f>
        <v>2026</v>
      </c>
      <c r="C168" s="116">
        <f>YEAR(Table13[[#This Row],[Date]])</f>
        <v>2025</v>
      </c>
      <c r="D168" s="144">
        <f>Table13[[#This Row],[Date]]-DAY(Table13[[#This Row],[Date]])+1</f>
        <v>45901</v>
      </c>
      <c r="E168" s="116">
        <f t="shared" si="8"/>
        <v>30</v>
      </c>
      <c r="F168" s="117" t="str">
        <f>IFERROR(_xlfn.XLOOKUP($A168,'Raw Data'!$G:$G,'Raw Data'!$AH:$AH),"")</f>
        <v/>
      </c>
      <c r="G168" s="118" t="str">
        <f>IFERROR(_xlfn.XLOOKUP($A168,'Raw Data'!$G:$G,'Raw Data'!$S:$S)/1000,"")</f>
        <v/>
      </c>
      <c r="H168" s="118"/>
      <c r="I168" s="118" t="str">
        <f>IFERROR(_xlfn.XLOOKUP($A168,'Raw Data'!$G:$G,'Raw Data'!$AF:$AF)/1000,"")</f>
        <v/>
      </c>
      <c r="J168" s="118"/>
      <c r="K168" s="118" t="str">
        <f>IFERROR(_xlfn.XLOOKUP($A168,'Raw Data'!$G:$G,'Raw Data'!W:W),"")</f>
        <v/>
      </c>
      <c r="L168" s="118" t="str">
        <f>IFERROR(_xlfn.XLOOKUP($A168,'Raw Data'!$G:$G,'Raw Data'!X:X),"")</f>
        <v/>
      </c>
      <c r="M168" s="118" t="str">
        <f>IFERROR(_xlfn.XLOOKUP($A168,'Raw Data'!$G:$G,'Raw Data'!Y:Y),"")</f>
        <v/>
      </c>
      <c r="N168" s="118" t="str">
        <f>IFERROR(_xlfn.XLOOKUP($A168,'Raw Data'!$G:$G,'Raw Data'!Z:Z),"")</f>
        <v/>
      </c>
      <c r="O168" s="145" t="str">
        <f>IFERROR(1-SUMIF('Plant BD'!$B:$B,$A168,'Plant BD'!$AM:$AM)/($AA168+SUMIF('Plant BD'!$B:$B,$A168,'Plant BD'!$AM:$AM)),"")</f>
        <v/>
      </c>
      <c r="P168" s="145"/>
      <c r="Q168" s="146"/>
      <c r="R168" s="145" t="str">
        <f>IFERROR(1-SUMIF('Grid BD'!$B:$B,$A168,'Grid BD'!$AE:$AE)/($AA168+SUMIF('Grid BD'!$B:$B,$A168,'Grid BD'!$AE:$AE)),"")</f>
        <v/>
      </c>
      <c r="T168" s="146" t="str">
        <f>IFERROR(1-SUMIF(Tracker_BD!$H:$H,$A168,Tracker_BD!AI:AI)/$F168,"")</f>
        <v/>
      </c>
      <c r="U168" s="147" t="str">
        <f t="shared" si="9"/>
        <v/>
      </c>
      <c r="V168" s="147"/>
      <c r="W168" s="148" t="str">
        <f t="shared" si="10"/>
        <v/>
      </c>
      <c r="X168" s="143" t="str">
        <f>IFERROR(_xlfn.XLOOKUP($A168,'Raw Data'!$G:$G,'Raw Data'!$AB:$AB),"")</f>
        <v/>
      </c>
      <c r="Y168" s="143" t="str">
        <f>IFERROR(_xlfn.XLOOKUP($A168,'Raw Data'!$G:$G,'Raw Data'!AC:AC),"")</f>
        <v/>
      </c>
      <c r="Z168" s="143" t="str">
        <f>IFERROR(_xlfn.XLOOKUP($A168,'Raw Data'!$G:$G,'Raw Data'!AD:AD),"")</f>
        <v/>
      </c>
      <c r="AA168" s="143" t="str">
        <f>IFERROR(_xlfn.XLOOKUP($A168,'Raw Data'!$G:$G,'Raw Data'!AE:AE)*(1+(_xlfn.XLOOKUP(Table13[[#This Row],[Month Year]],JMR!$A:$A,JMR!$J:$J))),"")</f>
        <v/>
      </c>
      <c r="AB168" s="143" t="str">
        <f>IFERROR(_xlfn.XLOOKUP($A168,'Raw Data'!$G:$G,'Raw Data'!$H:$H),"")</f>
        <v/>
      </c>
      <c r="AC168" s="149">
        <f>IFERROR(_xlfn.XLOOKUP($D168,'Modelling New'!$D:$D,'Modelling New'!$P:$P),"")</f>
        <v>5.5049609600000018</v>
      </c>
      <c r="AD168" s="143">
        <f>IFERROR(_xlfn.XLOOKUP($D168,'Modelling New'!$D:$D,'Modelling New'!$T:$T)*1000,"")</f>
        <v>47057.046080205721</v>
      </c>
      <c r="AE168" s="148">
        <f>IFERROR(_xlfn.XLOOKUP($D168,'Modelling New'!$D:$D,'Modelling New'!$O:$O),"")</f>
        <v>0.72936145233565186</v>
      </c>
      <c r="AF168" s="148">
        <f>IFERROR(_xlfn.XLOOKUP($D168,'Modelling New'!$D:$D,'Modelling New'!$W:$W),"")</f>
        <v>0.16729609670152773</v>
      </c>
      <c r="AG168" s="148">
        <f>IFERROR(_xlfn.XLOOKUP($D168,'Modelling New'!$D:$D,'Modelling New'!AE:AE),"")</f>
        <v>0.995</v>
      </c>
      <c r="AH168" s="148">
        <f>IFERROR(_xlfn.XLOOKUP($D168,'Modelling New'!$D:$D,'Modelling New'!AF:AF),"")</f>
        <v>0.98550000000000004</v>
      </c>
      <c r="AN168" s="145"/>
      <c r="AO168" s="148"/>
      <c r="AP168" s="148"/>
      <c r="AQ168" s="148"/>
      <c r="AR168" s="143">
        <f>IFERROR(_xlfn.XLOOKUP($D168,'Modelling New'!$D:$D,'Modelling New'!$N:$N),"")</f>
        <v>11.72</v>
      </c>
      <c r="AT168" s="143" t="str">
        <f>IFERROR(_xlfn.XLOOKUP(Table13[[#This Row],[Date]],'Raw Data'!$G:$G,'Raw Data'!$AJ:$AJ),"")</f>
        <v/>
      </c>
      <c r="AU168" s="143">
        <f>IFERROR(_xlfn.XLOOKUP(Table13[[#This Row],[Month Year]],'Modelling New'!$D:$D,'Modelling New'!$AO:$AO),"")</f>
        <v>10</v>
      </c>
      <c r="AV168" s="143"/>
    </row>
    <row r="169" spans="1:48">
      <c r="A169" s="142">
        <f t="shared" si="11"/>
        <v>45912</v>
      </c>
      <c r="B169" s="143">
        <f>YEAR(Table13[[#This Row],[Date]])+IF(MONTH(Table13[[#This Row],[Date]])&gt;=4,1,0)</f>
        <v>2026</v>
      </c>
      <c r="C169" s="116">
        <f>YEAR(Table13[[#This Row],[Date]])</f>
        <v>2025</v>
      </c>
      <c r="D169" s="144">
        <f>Table13[[#This Row],[Date]]-DAY(Table13[[#This Row],[Date]])+1</f>
        <v>45901</v>
      </c>
      <c r="E169" s="116">
        <f t="shared" si="8"/>
        <v>30</v>
      </c>
      <c r="F169" s="117" t="str">
        <f>IFERROR(_xlfn.XLOOKUP($A169,'Raw Data'!$G:$G,'Raw Data'!$AH:$AH),"")</f>
        <v/>
      </c>
      <c r="G169" s="118" t="str">
        <f>IFERROR(_xlfn.XLOOKUP($A169,'Raw Data'!$G:$G,'Raw Data'!$S:$S)/1000,"")</f>
        <v/>
      </c>
      <c r="H169" s="118"/>
      <c r="I169" s="118" t="str">
        <f>IFERROR(_xlfn.XLOOKUP($A169,'Raw Data'!$G:$G,'Raw Data'!$AF:$AF)/1000,"")</f>
        <v/>
      </c>
      <c r="J169" s="118"/>
      <c r="K169" s="118" t="str">
        <f>IFERROR(_xlfn.XLOOKUP($A169,'Raw Data'!$G:$G,'Raw Data'!W:W),"")</f>
        <v/>
      </c>
      <c r="L169" s="118" t="str">
        <f>IFERROR(_xlfn.XLOOKUP($A169,'Raw Data'!$G:$G,'Raw Data'!X:X),"")</f>
        <v/>
      </c>
      <c r="M169" s="118" t="str">
        <f>IFERROR(_xlfn.XLOOKUP($A169,'Raw Data'!$G:$G,'Raw Data'!Y:Y),"")</f>
        <v/>
      </c>
      <c r="N169" s="118" t="str">
        <f>IFERROR(_xlfn.XLOOKUP($A169,'Raw Data'!$G:$G,'Raw Data'!Z:Z),"")</f>
        <v/>
      </c>
      <c r="O169" s="145" t="str">
        <f>IFERROR(1-SUMIF('Plant BD'!$B:$B,$A169,'Plant BD'!$AM:$AM)/($AA169+SUMIF('Plant BD'!$B:$B,$A169,'Plant BD'!$AM:$AM)),"")</f>
        <v/>
      </c>
      <c r="P169" s="145"/>
      <c r="Q169" s="146"/>
      <c r="R169" s="145" t="str">
        <f>IFERROR(1-SUMIF('Grid BD'!$B:$B,$A169,'Grid BD'!$AE:$AE)/($AA169+SUMIF('Grid BD'!$B:$B,$A169,'Grid BD'!$AE:$AE)),"")</f>
        <v/>
      </c>
      <c r="T169" s="146" t="str">
        <f>IFERROR(1-SUMIF(Tracker_BD!$H:$H,$A169,Tracker_BD!AI:AI)/$F169,"")</f>
        <v/>
      </c>
      <c r="U169" s="147" t="str">
        <f t="shared" si="9"/>
        <v/>
      </c>
      <c r="V169" s="147"/>
      <c r="W169" s="148" t="str">
        <f t="shared" si="10"/>
        <v/>
      </c>
      <c r="X169" s="143" t="str">
        <f>IFERROR(_xlfn.XLOOKUP($A169,'Raw Data'!$G:$G,'Raw Data'!$AB:$AB),"")</f>
        <v/>
      </c>
      <c r="Y169" s="143" t="str">
        <f>IFERROR(_xlfn.XLOOKUP($A169,'Raw Data'!$G:$G,'Raw Data'!AC:AC),"")</f>
        <v/>
      </c>
      <c r="Z169" s="143" t="str">
        <f>IFERROR(_xlfn.XLOOKUP($A169,'Raw Data'!$G:$G,'Raw Data'!AD:AD),"")</f>
        <v/>
      </c>
      <c r="AA169" s="143" t="str">
        <f>IFERROR(_xlfn.XLOOKUP($A169,'Raw Data'!$G:$G,'Raw Data'!AE:AE)*(1+(_xlfn.XLOOKUP(Table13[[#This Row],[Month Year]],JMR!$A:$A,JMR!$J:$J))),"")</f>
        <v/>
      </c>
      <c r="AB169" s="143" t="str">
        <f>IFERROR(_xlfn.XLOOKUP($A169,'Raw Data'!$G:$G,'Raw Data'!$H:$H),"")</f>
        <v/>
      </c>
      <c r="AC169" s="149">
        <f>IFERROR(_xlfn.XLOOKUP($D169,'Modelling New'!$D:$D,'Modelling New'!$P:$P),"")</f>
        <v>5.5049609600000018</v>
      </c>
      <c r="AD169" s="143">
        <f>IFERROR(_xlfn.XLOOKUP($D169,'Modelling New'!$D:$D,'Modelling New'!$T:$T)*1000,"")</f>
        <v>47057.046080205721</v>
      </c>
      <c r="AE169" s="148">
        <f>IFERROR(_xlfn.XLOOKUP($D169,'Modelling New'!$D:$D,'Modelling New'!$O:$O),"")</f>
        <v>0.72936145233565186</v>
      </c>
      <c r="AF169" s="148">
        <f>IFERROR(_xlfn.XLOOKUP($D169,'Modelling New'!$D:$D,'Modelling New'!$W:$W),"")</f>
        <v>0.16729609670152773</v>
      </c>
      <c r="AG169" s="148">
        <f>IFERROR(_xlfn.XLOOKUP($D169,'Modelling New'!$D:$D,'Modelling New'!AE:AE),"")</f>
        <v>0.995</v>
      </c>
      <c r="AH169" s="148">
        <f>IFERROR(_xlfn.XLOOKUP($D169,'Modelling New'!$D:$D,'Modelling New'!AF:AF),"")</f>
        <v>0.98550000000000004</v>
      </c>
      <c r="AN169" s="145"/>
      <c r="AO169" s="148"/>
      <c r="AP169" s="148"/>
      <c r="AQ169" s="148"/>
      <c r="AR169" s="143">
        <f>IFERROR(_xlfn.XLOOKUP($D169,'Modelling New'!$D:$D,'Modelling New'!$N:$N),"")</f>
        <v>11.72</v>
      </c>
      <c r="AT169" s="143" t="str">
        <f>IFERROR(_xlfn.XLOOKUP(Table13[[#This Row],[Date]],'Raw Data'!$G:$G,'Raw Data'!$AJ:$AJ),"")</f>
        <v/>
      </c>
      <c r="AU169" s="143">
        <f>IFERROR(_xlfn.XLOOKUP(Table13[[#This Row],[Month Year]],'Modelling New'!$D:$D,'Modelling New'!$AO:$AO),"")</f>
        <v>10</v>
      </c>
      <c r="AV169" s="143"/>
    </row>
    <row r="170" spans="1:48">
      <c r="A170" s="142">
        <f t="shared" si="11"/>
        <v>45913</v>
      </c>
      <c r="B170" s="143">
        <f>YEAR(Table13[[#This Row],[Date]])+IF(MONTH(Table13[[#This Row],[Date]])&gt;=4,1,0)</f>
        <v>2026</v>
      </c>
      <c r="C170" s="116">
        <f>YEAR(Table13[[#This Row],[Date]])</f>
        <v>2025</v>
      </c>
      <c r="D170" s="144">
        <f>Table13[[#This Row],[Date]]-DAY(Table13[[#This Row],[Date]])+1</f>
        <v>45901</v>
      </c>
      <c r="E170" s="116">
        <f t="shared" si="8"/>
        <v>30</v>
      </c>
      <c r="F170" s="117" t="str">
        <f>IFERROR(_xlfn.XLOOKUP($A170,'Raw Data'!$G:$G,'Raw Data'!$AH:$AH),"")</f>
        <v/>
      </c>
      <c r="G170" s="118" t="str">
        <f>IFERROR(_xlfn.XLOOKUP($A170,'Raw Data'!$G:$G,'Raw Data'!$S:$S)/1000,"")</f>
        <v/>
      </c>
      <c r="H170" s="118"/>
      <c r="I170" s="118" t="str">
        <f>IFERROR(_xlfn.XLOOKUP($A170,'Raw Data'!$G:$G,'Raw Data'!$AF:$AF)/1000,"")</f>
        <v/>
      </c>
      <c r="J170" s="118"/>
      <c r="K170" s="118" t="str">
        <f>IFERROR(_xlfn.XLOOKUP($A170,'Raw Data'!$G:$G,'Raw Data'!W:W),"")</f>
        <v/>
      </c>
      <c r="L170" s="118" t="str">
        <f>IFERROR(_xlfn.XLOOKUP($A170,'Raw Data'!$G:$G,'Raw Data'!X:X),"")</f>
        <v/>
      </c>
      <c r="M170" s="118" t="str">
        <f>IFERROR(_xlfn.XLOOKUP($A170,'Raw Data'!$G:$G,'Raw Data'!Y:Y),"")</f>
        <v/>
      </c>
      <c r="N170" s="118" t="str">
        <f>IFERROR(_xlfn.XLOOKUP($A170,'Raw Data'!$G:$G,'Raw Data'!Z:Z),"")</f>
        <v/>
      </c>
      <c r="O170" s="145" t="str">
        <f>IFERROR(1-SUMIF('Plant BD'!$B:$B,$A170,'Plant BD'!$AM:$AM)/($AA170+SUMIF('Plant BD'!$B:$B,$A170,'Plant BD'!$AM:$AM)),"")</f>
        <v/>
      </c>
      <c r="P170" s="145"/>
      <c r="Q170" s="146"/>
      <c r="R170" s="145" t="str">
        <f>IFERROR(1-SUMIF('Grid BD'!$B:$B,$A170,'Grid BD'!$AE:$AE)/($AA170+SUMIF('Grid BD'!$B:$B,$A170,'Grid BD'!$AE:$AE)),"")</f>
        <v/>
      </c>
      <c r="T170" s="146" t="str">
        <f>IFERROR(1-SUMIF(Tracker_BD!$H:$H,$A170,Tracker_BD!AI:AI)/$F170,"")</f>
        <v/>
      </c>
      <c r="U170" s="147" t="str">
        <f t="shared" si="9"/>
        <v/>
      </c>
      <c r="V170" s="147"/>
      <c r="W170" s="148" t="str">
        <f t="shared" si="10"/>
        <v/>
      </c>
      <c r="X170" s="143" t="str">
        <f>IFERROR(_xlfn.XLOOKUP($A170,'Raw Data'!$G:$G,'Raw Data'!$AB:$AB),"")</f>
        <v/>
      </c>
      <c r="Y170" s="143" t="str">
        <f>IFERROR(_xlfn.XLOOKUP($A170,'Raw Data'!$G:$G,'Raw Data'!AC:AC),"")</f>
        <v/>
      </c>
      <c r="Z170" s="143" t="str">
        <f>IFERROR(_xlfn.XLOOKUP($A170,'Raw Data'!$G:$G,'Raw Data'!AD:AD),"")</f>
        <v/>
      </c>
      <c r="AA170" s="143" t="str">
        <f>IFERROR(_xlfn.XLOOKUP($A170,'Raw Data'!$G:$G,'Raw Data'!AE:AE)*(1+(_xlfn.XLOOKUP(Table13[[#This Row],[Month Year]],JMR!$A:$A,JMR!$J:$J))),"")</f>
        <v/>
      </c>
      <c r="AB170" s="143" t="str">
        <f>IFERROR(_xlfn.XLOOKUP($A170,'Raw Data'!$G:$G,'Raw Data'!$H:$H),"")</f>
        <v/>
      </c>
      <c r="AC170" s="149">
        <f>IFERROR(_xlfn.XLOOKUP($D170,'Modelling New'!$D:$D,'Modelling New'!$P:$P),"")</f>
        <v>5.5049609600000018</v>
      </c>
      <c r="AD170" s="143">
        <f>IFERROR(_xlfn.XLOOKUP($D170,'Modelling New'!$D:$D,'Modelling New'!$T:$T)*1000,"")</f>
        <v>47057.046080205721</v>
      </c>
      <c r="AE170" s="148">
        <f>IFERROR(_xlfn.XLOOKUP($D170,'Modelling New'!$D:$D,'Modelling New'!$O:$O),"")</f>
        <v>0.72936145233565186</v>
      </c>
      <c r="AF170" s="148">
        <f>IFERROR(_xlfn.XLOOKUP($D170,'Modelling New'!$D:$D,'Modelling New'!$W:$W),"")</f>
        <v>0.16729609670152773</v>
      </c>
      <c r="AG170" s="148">
        <f>IFERROR(_xlfn.XLOOKUP($D170,'Modelling New'!$D:$D,'Modelling New'!AE:AE),"")</f>
        <v>0.995</v>
      </c>
      <c r="AH170" s="148">
        <f>IFERROR(_xlfn.XLOOKUP($D170,'Modelling New'!$D:$D,'Modelling New'!AF:AF),"")</f>
        <v>0.98550000000000004</v>
      </c>
      <c r="AN170" s="145"/>
      <c r="AO170" s="148"/>
      <c r="AP170" s="148"/>
      <c r="AQ170" s="148"/>
      <c r="AR170" s="143">
        <f>IFERROR(_xlfn.XLOOKUP($D170,'Modelling New'!$D:$D,'Modelling New'!$N:$N),"")</f>
        <v>11.72</v>
      </c>
      <c r="AT170" s="143" t="str">
        <f>IFERROR(_xlfn.XLOOKUP(Table13[[#This Row],[Date]],'Raw Data'!$G:$G,'Raw Data'!$AJ:$AJ),"")</f>
        <v/>
      </c>
      <c r="AU170" s="143">
        <f>IFERROR(_xlfn.XLOOKUP(Table13[[#This Row],[Month Year]],'Modelling New'!$D:$D,'Modelling New'!$AO:$AO),"")</f>
        <v>10</v>
      </c>
      <c r="AV170" s="143"/>
    </row>
    <row r="171" spans="1:48">
      <c r="A171" s="142">
        <f t="shared" si="11"/>
        <v>45914</v>
      </c>
      <c r="B171" s="143">
        <f>YEAR(Table13[[#This Row],[Date]])+IF(MONTH(Table13[[#This Row],[Date]])&gt;=4,1,0)</f>
        <v>2026</v>
      </c>
      <c r="C171" s="116">
        <f>YEAR(Table13[[#This Row],[Date]])</f>
        <v>2025</v>
      </c>
      <c r="D171" s="144">
        <f>Table13[[#This Row],[Date]]-DAY(Table13[[#This Row],[Date]])+1</f>
        <v>45901</v>
      </c>
      <c r="E171" s="116">
        <f t="shared" si="8"/>
        <v>30</v>
      </c>
      <c r="F171" s="117" t="str">
        <f>IFERROR(_xlfn.XLOOKUP($A171,'Raw Data'!$G:$G,'Raw Data'!$AH:$AH),"")</f>
        <v/>
      </c>
      <c r="G171" s="118" t="str">
        <f>IFERROR(_xlfn.XLOOKUP($A171,'Raw Data'!$G:$G,'Raw Data'!$S:$S)/1000,"")</f>
        <v/>
      </c>
      <c r="H171" s="118"/>
      <c r="I171" s="118" t="str">
        <f>IFERROR(_xlfn.XLOOKUP($A171,'Raw Data'!$G:$G,'Raw Data'!$AF:$AF)/1000,"")</f>
        <v/>
      </c>
      <c r="J171" s="118"/>
      <c r="K171" s="118" t="str">
        <f>IFERROR(_xlfn.XLOOKUP($A171,'Raw Data'!$G:$G,'Raw Data'!W:W),"")</f>
        <v/>
      </c>
      <c r="L171" s="118" t="str">
        <f>IFERROR(_xlfn.XLOOKUP($A171,'Raw Data'!$G:$G,'Raw Data'!X:X),"")</f>
        <v/>
      </c>
      <c r="M171" s="118" t="str">
        <f>IFERROR(_xlfn.XLOOKUP($A171,'Raw Data'!$G:$G,'Raw Data'!Y:Y),"")</f>
        <v/>
      </c>
      <c r="N171" s="118" t="str">
        <f>IFERROR(_xlfn.XLOOKUP($A171,'Raw Data'!$G:$G,'Raw Data'!Z:Z),"")</f>
        <v/>
      </c>
      <c r="O171" s="145" t="str">
        <f>IFERROR(1-SUMIF('Plant BD'!$B:$B,$A171,'Plant BD'!$AM:$AM)/($AA171+SUMIF('Plant BD'!$B:$B,$A171,'Plant BD'!$AM:$AM)),"")</f>
        <v/>
      </c>
      <c r="P171" s="145"/>
      <c r="Q171" s="146"/>
      <c r="R171" s="145" t="str">
        <f>IFERROR(1-SUMIF('Grid BD'!$B:$B,$A171,'Grid BD'!$AE:$AE)/($AA171+SUMIF('Grid BD'!$B:$B,$A171,'Grid BD'!$AE:$AE)),"")</f>
        <v/>
      </c>
      <c r="T171" s="146" t="str">
        <f>IFERROR(1-SUMIF(Tracker_BD!$H:$H,$A171,Tracker_BD!AI:AI)/$F171,"")</f>
        <v/>
      </c>
      <c r="U171" s="147" t="str">
        <f t="shared" si="9"/>
        <v/>
      </c>
      <c r="V171" s="147"/>
      <c r="W171" s="148" t="str">
        <f t="shared" si="10"/>
        <v/>
      </c>
      <c r="X171" s="143" t="str">
        <f>IFERROR(_xlfn.XLOOKUP($A171,'Raw Data'!$G:$G,'Raw Data'!$AB:$AB),"")</f>
        <v/>
      </c>
      <c r="Y171" s="143" t="str">
        <f>IFERROR(_xlfn.XLOOKUP($A171,'Raw Data'!$G:$G,'Raw Data'!AC:AC),"")</f>
        <v/>
      </c>
      <c r="Z171" s="143" t="str">
        <f>IFERROR(_xlfn.XLOOKUP($A171,'Raw Data'!$G:$G,'Raw Data'!AD:AD),"")</f>
        <v/>
      </c>
      <c r="AA171" s="143" t="str">
        <f>IFERROR(_xlfn.XLOOKUP($A171,'Raw Data'!$G:$G,'Raw Data'!AE:AE)*(1+(_xlfn.XLOOKUP(Table13[[#This Row],[Month Year]],JMR!$A:$A,JMR!$J:$J))),"")</f>
        <v/>
      </c>
      <c r="AB171" s="143" t="str">
        <f>IFERROR(_xlfn.XLOOKUP($A171,'Raw Data'!$G:$G,'Raw Data'!$H:$H),"")</f>
        <v/>
      </c>
      <c r="AC171" s="149">
        <f>IFERROR(_xlfn.XLOOKUP($D171,'Modelling New'!$D:$D,'Modelling New'!$P:$P),"")</f>
        <v>5.5049609600000018</v>
      </c>
      <c r="AD171" s="143">
        <f>IFERROR(_xlfn.XLOOKUP($D171,'Modelling New'!$D:$D,'Modelling New'!$T:$T)*1000,"")</f>
        <v>47057.046080205721</v>
      </c>
      <c r="AE171" s="148">
        <f>IFERROR(_xlfn.XLOOKUP($D171,'Modelling New'!$D:$D,'Modelling New'!$O:$O),"")</f>
        <v>0.72936145233565186</v>
      </c>
      <c r="AF171" s="148">
        <f>IFERROR(_xlfn.XLOOKUP($D171,'Modelling New'!$D:$D,'Modelling New'!$W:$W),"")</f>
        <v>0.16729609670152773</v>
      </c>
      <c r="AG171" s="148">
        <f>IFERROR(_xlfn.XLOOKUP($D171,'Modelling New'!$D:$D,'Modelling New'!AE:AE),"")</f>
        <v>0.995</v>
      </c>
      <c r="AH171" s="148">
        <f>IFERROR(_xlfn.XLOOKUP($D171,'Modelling New'!$D:$D,'Modelling New'!AF:AF),"")</f>
        <v>0.98550000000000004</v>
      </c>
      <c r="AN171" s="145"/>
      <c r="AO171" s="148"/>
      <c r="AP171" s="148"/>
      <c r="AQ171" s="148"/>
      <c r="AR171" s="143">
        <f>IFERROR(_xlfn.XLOOKUP($D171,'Modelling New'!$D:$D,'Modelling New'!$N:$N),"")</f>
        <v>11.72</v>
      </c>
      <c r="AT171" s="143" t="str">
        <f>IFERROR(_xlfn.XLOOKUP(Table13[[#This Row],[Date]],'Raw Data'!$G:$G,'Raw Data'!$AJ:$AJ),"")</f>
        <v/>
      </c>
      <c r="AU171" s="143">
        <f>IFERROR(_xlfn.XLOOKUP(Table13[[#This Row],[Month Year]],'Modelling New'!$D:$D,'Modelling New'!$AO:$AO),"")</f>
        <v>10</v>
      </c>
      <c r="AV171" s="143"/>
    </row>
    <row r="172" spans="1:48">
      <c r="A172" s="142">
        <f t="shared" si="11"/>
        <v>45915</v>
      </c>
      <c r="B172" s="143">
        <f>YEAR(Table13[[#This Row],[Date]])+IF(MONTH(Table13[[#This Row],[Date]])&gt;=4,1,0)</f>
        <v>2026</v>
      </c>
      <c r="C172" s="116">
        <f>YEAR(Table13[[#This Row],[Date]])</f>
        <v>2025</v>
      </c>
      <c r="D172" s="144">
        <f>Table13[[#This Row],[Date]]-DAY(Table13[[#This Row],[Date]])+1</f>
        <v>45901</v>
      </c>
      <c r="E172" s="116">
        <f t="shared" si="8"/>
        <v>30</v>
      </c>
      <c r="F172" s="117" t="str">
        <f>IFERROR(_xlfn.XLOOKUP($A172,'Raw Data'!$G:$G,'Raw Data'!$AH:$AH),"")</f>
        <v/>
      </c>
      <c r="G172" s="118" t="str">
        <f>IFERROR(_xlfn.XLOOKUP($A172,'Raw Data'!$G:$G,'Raw Data'!$S:$S)/1000,"")</f>
        <v/>
      </c>
      <c r="H172" s="118"/>
      <c r="I172" s="118" t="str">
        <f>IFERROR(_xlfn.XLOOKUP($A172,'Raw Data'!$G:$G,'Raw Data'!$AF:$AF)/1000,"")</f>
        <v/>
      </c>
      <c r="J172" s="118"/>
      <c r="K172" s="118" t="str">
        <f>IFERROR(_xlfn.XLOOKUP($A172,'Raw Data'!$G:$G,'Raw Data'!W:W),"")</f>
        <v/>
      </c>
      <c r="L172" s="118" t="str">
        <f>IFERROR(_xlfn.XLOOKUP($A172,'Raw Data'!$G:$G,'Raw Data'!X:X),"")</f>
        <v/>
      </c>
      <c r="M172" s="118" t="str">
        <f>IFERROR(_xlfn.XLOOKUP($A172,'Raw Data'!$G:$G,'Raw Data'!Y:Y),"")</f>
        <v/>
      </c>
      <c r="N172" s="118" t="str">
        <f>IFERROR(_xlfn.XLOOKUP($A172,'Raw Data'!$G:$G,'Raw Data'!Z:Z),"")</f>
        <v/>
      </c>
      <c r="O172" s="145" t="str">
        <f>IFERROR(1-SUMIF('Plant BD'!$B:$B,$A172,'Plant BD'!$AM:$AM)/($AA172+SUMIF('Plant BD'!$B:$B,$A172,'Plant BD'!$AM:$AM)),"")</f>
        <v/>
      </c>
      <c r="P172" s="145"/>
      <c r="Q172" s="146"/>
      <c r="R172" s="145" t="str">
        <f>IFERROR(1-SUMIF('Grid BD'!$B:$B,$A172,'Grid BD'!$AE:$AE)/($AA172+SUMIF('Grid BD'!$B:$B,$A172,'Grid BD'!$AE:$AE)),"")</f>
        <v/>
      </c>
      <c r="T172" s="146" t="str">
        <f>IFERROR(1-SUMIF(Tracker_BD!$H:$H,$A172,Tracker_BD!AI:AI)/$F172,"")</f>
        <v/>
      </c>
      <c r="U172" s="147" t="str">
        <f t="shared" si="9"/>
        <v/>
      </c>
      <c r="V172" s="147"/>
      <c r="W172" s="148" t="str">
        <f t="shared" si="10"/>
        <v/>
      </c>
      <c r="X172" s="143" t="str">
        <f>IFERROR(_xlfn.XLOOKUP($A172,'Raw Data'!$G:$G,'Raw Data'!$AB:$AB),"")</f>
        <v/>
      </c>
      <c r="Y172" s="143" t="str">
        <f>IFERROR(_xlfn.XLOOKUP($A172,'Raw Data'!$G:$G,'Raw Data'!AC:AC),"")</f>
        <v/>
      </c>
      <c r="Z172" s="143" t="str">
        <f>IFERROR(_xlfn.XLOOKUP($A172,'Raw Data'!$G:$G,'Raw Data'!AD:AD),"")</f>
        <v/>
      </c>
      <c r="AA172" s="143" t="str">
        <f>IFERROR(_xlfn.XLOOKUP($A172,'Raw Data'!$G:$G,'Raw Data'!AE:AE)*(1+(_xlfn.XLOOKUP(Table13[[#This Row],[Month Year]],JMR!$A:$A,JMR!$J:$J))),"")</f>
        <v/>
      </c>
      <c r="AB172" s="143" t="str">
        <f>IFERROR(_xlfn.XLOOKUP($A172,'Raw Data'!$G:$G,'Raw Data'!$H:$H),"")</f>
        <v/>
      </c>
      <c r="AC172" s="149">
        <f>IFERROR(_xlfn.XLOOKUP($D172,'Modelling New'!$D:$D,'Modelling New'!$P:$P),"")</f>
        <v>5.5049609600000018</v>
      </c>
      <c r="AD172" s="143">
        <f>IFERROR(_xlfn.XLOOKUP($D172,'Modelling New'!$D:$D,'Modelling New'!$T:$T)*1000,"")</f>
        <v>47057.046080205721</v>
      </c>
      <c r="AE172" s="148">
        <f>IFERROR(_xlfn.XLOOKUP($D172,'Modelling New'!$D:$D,'Modelling New'!$O:$O),"")</f>
        <v>0.72936145233565186</v>
      </c>
      <c r="AF172" s="148">
        <f>IFERROR(_xlfn.XLOOKUP($D172,'Modelling New'!$D:$D,'Modelling New'!$W:$W),"")</f>
        <v>0.16729609670152773</v>
      </c>
      <c r="AG172" s="148">
        <f>IFERROR(_xlfn.XLOOKUP($D172,'Modelling New'!$D:$D,'Modelling New'!AE:AE),"")</f>
        <v>0.995</v>
      </c>
      <c r="AH172" s="148">
        <f>IFERROR(_xlfn.XLOOKUP($D172,'Modelling New'!$D:$D,'Modelling New'!AF:AF),"")</f>
        <v>0.98550000000000004</v>
      </c>
      <c r="AN172" s="145"/>
      <c r="AO172" s="148"/>
      <c r="AP172" s="148"/>
      <c r="AQ172" s="148"/>
      <c r="AR172" s="143">
        <f>IFERROR(_xlfn.XLOOKUP($D172,'Modelling New'!$D:$D,'Modelling New'!$N:$N),"")</f>
        <v>11.72</v>
      </c>
      <c r="AT172" s="143" t="str">
        <f>IFERROR(_xlfn.XLOOKUP(Table13[[#This Row],[Date]],'Raw Data'!$G:$G,'Raw Data'!$AJ:$AJ),"")</f>
        <v/>
      </c>
      <c r="AU172" s="143">
        <f>IFERROR(_xlfn.XLOOKUP(Table13[[#This Row],[Month Year]],'Modelling New'!$D:$D,'Modelling New'!$AO:$AO),"")</f>
        <v>10</v>
      </c>
      <c r="AV172" s="143"/>
    </row>
    <row r="173" spans="1:48">
      <c r="A173" s="142">
        <f t="shared" si="11"/>
        <v>45916</v>
      </c>
      <c r="B173" s="143">
        <f>YEAR(Table13[[#This Row],[Date]])+IF(MONTH(Table13[[#This Row],[Date]])&gt;=4,1,0)</f>
        <v>2026</v>
      </c>
      <c r="C173" s="116">
        <f>YEAR(Table13[[#This Row],[Date]])</f>
        <v>2025</v>
      </c>
      <c r="D173" s="144">
        <f>Table13[[#This Row],[Date]]-DAY(Table13[[#This Row],[Date]])+1</f>
        <v>45901</v>
      </c>
      <c r="E173" s="116">
        <f t="shared" si="8"/>
        <v>30</v>
      </c>
      <c r="F173" s="117" t="str">
        <f>IFERROR(_xlfn.XLOOKUP($A173,'Raw Data'!$G:$G,'Raw Data'!$AH:$AH),"")</f>
        <v/>
      </c>
      <c r="G173" s="118" t="str">
        <f>IFERROR(_xlfn.XLOOKUP($A173,'Raw Data'!$G:$G,'Raw Data'!$S:$S)/1000,"")</f>
        <v/>
      </c>
      <c r="H173" s="118"/>
      <c r="I173" s="118" t="str">
        <f>IFERROR(_xlfn.XLOOKUP($A173,'Raw Data'!$G:$G,'Raw Data'!$AF:$AF)/1000,"")</f>
        <v/>
      </c>
      <c r="J173" s="118"/>
      <c r="K173" s="118" t="str">
        <f>IFERROR(_xlfn.XLOOKUP($A173,'Raw Data'!$G:$G,'Raw Data'!W:W),"")</f>
        <v/>
      </c>
      <c r="L173" s="118" t="str">
        <f>IFERROR(_xlfn.XLOOKUP($A173,'Raw Data'!$G:$G,'Raw Data'!X:X),"")</f>
        <v/>
      </c>
      <c r="M173" s="118" t="str">
        <f>IFERROR(_xlfn.XLOOKUP($A173,'Raw Data'!$G:$G,'Raw Data'!Y:Y),"")</f>
        <v/>
      </c>
      <c r="N173" s="118" t="str">
        <f>IFERROR(_xlfn.XLOOKUP($A173,'Raw Data'!$G:$G,'Raw Data'!Z:Z),"")</f>
        <v/>
      </c>
      <c r="O173" s="145" t="str">
        <f>IFERROR(1-SUMIF('Plant BD'!$B:$B,$A173,'Plant BD'!$AM:$AM)/($AA173+SUMIF('Plant BD'!$B:$B,$A173,'Plant BD'!$AM:$AM)),"")</f>
        <v/>
      </c>
      <c r="P173" s="145"/>
      <c r="Q173" s="146"/>
      <c r="R173" s="145" t="str">
        <f>IFERROR(1-SUMIF('Grid BD'!$B:$B,$A173,'Grid BD'!$AE:$AE)/($AA173+SUMIF('Grid BD'!$B:$B,$A173,'Grid BD'!$AE:$AE)),"")</f>
        <v/>
      </c>
      <c r="T173" s="146" t="str">
        <f>IFERROR(1-SUMIF(Tracker_BD!$H:$H,$A173,Tracker_BD!AI:AI)/$F173,"")</f>
        <v/>
      </c>
      <c r="U173" s="147" t="str">
        <f t="shared" si="9"/>
        <v/>
      </c>
      <c r="V173" s="147"/>
      <c r="W173" s="148" t="str">
        <f t="shared" si="10"/>
        <v/>
      </c>
      <c r="X173" s="143" t="str">
        <f>IFERROR(_xlfn.XLOOKUP($A173,'Raw Data'!$G:$G,'Raw Data'!$AB:$AB),"")</f>
        <v/>
      </c>
      <c r="Y173" s="143" t="str">
        <f>IFERROR(_xlfn.XLOOKUP($A173,'Raw Data'!$G:$G,'Raw Data'!AC:AC),"")</f>
        <v/>
      </c>
      <c r="Z173" s="143" t="str">
        <f>IFERROR(_xlfn.XLOOKUP($A173,'Raw Data'!$G:$G,'Raw Data'!AD:AD),"")</f>
        <v/>
      </c>
      <c r="AA173" s="143" t="str">
        <f>IFERROR(_xlfn.XLOOKUP($A173,'Raw Data'!$G:$G,'Raw Data'!AE:AE)*(1+(_xlfn.XLOOKUP(Table13[[#This Row],[Month Year]],JMR!$A:$A,JMR!$J:$J))),"")</f>
        <v/>
      </c>
      <c r="AB173" s="143" t="str">
        <f>IFERROR(_xlfn.XLOOKUP($A173,'Raw Data'!$G:$G,'Raw Data'!$H:$H),"")</f>
        <v/>
      </c>
      <c r="AC173" s="149">
        <f>IFERROR(_xlfn.XLOOKUP($D173,'Modelling New'!$D:$D,'Modelling New'!$P:$P),"")</f>
        <v>5.5049609600000018</v>
      </c>
      <c r="AD173" s="143">
        <f>IFERROR(_xlfn.XLOOKUP($D173,'Modelling New'!$D:$D,'Modelling New'!$T:$T)*1000,"")</f>
        <v>47057.046080205721</v>
      </c>
      <c r="AE173" s="148">
        <f>IFERROR(_xlfn.XLOOKUP($D173,'Modelling New'!$D:$D,'Modelling New'!$O:$O),"")</f>
        <v>0.72936145233565186</v>
      </c>
      <c r="AF173" s="148">
        <f>IFERROR(_xlfn.XLOOKUP($D173,'Modelling New'!$D:$D,'Modelling New'!$W:$W),"")</f>
        <v>0.16729609670152773</v>
      </c>
      <c r="AG173" s="148">
        <f>IFERROR(_xlfn.XLOOKUP($D173,'Modelling New'!$D:$D,'Modelling New'!AE:AE),"")</f>
        <v>0.995</v>
      </c>
      <c r="AH173" s="148">
        <f>IFERROR(_xlfn.XLOOKUP($D173,'Modelling New'!$D:$D,'Modelling New'!AF:AF),"")</f>
        <v>0.98550000000000004</v>
      </c>
      <c r="AN173" s="145"/>
      <c r="AO173" s="148"/>
      <c r="AP173" s="148"/>
      <c r="AQ173" s="148"/>
      <c r="AR173" s="143">
        <f>IFERROR(_xlfn.XLOOKUP($D173,'Modelling New'!$D:$D,'Modelling New'!$N:$N),"")</f>
        <v>11.72</v>
      </c>
      <c r="AT173" s="143" t="str">
        <f>IFERROR(_xlfn.XLOOKUP(Table13[[#This Row],[Date]],'Raw Data'!$G:$G,'Raw Data'!$AJ:$AJ),"")</f>
        <v/>
      </c>
      <c r="AU173" s="143">
        <f>IFERROR(_xlfn.XLOOKUP(Table13[[#This Row],[Month Year]],'Modelling New'!$D:$D,'Modelling New'!$AO:$AO),"")</f>
        <v>10</v>
      </c>
      <c r="AV173" s="143"/>
    </row>
    <row r="174" spans="1:48">
      <c r="A174" s="142">
        <f t="shared" si="11"/>
        <v>45917</v>
      </c>
      <c r="B174" s="143">
        <f>YEAR(Table13[[#This Row],[Date]])+IF(MONTH(Table13[[#This Row],[Date]])&gt;=4,1,0)</f>
        <v>2026</v>
      </c>
      <c r="C174" s="116">
        <f>YEAR(Table13[[#This Row],[Date]])</f>
        <v>2025</v>
      </c>
      <c r="D174" s="144">
        <f>Table13[[#This Row],[Date]]-DAY(Table13[[#This Row],[Date]])+1</f>
        <v>45901</v>
      </c>
      <c r="E174" s="116">
        <f t="shared" ref="E174:E207" si="12">DAY(EOMONTH(A174,0))</f>
        <v>30</v>
      </c>
      <c r="F174" s="117" t="str">
        <f>IFERROR(_xlfn.XLOOKUP($A174,'Raw Data'!$G:$G,'Raw Data'!$AH:$AH),"")</f>
        <v/>
      </c>
      <c r="G174" s="118" t="str">
        <f>IFERROR(_xlfn.XLOOKUP($A174,'Raw Data'!$G:$G,'Raw Data'!$S:$S)/1000,"")</f>
        <v/>
      </c>
      <c r="H174" s="118"/>
      <c r="I174" s="118" t="str">
        <f>IFERROR(_xlfn.XLOOKUP($A174,'Raw Data'!$G:$G,'Raw Data'!$AF:$AF)/1000,"")</f>
        <v/>
      </c>
      <c r="J174" s="118"/>
      <c r="K174" s="118" t="str">
        <f>IFERROR(_xlfn.XLOOKUP($A174,'Raw Data'!$G:$G,'Raw Data'!W:W),"")</f>
        <v/>
      </c>
      <c r="L174" s="118" t="str">
        <f>IFERROR(_xlfn.XLOOKUP($A174,'Raw Data'!$G:$G,'Raw Data'!X:X),"")</f>
        <v/>
      </c>
      <c r="M174" s="118" t="str">
        <f>IFERROR(_xlfn.XLOOKUP($A174,'Raw Data'!$G:$G,'Raw Data'!Y:Y),"")</f>
        <v/>
      </c>
      <c r="N174" s="118" t="str">
        <f>IFERROR(_xlfn.XLOOKUP($A174,'Raw Data'!$G:$G,'Raw Data'!Z:Z),"")</f>
        <v/>
      </c>
      <c r="O174" s="145" t="str">
        <f>IFERROR(1-SUMIF('Plant BD'!$B:$B,$A174,'Plant BD'!$AM:$AM)/($AA174+SUMIF('Plant BD'!$B:$B,$A174,'Plant BD'!$AM:$AM)),"")</f>
        <v/>
      </c>
      <c r="P174" s="145"/>
      <c r="Q174" s="146"/>
      <c r="R174" s="145" t="str">
        <f>IFERROR(1-SUMIF('Grid BD'!$B:$B,$A174,'Grid BD'!$AE:$AE)/($AA174+SUMIF('Grid BD'!$B:$B,$A174,'Grid BD'!$AE:$AE)),"")</f>
        <v/>
      </c>
      <c r="T174" s="146" t="str">
        <f>IFERROR(1-SUMIF(Tracker_BD!$H:$H,$A174,Tracker_BD!AI:AI)/$F174,"")</f>
        <v/>
      </c>
      <c r="U174" s="147" t="str">
        <f t="shared" si="9"/>
        <v/>
      </c>
      <c r="V174" s="147"/>
      <c r="W174" s="148" t="str">
        <f t="shared" si="10"/>
        <v/>
      </c>
      <c r="X174" s="143" t="str">
        <f>IFERROR(_xlfn.XLOOKUP($A174,'Raw Data'!$G:$G,'Raw Data'!$AB:$AB),"")</f>
        <v/>
      </c>
      <c r="Y174" s="143" t="str">
        <f>IFERROR(_xlfn.XLOOKUP($A174,'Raw Data'!$G:$G,'Raw Data'!AC:AC),"")</f>
        <v/>
      </c>
      <c r="Z174" s="143" t="str">
        <f>IFERROR(_xlfn.XLOOKUP($A174,'Raw Data'!$G:$G,'Raw Data'!AD:AD),"")</f>
        <v/>
      </c>
      <c r="AA174" s="143" t="str">
        <f>IFERROR(_xlfn.XLOOKUP($A174,'Raw Data'!$G:$G,'Raw Data'!AE:AE)*(1+(_xlfn.XLOOKUP(Table13[[#This Row],[Month Year]],JMR!$A:$A,JMR!$J:$J))),"")</f>
        <v/>
      </c>
      <c r="AB174" s="143" t="str">
        <f>IFERROR(_xlfn.XLOOKUP($A174,'Raw Data'!$G:$G,'Raw Data'!$H:$H),"")</f>
        <v/>
      </c>
      <c r="AC174" s="149">
        <f>IFERROR(_xlfn.XLOOKUP($D174,'Modelling New'!$D:$D,'Modelling New'!$P:$P),"")</f>
        <v>5.5049609600000018</v>
      </c>
      <c r="AD174" s="143">
        <f>IFERROR(_xlfn.XLOOKUP($D174,'Modelling New'!$D:$D,'Modelling New'!$T:$T)*1000,"")</f>
        <v>47057.046080205721</v>
      </c>
      <c r="AE174" s="148">
        <f>IFERROR(_xlfn.XLOOKUP($D174,'Modelling New'!$D:$D,'Modelling New'!$O:$O),"")</f>
        <v>0.72936145233565186</v>
      </c>
      <c r="AF174" s="148">
        <f>IFERROR(_xlfn.XLOOKUP($D174,'Modelling New'!$D:$D,'Modelling New'!$W:$W),"")</f>
        <v>0.16729609670152773</v>
      </c>
      <c r="AG174" s="148">
        <f>IFERROR(_xlfn.XLOOKUP($D174,'Modelling New'!$D:$D,'Modelling New'!AE:AE),"")</f>
        <v>0.995</v>
      </c>
      <c r="AH174" s="148">
        <f>IFERROR(_xlfn.XLOOKUP($D174,'Modelling New'!$D:$D,'Modelling New'!AF:AF),"")</f>
        <v>0.98550000000000004</v>
      </c>
      <c r="AN174" s="145"/>
      <c r="AO174" s="148"/>
      <c r="AP174" s="148"/>
      <c r="AQ174" s="148"/>
      <c r="AR174" s="143">
        <f>IFERROR(_xlfn.XLOOKUP($D174,'Modelling New'!$D:$D,'Modelling New'!$N:$N),"")</f>
        <v>11.72</v>
      </c>
      <c r="AT174" s="143" t="str">
        <f>IFERROR(_xlfn.XLOOKUP(Table13[[#This Row],[Date]],'Raw Data'!$G:$G,'Raw Data'!$AJ:$AJ),"")</f>
        <v/>
      </c>
      <c r="AU174" s="143">
        <f>IFERROR(_xlfn.XLOOKUP(Table13[[#This Row],[Month Year]],'Modelling New'!$D:$D,'Modelling New'!$AO:$AO),"")</f>
        <v>10</v>
      </c>
      <c r="AV174" s="143"/>
    </row>
    <row r="175" spans="1:48">
      <c r="A175" s="142">
        <f t="shared" si="11"/>
        <v>45918</v>
      </c>
      <c r="B175" s="143">
        <f>YEAR(Table13[[#This Row],[Date]])+IF(MONTH(Table13[[#This Row],[Date]])&gt;=4,1,0)</f>
        <v>2026</v>
      </c>
      <c r="C175" s="116">
        <f>YEAR(Table13[[#This Row],[Date]])</f>
        <v>2025</v>
      </c>
      <c r="D175" s="144">
        <f>Table13[[#This Row],[Date]]-DAY(Table13[[#This Row],[Date]])+1</f>
        <v>45901</v>
      </c>
      <c r="E175" s="116">
        <f t="shared" si="12"/>
        <v>30</v>
      </c>
      <c r="F175" s="117" t="str">
        <f>IFERROR(_xlfn.XLOOKUP($A175,'Raw Data'!$G:$G,'Raw Data'!$AH:$AH),"")</f>
        <v/>
      </c>
      <c r="G175" s="118" t="str">
        <f>IFERROR(_xlfn.XLOOKUP($A175,'Raw Data'!$G:$G,'Raw Data'!$S:$S)/1000,"")</f>
        <v/>
      </c>
      <c r="H175" s="118"/>
      <c r="I175" s="118" t="str">
        <f>IFERROR(_xlfn.XLOOKUP($A175,'Raw Data'!$G:$G,'Raw Data'!$AF:$AF)/1000,"")</f>
        <v/>
      </c>
      <c r="J175" s="118"/>
      <c r="K175" s="118" t="str">
        <f>IFERROR(_xlfn.XLOOKUP($A175,'Raw Data'!$G:$G,'Raw Data'!W:W),"")</f>
        <v/>
      </c>
      <c r="L175" s="118" t="str">
        <f>IFERROR(_xlfn.XLOOKUP($A175,'Raw Data'!$G:$G,'Raw Data'!X:X),"")</f>
        <v/>
      </c>
      <c r="M175" s="118" t="str">
        <f>IFERROR(_xlfn.XLOOKUP($A175,'Raw Data'!$G:$G,'Raw Data'!Y:Y),"")</f>
        <v/>
      </c>
      <c r="N175" s="118" t="str">
        <f>IFERROR(_xlfn.XLOOKUP($A175,'Raw Data'!$G:$G,'Raw Data'!Z:Z),"")</f>
        <v/>
      </c>
      <c r="O175" s="145" t="str">
        <f>IFERROR(1-SUMIF('Plant BD'!$B:$B,$A175,'Plant BD'!$AM:$AM)/($AA175+SUMIF('Plant BD'!$B:$B,$A175,'Plant BD'!$AM:$AM)),"")</f>
        <v/>
      </c>
      <c r="P175" s="145"/>
      <c r="Q175" s="146"/>
      <c r="R175" s="145" t="str">
        <f>IFERROR(1-SUMIF('Grid BD'!$B:$B,$A175,'Grid BD'!$AE:$AE)/($AA175+SUMIF('Grid BD'!$B:$B,$A175,'Grid BD'!$AE:$AE)),"")</f>
        <v/>
      </c>
      <c r="T175" s="146" t="str">
        <f>IFERROR(1-SUMIF(Tracker_BD!$H:$H,$A175,Tracker_BD!AI:AI)/$F175,"")</f>
        <v/>
      </c>
      <c r="U175" s="147" t="str">
        <f t="shared" si="9"/>
        <v/>
      </c>
      <c r="V175" s="147"/>
      <c r="W175" s="148" t="str">
        <f t="shared" si="10"/>
        <v/>
      </c>
      <c r="X175" s="143" t="str">
        <f>IFERROR(_xlfn.XLOOKUP($A175,'Raw Data'!$G:$G,'Raw Data'!$AB:$AB),"")</f>
        <v/>
      </c>
      <c r="Y175" s="143" t="str">
        <f>IFERROR(_xlfn.XLOOKUP($A175,'Raw Data'!$G:$G,'Raw Data'!AC:AC),"")</f>
        <v/>
      </c>
      <c r="Z175" s="143" t="str">
        <f>IFERROR(_xlfn.XLOOKUP($A175,'Raw Data'!$G:$G,'Raw Data'!AD:AD),"")</f>
        <v/>
      </c>
      <c r="AA175" s="143" t="str">
        <f>IFERROR(_xlfn.XLOOKUP($A175,'Raw Data'!$G:$G,'Raw Data'!AE:AE)*(1+(_xlfn.XLOOKUP(Table13[[#This Row],[Month Year]],JMR!$A:$A,JMR!$J:$J))),"")</f>
        <v/>
      </c>
      <c r="AB175" s="143" t="str">
        <f>IFERROR(_xlfn.XLOOKUP($A175,'Raw Data'!$G:$G,'Raw Data'!$H:$H),"")</f>
        <v/>
      </c>
      <c r="AC175" s="149">
        <f>IFERROR(_xlfn.XLOOKUP($D175,'Modelling New'!$D:$D,'Modelling New'!$P:$P),"")</f>
        <v>5.5049609600000018</v>
      </c>
      <c r="AD175" s="143">
        <f>IFERROR(_xlfn.XLOOKUP($D175,'Modelling New'!$D:$D,'Modelling New'!$T:$T)*1000,"")</f>
        <v>47057.046080205721</v>
      </c>
      <c r="AE175" s="148">
        <f>IFERROR(_xlfn.XLOOKUP($D175,'Modelling New'!$D:$D,'Modelling New'!$O:$O),"")</f>
        <v>0.72936145233565186</v>
      </c>
      <c r="AF175" s="148">
        <f>IFERROR(_xlfn.XLOOKUP($D175,'Modelling New'!$D:$D,'Modelling New'!$W:$W),"")</f>
        <v>0.16729609670152773</v>
      </c>
      <c r="AG175" s="148">
        <f>IFERROR(_xlfn.XLOOKUP($D175,'Modelling New'!$D:$D,'Modelling New'!AE:AE),"")</f>
        <v>0.995</v>
      </c>
      <c r="AH175" s="148">
        <f>IFERROR(_xlfn.XLOOKUP($D175,'Modelling New'!$D:$D,'Modelling New'!AF:AF),"")</f>
        <v>0.98550000000000004</v>
      </c>
      <c r="AN175" s="145"/>
      <c r="AO175" s="148"/>
      <c r="AP175" s="148"/>
      <c r="AQ175" s="148"/>
      <c r="AR175" s="143">
        <f>IFERROR(_xlfn.XLOOKUP($D175,'Modelling New'!$D:$D,'Modelling New'!$N:$N),"")</f>
        <v>11.72</v>
      </c>
      <c r="AT175" s="143" t="str">
        <f>IFERROR(_xlfn.XLOOKUP(Table13[[#This Row],[Date]],'Raw Data'!$G:$G,'Raw Data'!$AJ:$AJ),"")</f>
        <v/>
      </c>
      <c r="AU175" s="143">
        <f>IFERROR(_xlfn.XLOOKUP(Table13[[#This Row],[Month Year]],'Modelling New'!$D:$D,'Modelling New'!$AO:$AO),"")</f>
        <v>10</v>
      </c>
      <c r="AV175" s="143"/>
    </row>
    <row r="176" spans="1:48">
      <c r="A176" s="142">
        <f t="shared" si="11"/>
        <v>45919</v>
      </c>
      <c r="B176" s="143">
        <f>YEAR(Table13[[#This Row],[Date]])+IF(MONTH(Table13[[#This Row],[Date]])&gt;=4,1,0)</f>
        <v>2026</v>
      </c>
      <c r="C176" s="116">
        <f>YEAR(Table13[[#This Row],[Date]])</f>
        <v>2025</v>
      </c>
      <c r="D176" s="144">
        <f>Table13[[#This Row],[Date]]-DAY(Table13[[#This Row],[Date]])+1</f>
        <v>45901</v>
      </c>
      <c r="E176" s="116">
        <f t="shared" si="12"/>
        <v>30</v>
      </c>
      <c r="F176" s="117" t="str">
        <f>IFERROR(_xlfn.XLOOKUP($A176,'Raw Data'!$G:$G,'Raw Data'!$AH:$AH),"")</f>
        <v/>
      </c>
      <c r="G176" s="118" t="str">
        <f>IFERROR(_xlfn.XLOOKUP($A176,'Raw Data'!$G:$G,'Raw Data'!$S:$S)/1000,"")</f>
        <v/>
      </c>
      <c r="H176" s="118"/>
      <c r="I176" s="118" t="str">
        <f>IFERROR(_xlfn.XLOOKUP($A176,'Raw Data'!$G:$G,'Raw Data'!$AF:$AF)/1000,"")</f>
        <v/>
      </c>
      <c r="J176" s="118"/>
      <c r="K176" s="118" t="str">
        <f>IFERROR(_xlfn.XLOOKUP($A176,'Raw Data'!$G:$G,'Raw Data'!W:W),"")</f>
        <v/>
      </c>
      <c r="L176" s="118" t="str">
        <f>IFERROR(_xlfn.XLOOKUP($A176,'Raw Data'!$G:$G,'Raw Data'!X:X),"")</f>
        <v/>
      </c>
      <c r="M176" s="118" t="str">
        <f>IFERROR(_xlfn.XLOOKUP($A176,'Raw Data'!$G:$G,'Raw Data'!Y:Y),"")</f>
        <v/>
      </c>
      <c r="N176" s="118" t="str">
        <f>IFERROR(_xlfn.XLOOKUP($A176,'Raw Data'!$G:$G,'Raw Data'!Z:Z),"")</f>
        <v/>
      </c>
      <c r="O176" s="145" t="str">
        <f>IFERROR(1-SUMIF('Plant BD'!$B:$B,$A176,'Plant BD'!$AM:$AM)/($AA176+SUMIF('Plant BD'!$B:$B,$A176,'Plant BD'!$AM:$AM)),"")</f>
        <v/>
      </c>
      <c r="P176" s="145"/>
      <c r="Q176" s="146"/>
      <c r="R176" s="145" t="str">
        <f>IFERROR(1-SUMIF('Grid BD'!$B:$B,$A176,'Grid BD'!$AE:$AE)/($AA176+SUMIF('Grid BD'!$B:$B,$A176,'Grid BD'!$AE:$AE)),"")</f>
        <v/>
      </c>
      <c r="T176" s="146" t="str">
        <f>IFERROR(1-SUMIF(Tracker_BD!$H:$H,$A176,Tracker_BD!AI:AI)/$F176,"")</f>
        <v/>
      </c>
      <c r="U176" s="147" t="str">
        <f t="shared" si="9"/>
        <v/>
      </c>
      <c r="V176" s="147"/>
      <c r="W176" s="148" t="str">
        <f t="shared" si="10"/>
        <v/>
      </c>
      <c r="X176" s="143" t="str">
        <f>IFERROR(_xlfn.XLOOKUP($A176,'Raw Data'!$G:$G,'Raw Data'!$AB:$AB),"")</f>
        <v/>
      </c>
      <c r="Y176" s="143" t="str">
        <f>IFERROR(_xlfn.XLOOKUP($A176,'Raw Data'!$G:$G,'Raw Data'!AC:AC),"")</f>
        <v/>
      </c>
      <c r="Z176" s="143" t="str">
        <f>IFERROR(_xlfn.XLOOKUP($A176,'Raw Data'!$G:$G,'Raw Data'!AD:AD),"")</f>
        <v/>
      </c>
      <c r="AA176" s="143" t="str">
        <f>IFERROR(_xlfn.XLOOKUP($A176,'Raw Data'!$G:$G,'Raw Data'!AE:AE)*(1+(_xlfn.XLOOKUP(Table13[[#This Row],[Month Year]],JMR!$A:$A,JMR!$J:$J))),"")</f>
        <v/>
      </c>
      <c r="AB176" s="143" t="str">
        <f>IFERROR(_xlfn.XLOOKUP($A176,'Raw Data'!$G:$G,'Raw Data'!$H:$H),"")</f>
        <v/>
      </c>
      <c r="AC176" s="149">
        <f>IFERROR(_xlfn.XLOOKUP($D176,'Modelling New'!$D:$D,'Modelling New'!$P:$P),"")</f>
        <v>5.5049609600000018</v>
      </c>
      <c r="AD176" s="143">
        <f>IFERROR(_xlfn.XLOOKUP($D176,'Modelling New'!$D:$D,'Modelling New'!$T:$T)*1000,"")</f>
        <v>47057.046080205721</v>
      </c>
      <c r="AE176" s="148">
        <f>IFERROR(_xlfn.XLOOKUP($D176,'Modelling New'!$D:$D,'Modelling New'!$O:$O),"")</f>
        <v>0.72936145233565186</v>
      </c>
      <c r="AF176" s="148">
        <f>IFERROR(_xlfn.XLOOKUP($D176,'Modelling New'!$D:$D,'Modelling New'!$W:$W),"")</f>
        <v>0.16729609670152773</v>
      </c>
      <c r="AG176" s="148">
        <f>IFERROR(_xlfn.XLOOKUP($D176,'Modelling New'!$D:$D,'Modelling New'!AE:AE),"")</f>
        <v>0.995</v>
      </c>
      <c r="AH176" s="148">
        <f>IFERROR(_xlfn.XLOOKUP($D176,'Modelling New'!$D:$D,'Modelling New'!AF:AF),"")</f>
        <v>0.98550000000000004</v>
      </c>
      <c r="AN176" s="145"/>
      <c r="AO176" s="148"/>
      <c r="AP176" s="148"/>
      <c r="AQ176" s="148"/>
      <c r="AR176" s="143">
        <f>IFERROR(_xlfn.XLOOKUP($D176,'Modelling New'!$D:$D,'Modelling New'!$N:$N),"")</f>
        <v>11.72</v>
      </c>
      <c r="AT176" s="143" t="str">
        <f>IFERROR(_xlfn.XLOOKUP(Table13[[#This Row],[Date]],'Raw Data'!$G:$G,'Raw Data'!$AJ:$AJ),"")</f>
        <v/>
      </c>
      <c r="AU176" s="143">
        <f>IFERROR(_xlfn.XLOOKUP(Table13[[#This Row],[Month Year]],'Modelling New'!$D:$D,'Modelling New'!$AO:$AO),"")</f>
        <v>10</v>
      </c>
      <c r="AV176" s="143"/>
    </row>
    <row r="177" spans="1:48">
      <c r="A177" s="142">
        <f t="shared" si="11"/>
        <v>45920</v>
      </c>
      <c r="B177" s="143">
        <f>YEAR(Table13[[#This Row],[Date]])+IF(MONTH(Table13[[#This Row],[Date]])&gt;=4,1,0)</f>
        <v>2026</v>
      </c>
      <c r="C177" s="116">
        <f>YEAR(Table13[[#This Row],[Date]])</f>
        <v>2025</v>
      </c>
      <c r="D177" s="144">
        <f>Table13[[#This Row],[Date]]-DAY(Table13[[#This Row],[Date]])+1</f>
        <v>45901</v>
      </c>
      <c r="E177" s="116">
        <f t="shared" si="12"/>
        <v>30</v>
      </c>
      <c r="F177" s="117" t="str">
        <f>IFERROR(_xlfn.XLOOKUP($A177,'Raw Data'!$G:$G,'Raw Data'!$AH:$AH),"")</f>
        <v/>
      </c>
      <c r="G177" s="118" t="str">
        <f>IFERROR(_xlfn.XLOOKUP($A177,'Raw Data'!$G:$G,'Raw Data'!$S:$S)/1000,"")</f>
        <v/>
      </c>
      <c r="H177" s="118"/>
      <c r="I177" s="118" t="str">
        <f>IFERROR(_xlfn.XLOOKUP($A177,'Raw Data'!$G:$G,'Raw Data'!$AF:$AF)/1000,"")</f>
        <v/>
      </c>
      <c r="J177" s="118"/>
      <c r="K177" s="118" t="str">
        <f>IFERROR(_xlfn.XLOOKUP($A177,'Raw Data'!$G:$G,'Raw Data'!W:W),"")</f>
        <v/>
      </c>
      <c r="L177" s="118" t="str">
        <f>IFERROR(_xlfn.XLOOKUP($A177,'Raw Data'!$G:$G,'Raw Data'!X:X),"")</f>
        <v/>
      </c>
      <c r="M177" s="118" t="str">
        <f>IFERROR(_xlfn.XLOOKUP($A177,'Raw Data'!$G:$G,'Raw Data'!Y:Y),"")</f>
        <v/>
      </c>
      <c r="N177" s="118" t="str">
        <f>IFERROR(_xlfn.XLOOKUP($A177,'Raw Data'!$G:$G,'Raw Data'!Z:Z),"")</f>
        <v/>
      </c>
      <c r="O177" s="145" t="str">
        <f>IFERROR(1-SUMIF('Plant BD'!$B:$B,$A177,'Plant BD'!$AM:$AM)/($AA177+SUMIF('Plant BD'!$B:$B,$A177,'Plant BD'!$AM:$AM)),"")</f>
        <v/>
      </c>
      <c r="P177" s="145"/>
      <c r="Q177" s="146"/>
      <c r="R177" s="145" t="str">
        <f>IFERROR(1-SUMIF('Grid BD'!$B:$B,$A177,'Grid BD'!$AE:$AE)/($AA177+SUMIF('Grid BD'!$B:$B,$A177,'Grid BD'!$AE:$AE)),"")</f>
        <v/>
      </c>
      <c r="T177" s="146" t="str">
        <f>IFERROR(1-SUMIF(Tracker_BD!$H:$H,$A177,Tracker_BD!AI:AI)/$F177,"")</f>
        <v/>
      </c>
      <c r="U177" s="147" t="str">
        <f t="shared" si="9"/>
        <v/>
      </c>
      <c r="V177" s="147"/>
      <c r="W177" s="148" t="str">
        <f t="shared" si="10"/>
        <v/>
      </c>
      <c r="X177" s="143" t="str">
        <f>IFERROR(_xlfn.XLOOKUP($A177,'Raw Data'!$G:$G,'Raw Data'!$AB:$AB),"")</f>
        <v/>
      </c>
      <c r="Y177" s="143" t="str">
        <f>IFERROR(_xlfn.XLOOKUP($A177,'Raw Data'!$G:$G,'Raw Data'!AC:AC),"")</f>
        <v/>
      </c>
      <c r="Z177" s="143" t="str">
        <f>IFERROR(_xlfn.XLOOKUP($A177,'Raw Data'!$G:$G,'Raw Data'!AD:AD),"")</f>
        <v/>
      </c>
      <c r="AA177" s="143" t="str">
        <f>IFERROR(_xlfn.XLOOKUP($A177,'Raw Data'!$G:$G,'Raw Data'!AE:AE)*(1+(_xlfn.XLOOKUP(Table13[[#This Row],[Month Year]],JMR!$A:$A,JMR!$J:$J))),"")</f>
        <v/>
      </c>
      <c r="AB177" s="143" t="str">
        <f>IFERROR(_xlfn.XLOOKUP($A177,'Raw Data'!$G:$G,'Raw Data'!$H:$H),"")</f>
        <v/>
      </c>
      <c r="AC177" s="149">
        <f>IFERROR(_xlfn.XLOOKUP($D177,'Modelling New'!$D:$D,'Modelling New'!$P:$P),"")</f>
        <v>5.5049609600000018</v>
      </c>
      <c r="AD177" s="143">
        <f>IFERROR(_xlfn.XLOOKUP($D177,'Modelling New'!$D:$D,'Modelling New'!$T:$T)*1000,"")</f>
        <v>47057.046080205721</v>
      </c>
      <c r="AE177" s="148">
        <f>IFERROR(_xlfn.XLOOKUP($D177,'Modelling New'!$D:$D,'Modelling New'!$O:$O),"")</f>
        <v>0.72936145233565186</v>
      </c>
      <c r="AF177" s="148">
        <f>IFERROR(_xlfn.XLOOKUP($D177,'Modelling New'!$D:$D,'Modelling New'!$W:$W),"")</f>
        <v>0.16729609670152773</v>
      </c>
      <c r="AG177" s="148">
        <f>IFERROR(_xlfn.XLOOKUP($D177,'Modelling New'!$D:$D,'Modelling New'!AE:AE),"")</f>
        <v>0.995</v>
      </c>
      <c r="AH177" s="148">
        <f>IFERROR(_xlfn.XLOOKUP($D177,'Modelling New'!$D:$D,'Modelling New'!AF:AF),"")</f>
        <v>0.98550000000000004</v>
      </c>
      <c r="AN177" s="145"/>
      <c r="AO177" s="148"/>
      <c r="AP177" s="148"/>
      <c r="AQ177" s="148"/>
      <c r="AR177" s="143">
        <f>IFERROR(_xlfn.XLOOKUP($D177,'Modelling New'!$D:$D,'Modelling New'!$N:$N),"")</f>
        <v>11.72</v>
      </c>
      <c r="AT177" s="143" t="str">
        <f>IFERROR(_xlfn.XLOOKUP(Table13[[#This Row],[Date]],'Raw Data'!$G:$G,'Raw Data'!$AJ:$AJ),"")</f>
        <v/>
      </c>
      <c r="AU177" s="143">
        <f>IFERROR(_xlfn.XLOOKUP(Table13[[#This Row],[Month Year]],'Modelling New'!$D:$D,'Modelling New'!$AO:$AO),"")</f>
        <v>10</v>
      </c>
      <c r="AV177" s="143"/>
    </row>
    <row r="178" spans="1:48">
      <c r="A178" s="142">
        <f t="shared" si="11"/>
        <v>45921</v>
      </c>
      <c r="B178" s="143">
        <f>YEAR(Table13[[#This Row],[Date]])+IF(MONTH(Table13[[#This Row],[Date]])&gt;=4,1,0)</f>
        <v>2026</v>
      </c>
      <c r="C178" s="116">
        <f>YEAR(Table13[[#This Row],[Date]])</f>
        <v>2025</v>
      </c>
      <c r="D178" s="144">
        <f>Table13[[#This Row],[Date]]-DAY(Table13[[#This Row],[Date]])+1</f>
        <v>45901</v>
      </c>
      <c r="E178" s="116">
        <f t="shared" si="12"/>
        <v>30</v>
      </c>
      <c r="F178" s="117" t="str">
        <f>IFERROR(_xlfn.XLOOKUP($A178,'Raw Data'!$G:$G,'Raw Data'!$AH:$AH),"")</f>
        <v/>
      </c>
      <c r="G178" s="118" t="str">
        <f>IFERROR(_xlfn.XLOOKUP($A178,'Raw Data'!$G:$G,'Raw Data'!$S:$S)/1000,"")</f>
        <v/>
      </c>
      <c r="H178" s="118"/>
      <c r="I178" s="118" t="str">
        <f>IFERROR(_xlfn.XLOOKUP($A178,'Raw Data'!$G:$G,'Raw Data'!$AF:$AF)/1000,"")</f>
        <v/>
      </c>
      <c r="J178" s="118"/>
      <c r="K178" s="118" t="str">
        <f>IFERROR(_xlfn.XLOOKUP($A178,'Raw Data'!$G:$G,'Raw Data'!W:W),"")</f>
        <v/>
      </c>
      <c r="L178" s="118" t="str">
        <f>IFERROR(_xlfn.XLOOKUP($A178,'Raw Data'!$G:$G,'Raw Data'!X:X),"")</f>
        <v/>
      </c>
      <c r="M178" s="118" t="str">
        <f>IFERROR(_xlfn.XLOOKUP($A178,'Raw Data'!$G:$G,'Raw Data'!Y:Y),"")</f>
        <v/>
      </c>
      <c r="N178" s="118" t="str">
        <f>IFERROR(_xlfn.XLOOKUP($A178,'Raw Data'!$G:$G,'Raw Data'!Z:Z),"")</f>
        <v/>
      </c>
      <c r="O178" s="145" t="str">
        <f>IFERROR(1-SUMIF('Plant BD'!$B:$B,$A178,'Plant BD'!$AM:$AM)/($AA178+SUMIF('Plant BD'!$B:$B,$A178,'Plant BD'!$AM:$AM)),"")</f>
        <v/>
      </c>
      <c r="P178" s="145"/>
      <c r="Q178" s="146"/>
      <c r="R178" s="145" t="str">
        <f>IFERROR(1-SUMIF('Grid BD'!$B:$B,$A178,'Grid BD'!$AE:$AE)/($AA178+SUMIF('Grid BD'!$B:$B,$A178,'Grid BD'!$AE:$AE)),"")</f>
        <v/>
      </c>
      <c r="T178" s="146" t="str">
        <f>IFERROR(1-SUMIF(Tracker_BD!$H:$H,$A178,Tracker_BD!AI:AI)/$F178,"")</f>
        <v/>
      </c>
      <c r="U178" s="147" t="str">
        <f t="shared" si="9"/>
        <v/>
      </c>
      <c r="V178" s="147"/>
      <c r="W178" s="148" t="str">
        <f t="shared" si="10"/>
        <v/>
      </c>
      <c r="X178" s="143" t="str">
        <f>IFERROR(_xlfn.XLOOKUP($A178,'Raw Data'!$G:$G,'Raw Data'!$AB:$AB),"")</f>
        <v/>
      </c>
      <c r="Y178" s="143" t="str">
        <f>IFERROR(_xlfn.XLOOKUP($A178,'Raw Data'!$G:$G,'Raw Data'!AC:AC),"")</f>
        <v/>
      </c>
      <c r="Z178" s="143" t="str">
        <f>IFERROR(_xlfn.XLOOKUP($A178,'Raw Data'!$G:$G,'Raw Data'!AD:AD),"")</f>
        <v/>
      </c>
      <c r="AA178" s="143" t="str">
        <f>IFERROR(_xlfn.XLOOKUP($A178,'Raw Data'!$G:$G,'Raw Data'!AE:AE)*(1+(_xlfn.XLOOKUP(Table13[[#This Row],[Month Year]],JMR!$A:$A,JMR!$J:$J))),"")</f>
        <v/>
      </c>
      <c r="AB178" s="143" t="str">
        <f>IFERROR(_xlfn.XLOOKUP($A178,'Raw Data'!$G:$G,'Raw Data'!$H:$H),"")</f>
        <v/>
      </c>
      <c r="AC178" s="149">
        <f>IFERROR(_xlfn.XLOOKUP($D178,'Modelling New'!$D:$D,'Modelling New'!$P:$P),"")</f>
        <v>5.5049609600000018</v>
      </c>
      <c r="AD178" s="143">
        <f>IFERROR(_xlfn.XLOOKUP($D178,'Modelling New'!$D:$D,'Modelling New'!$T:$T)*1000,"")</f>
        <v>47057.046080205721</v>
      </c>
      <c r="AE178" s="148">
        <f>IFERROR(_xlfn.XLOOKUP($D178,'Modelling New'!$D:$D,'Modelling New'!$O:$O),"")</f>
        <v>0.72936145233565186</v>
      </c>
      <c r="AF178" s="148">
        <f>IFERROR(_xlfn.XLOOKUP($D178,'Modelling New'!$D:$D,'Modelling New'!$W:$W),"")</f>
        <v>0.16729609670152773</v>
      </c>
      <c r="AG178" s="148">
        <f>IFERROR(_xlfn.XLOOKUP($D178,'Modelling New'!$D:$D,'Modelling New'!AE:AE),"")</f>
        <v>0.995</v>
      </c>
      <c r="AH178" s="148">
        <f>IFERROR(_xlfn.XLOOKUP($D178,'Modelling New'!$D:$D,'Modelling New'!AF:AF),"")</f>
        <v>0.98550000000000004</v>
      </c>
      <c r="AN178" s="145"/>
      <c r="AO178" s="148"/>
      <c r="AP178" s="148"/>
      <c r="AQ178" s="148"/>
      <c r="AR178" s="143">
        <f>IFERROR(_xlfn.XLOOKUP($D178,'Modelling New'!$D:$D,'Modelling New'!$N:$N),"")</f>
        <v>11.72</v>
      </c>
      <c r="AT178" s="143" t="str">
        <f>IFERROR(_xlfn.XLOOKUP(Table13[[#This Row],[Date]],'Raw Data'!$G:$G,'Raw Data'!$AJ:$AJ),"")</f>
        <v/>
      </c>
      <c r="AU178" s="143">
        <f>IFERROR(_xlfn.XLOOKUP(Table13[[#This Row],[Month Year]],'Modelling New'!$D:$D,'Modelling New'!$AO:$AO),"")</f>
        <v>10</v>
      </c>
      <c r="AV178" s="143"/>
    </row>
    <row r="179" spans="1:48">
      <c r="A179" s="142">
        <f t="shared" si="11"/>
        <v>45922</v>
      </c>
      <c r="B179" s="143">
        <f>YEAR(Table13[[#This Row],[Date]])+IF(MONTH(Table13[[#This Row],[Date]])&gt;=4,1,0)</f>
        <v>2026</v>
      </c>
      <c r="C179" s="116">
        <f>YEAR(Table13[[#This Row],[Date]])</f>
        <v>2025</v>
      </c>
      <c r="D179" s="144">
        <f>Table13[[#This Row],[Date]]-DAY(Table13[[#This Row],[Date]])+1</f>
        <v>45901</v>
      </c>
      <c r="E179" s="116">
        <f t="shared" si="12"/>
        <v>30</v>
      </c>
      <c r="F179" s="117" t="str">
        <f>IFERROR(_xlfn.XLOOKUP($A179,'Raw Data'!$G:$G,'Raw Data'!$AH:$AH),"")</f>
        <v/>
      </c>
      <c r="G179" s="118" t="str">
        <f>IFERROR(_xlfn.XLOOKUP($A179,'Raw Data'!$G:$G,'Raw Data'!$S:$S)/1000,"")</f>
        <v/>
      </c>
      <c r="H179" s="118"/>
      <c r="I179" s="118" t="str">
        <f>IFERROR(_xlfn.XLOOKUP($A179,'Raw Data'!$G:$G,'Raw Data'!$AF:$AF)/1000,"")</f>
        <v/>
      </c>
      <c r="J179" s="118"/>
      <c r="K179" s="118" t="str">
        <f>IFERROR(_xlfn.XLOOKUP($A179,'Raw Data'!$G:$G,'Raw Data'!W:W),"")</f>
        <v/>
      </c>
      <c r="L179" s="118" t="str">
        <f>IFERROR(_xlfn.XLOOKUP($A179,'Raw Data'!$G:$G,'Raw Data'!X:X),"")</f>
        <v/>
      </c>
      <c r="M179" s="118" t="str">
        <f>IFERROR(_xlfn.XLOOKUP($A179,'Raw Data'!$G:$G,'Raw Data'!Y:Y),"")</f>
        <v/>
      </c>
      <c r="N179" s="118" t="str">
        <f>IFERROR(_xlfn.XLOOKUP($A179,'Raw Data'!$G:$G,'Raw Data'!Z:Z),"")</f>
        <v/>
      </c>
      <c r="O179" s="145" t="str">
        <f>IFERROR(1-SUMIF('Plant BD'!$B:$B,$A179,'Plant BD'!$AM:$AM)/($AA179+SUMIF('Plant BD'!$B:$B,$A179,'Plant BD'!$AM:$AM)),"")</f>
        <v/>
      </c>
      <c r="P179" s="145"/>
      <c r="Q179" s="146"/>
      <c r="R179" s="145" t="str">
        <f>IFERROR(1-SUMIF('Grid BD'!$B:$B,$A179,'Grid BD'!$AE:$AE)/($AA179+SUMIF('Grid BD'!$B:$B,$A179,'Grid BD'!$AE:$AE)),"")</f>
        <v/>
      </c>
      <c r="T179" s="146" t="str">
        <f>IFERROR(1-SUMIF(Tracker_BD!$H:$H,$A179,Tracker_BD!AI:AI)/$F179,"")</f>
        <v/>
      </c>
      <c r="U179" s="147" t="str">
        <f t="shared" si="9"/>
        <v/>
      </c>
      <c r="V179" s="147"/>
      <c r="W179" s="148" t="str">
        <f t="shared" si="10"/>
        <v/>
      </c>
      <c r="X179" s="143" t="str">
        <f>IFERROR(_xlfn.XLOOKUP($A179,'Raw Data'!$G:$G,'Raw Data'!$AB:$AB),"")</f>
        <v/>
      </c>
      <c r="Y179" s="143" t="str">
        <f>IFERROR(_xlfn.XLOOKUP($A179,'Raw Data'!$G:$G,'Raw Data'!AC:AC),"")</f>
        <v/>
      </c>
      <c r="Z179" s="143" t="str">
        <f>IFERROR(_xlfn.XLOOKUP($A179,'Raw Data'!$G:$G,'Raw Data'!AD:AD),"")</f>
        <v/>
      </c>
      <c r="AA179" s="143" t="str">
        <f>IFERROR(_xlfn.XLOOKUP($A179,'Raw Data'!$G:$G,'Raw Data'!AE:AE)*(1+(_xlfn.XLOOKUP(Table13[[#This Row],[Month Year]],JMR!$A:$A,JMR!$J:$J))),"")</f>
        <v/>
      </c>
      <c r="AB179" s="143" t="str">
        <f>IFERROR(_xlfn.XLOOKUP($A179,'Raw Data'!$G:$G,'Raw Data'!$H:$H),"")</f>
        <v/>
      </c>
      <c r="AC179" s="149">
        <f>IFERROR(_xlfn.XLOOKUP($D179,'Modelling New'!$D:$D,'Modelling New'!$P:$P),"")</f>
        <v>5.5049609600000018</v>
      </c>
      <c r="AD179" s="143">
        <f>IFERROR(_xlfn.XLOOKUP($D179,'Modelling New'!$D:$D,'Modelling New'!$T:$T)*1000,"")</f>
        <v>47057.046080205721</v>
      </c>
      <c r="AE179" s="148">
        <f>IFERROR(_xlfn.XLOOKUP($D179,'Modelling New'!$D:$D,'Modelling New'!$O:$O),"")</f>
        <v>0.72936145233565186</v>
      </c>
      <c r="AF179" s="148">
        <f>IFERROR(_xlfn.XLOOKUP($D179,'Modelling New'!$D:$D,'Modelling New'!$W:$W),"")</f>
        <v>0.16729609670152773</v>
      </c>
      <c r="AG179" s="148">
        <f>IFERROR(_xlfn.XLOOKUP($D179,'Modelling New'!$D:$D,'Modelling New'!AE:AE),"")</f>
        <v>0.995</v>
      </c>
      <c r="AH179" s="148">
        <f>IFERROR(_xlfn.XLOOKUP($D179,'Modelling New'!$D:$D,'Modelling New'!AF:AF),"")</f>
        <v>0.98550000000000004</v>
      </c>
      <c r="AN179" s="145"/>
      <c r="AO179" s="148"/>
      <c r="AP179" s="148"/>
      <c r="AQ179" s="148"/>
      <c r="AR179" s="143">
        <f>IFERROR(_xlfn.XLOOKUP($D179,'Modelling New'!$D:$D,'Modelling New'!$N:$N),"")</f>
        <v>11.72</v>
      </c>
      <c r="AT179" s="143" t="str">
        <f>IFERROR(_xlfn.XLOOKUP(Table13[[#This Row],[Date]],'Raw Data'!$G:$G,'Raw Data'!$AJ:$AJ),"")</f>
        <v/>
      </c>
      <c r="AU179" s="143">
        <f>IFERROR(_xlfn.XLOOKUP(Table13[[#This Row],[Month Year]],'Modelling New'!$D:$D,'Modelling New'!$AO:$AO),"")</f>
        <v>10</v>
      </c>
      <c r="AV179" s="143"/>
    </row>
    <row r="180" spans="1:48">
      <c r="A180" s="142">
        <f t="shared" si="11"/>
        <v>45923</v>
      </c>
      <c r="B180" s="143">
        <f>YEAR(Table13[[#This Row],[Date]])+IF(MONTH(Table13[[#This Row],[Date]])&gt;=4,1,0)</f>
        <v>2026</v>
      </c>
      <c r="C180" s="116">
        <f>YEAR(Table13[[#This Row],[Date]])</f>
        <v>2025</v>
      </c>
      <c r="D180" s="144">
        <f>Table13[[#This Row],[Date]]-DAY(Table13[[#This Row],[Date]])+1</f>
        <v>45901</v>
      </c>
      <c r="E180" s="116">
        <f t="shared" si="12"/>
        <v>30</v>
      </c>
      <c r="F180" s="117" t="str">
        <f>IFERROR(_xlfn.XLOOKUP($A180,'Raw Data'!$G:$G,'Raw Data'!$AH:$AH),"")</f>
        <v/>
      </c>
      <c r="G180" s="118" t="str">
        <f>IFERROR(_xlfn.XLOOKUP($A180,'Raw Data'!$G:$G,'Raw Data'!$S:$S)/1000,"")</f>
        <v/>
      </c>
      <c r="H180" s="118"/>
      <c r="I180" s="118" t="str">
        <f>IFERROR(_xlfn.XLOOKUP($A180,'Raw Data'!$G:$G,'Raw Data'!$AF:$AF)/1000,"")</f>
        <v/>
      </c>
      <c r="J180" s="118"/>
      <c r="K180" s="118" t="str">
        <f>IFERROR(_xlfn.XLOOKUP($A180,'Raw Data'!$G:$G,'Raw Data'!W:W),"")</f>
        <v/>
      </c>
      <c r="L180" s="118" t="str">
        <f>IFERROR(_xlfn.XLOOKUP($A180,'Raw Data'!$G:$G,'Raw Data'!X:X),"")</f>
        <v/>
      </c>
      <c r="M180" s="118" t="str">
        <f>IFERROR(_xlfn.XLOOKUP($A180,'Raw Data'!$G:$G,'Raw Data'!Y:Y),"")</f>
        <v/>
      </c>
      <c r="N180" s="118" t="str">
        <f>IFERROR(_xlfn.XLOOKUP($A180,'Raw Data'!$G:$G,'Raw Data'!Z:Z),"")</f>
        <v/>
      </c>
      <c r="O180" s="145" t="str">
        <f>IFERROR(1-SUMIF('Plant BD'!$B:$B,$A180,'Plant BD'!$AM:$AM)/($AA180+SUMIF('Plant BD'!$B:$B,$A180,'Plant BD'!$AM:$AM)),"")</f>
        <v/>
      </c>
      <c r="P180" s="145"/>
      <c r="Q180" s="146"/>
      <c r="R180" s="145" t="str">
        <f>IFERROR(1-SUMIF('Grid BD'!$B:$B,$A180,'Grid BD'!$AE:$AE)/($AA180+SUMIF('Grid BD'!$B:$B,$A180,'Grid BD'!$AE:$AE)),"")</f>
        <v/>
      </c>
      <c r="T180" s="146" t="str">
        <f>IFERROR(1-SUMIF(Tracker_BD!$H:$H,$A180,Tracker_BD!AI:AI)/$F180,"")</f>
        <v/>
      </c>
      <c r="U180" s="147" t="str">
        <f t="shared" si="9"/>
        <v/>
      </c>
      <c r="V180" s="147"/>
      <c r="W180" s="148" t="str">
        <f t="shared" si="10"/>
        <v/>
      </c>
      <c r="X180" s="143" t="str">
        <f>IFERROR(_xlfn.XLOOKUP($A180,'Raw Data'!$G:$G,'Raw Data'!$AB:$AB),"")</f>
        <v/>
      </c>
      <c r="Y180" s="143" t="str">
        <f>IFERROR(_xlfn.XLOOKUP($A180,'Raw Data'!$G:$G,'Raw Data'!AC:AC),"")</f>
        <v/>
      </c>
      <c r="Z180" s="143" t="str">
        <f>IFERROR(_xlfn.XLOOKUP($A180,'Raw Data'!$G:$G,'Raw Data'!AD:AD),"")</f>
        <v/>
      </c>
      <c r="AA180" s="143" t="str">
        <f>IFERROR(_xlfn.XLOOKUP($A180,'Raw Data'!$G:$G,'Raw Data'!AE:AE)*(1+(_xlfn.XLOOKUP(Table13[[#This Row],[Month Year]],JMR!$A:$A,JMR!$J:$J))),"")</f>
        <v/>
      </c>
      <c r="AB180" s="143" t="str">
        <f>IFERROR(_xlfn.XLOOKUP($A180,'Raw Data'!$G:$G,'Raw Data'!$H:$H),"")</f>
        <v/>
      </c>
      <c r="AC180" s="149">
        <f>IFERROR(_xlfn.XLOOKUP($D180,'Modelling New'!$D:$D,'Modelling New'!$P:$P),"")</f>
        <v>5.5049609600000018</v>
      </c>
      <c r="AD180" s="143">
        <f>IFERROR(_xlfn.XLOOKUP($D180,'Modelling New'!$D:$D,'Modelling New'!$T:$T)*1000,"")</f>
        <v>47057.046080205721</v>
      </c>
      <c r="AE180" s="148">
        <f>IFERROR(_xlfn.XLOOKUP($D180,'Modelling New'!$D:$D,'Modelling New'!$O:$O),"")</f>
        <v>0.72936145233565186</v>
      </c>
      <c r="AF180" s="148">
        <f>IFERROR(_xlfn.XLOOKUP($D180,'Modelling New'!$D:$D,'Modelling New'!$W:$W),"")</f>
        <v>0.16729609670152773</v>
      </c>
      <c r="AG180" s="148">
        <f>IFERROR(_xlfn.XLOOKUP($D180,'Modelling New'!$D:$D,'Modelling New'!AE:AE),"")</f>
        <v>0.995</v>
      </c>
      <c r="AH180" s="148">
        <f>IFERROR(_xlfn.XLOOKUP($D180,'Modelling New'!$D:$D,'Modelling New'!AF:AF),"")</f>
        <v>0.98550000000000004</v>
      </c>
      <c r="AN180" s="145"/>
      <c r="AO180" s="148"/>
      <c r="AP180" s="148"/>
      <c r="AQ180" s="148"/>
      <c r="AR180" s="143">
        <f>IFERROR(_xlfn.XLOOKUP($D180,'Modelling New'!$D:$D,'Modelling New'!$N:$N),"")</f>
        <v>11.72</v>
      </c>
      <c r="AT180" s="143" t="str">
        <f>IFERROR(_xlfn.XLOOKUP(Table13[[#This Row],[Date]],'Raw Data'!$G:$G,'Raw Data'!$AJ:$AJ),"")</f>
        <v/>
      </c>
      <c r="AU180" s="143">
        <f>IFERROR(_xlfn.XLOOKUP(Table13[[#This Row],[Month Year]],'Modelling New'!$D:$D,'Modelling New'!$AO:$AO),"")</f>
        <v>10</v>
      </c>
      <c r="AV180" s="143"/>
    </row>
    <row r="181" spans="1:48">
      <c r="A181" s="142">
        <f t="shared" si="11"/>
        <v>45924</v>
      </c>
      <c r="B181" s="143">
        <f>YEAR(Table13[[#This Row],[Date]])+IF(MONTH(Table13[[#This Row],[Date]])&gt;=4,1,0)</f>
        <v>2026</v>
      </c>
      <c r="C181" s="116">
        <f>YEAR(Table13[[#This Row],[Date]])</f>
        <v>2025</v>
      </c>
      <c r="D181" s="144">
        <f>Table13[[#This Row],[Date]]-DAY(Table13[[#This Row],[Date]])+1</f>
        <v>45901</v>
      </c>
      <c r="E181" s="116">
        <f t="shared" si="12"/>
        <v>30</v>
      </c>
      <c r="F181" s="117" t="str">
        <f>IFERROR(_xlfn.XLOOKUP($A181,'Raw Data'!$G:$G,'Raw Data'!$AH:$AH),"")</f>
        <v/>
      </c>
      <c r="G181" s="118" t="str">
        <f>IFERROR(_xlfn.XLOOKUP($A181,'Raw Data'!$G:$G,'Raw Data'!$S:$S)/1000,"")</f>
        <v/>
      </c>
      <c r="H181" s="118"/>
      <c r="I181" s="118" t="str">
        <f>IFERROR(_xlfn.XLOOKUP($A181,'Raw Data'!$G:$G,'Raw Data'!$AF:$AF)/1000,"")</f>
        <v/>
      </c>
      <c r="J181" s="118"/>
      <c r="K181" s="118" t="str">
        <f>IFERROR(_xlfn.XLOOKUP($A181,'Raw Data'!$G:$G,'Raw Data'!W:W),"")</f>
        <v/>
      </c>
      <c r="L181" s="118" t="str">
        <f>IFERROR(_xlfn.XLOOKUP($A181,'Raw Data'!$G:$G,'Raw Data'!X:X),"")</f>
        <v/>
      </c>
      <c r="M181" s="118" t="str">
        <f>IFERROR(_xlfn.XLOOKUP($A181,'Raw Data'!$G:$G,'Raw Data'!Y:Y),"")</f>
        <v/>
      </c>
      <c r="N181" s="118" t="str">
        <f>IFERROR(_xlfn.XLOOKUP($A181,'Raw Data'!$G:$G,'Raw Data'!Z:Z),"")</f>
        <v/>
      </c>
      <c r="O181" s="145" t="str">
        <f>IFERROR(1-SUMIF('Plant BD'!$B:$B,$A181,'Plant BD'!$AM:$AM)/($AA181+SUMIF('Plant BD'!$B:$B,$A181,'Plant BD'!$AM:$AM)),"")</f>
        <v/>
      </c>
      <c r="P181" s="145"/>
      <c r="Q181" s="146"/>
      <c r="R181" s="145" t="str">
        <f>IFERROR(1-SUMIF('Grid BD'!$B:$B,$A181,'Grid BD'!$AE:$AE)/($AA181+SUMIF('Grid BD'!$B:$B,$A181,'Grid BD'!$AE:$AE)),"")</f>
        <v/>
      </c>
      <c r="T181" s="146" t="str">
        <f>IFERROR(1-SUMIF(Tracker_BD!$H:$H,$A181,Tracker_BD!AI:AI)/$F181,"")</f>
        <v/>
      </c>
      <c r="U181" s="147" t="str">
        <f t="shared" si="9"/>
        <v/>
      </c>
      <c r="V181" s="147"/>
      <c r="W181" s="148" t="str">
        <f t="shared" si="10"/>
        <v/>
      </c>
      <c r="X181" s="143" t="str">
        <f>IFERROR(_xlfn.XLOOKUP($A181,'Raw Data'!$G:$G,'Raw Data'!$AB:$AB),"")</f>
        <v/>
      </c>
      <c r="Y181" s="143" t="str">
        <f>IFERROR(_xlfn.XLOOKUP($A181,'Raw Data'!$G:$G,'Raw Data'!AC:AC),"")</f>
        <v/>
      </c>
      <c r="Z181" s="143" t="str">
        <f>IFERROR(_xlfn.XLOOKUP($A181,'Raw Data'!$G:$G,'Raw Data'!AD:AD),"")</f>
        <v/>
      </c>
      <c r="AA181" s="143" t="str">
        <f>IFERROR(_xlfn.XLOOKUP($A181,'Raw Data'!$G:$G,'Raw Data'!AE:AE)*(1+(_xlfn.XLOOKUP(Table13[[#This Row],[Month Year]],JMR!$A:$A,JMR!$J:$J))),"")</f>
        <v/>
      </c>
      <c r="AB181" s="143" t="str">
        <f>IFERROR(_xlfn.XLOOKUP($A181,'Raw Data'!$G:$G,'Raw Data'!$H:$H),"")</f>
        <v/>
      </c>
      <c r="AC181" s="149">
        <f>IFERROR(_xlfn.XLOOKUP($D181,'Modelling New'!$D:$D,'Modelling New'!$P:$P),"")</f>
        <v>5.5049609600000018</v>
      </c>
      <c r="AD181" s="143">
        <f>IFERROR(_xlfn.XLOOKUP($D181,'Modelling New'!$D:$D,'Modelling New'!$T:$T)*1000,"")</f>
        <v>47057.046080205721</v>
      </c>
      <c r="AE181" s="148">
        <f>IFERROR(_xlfn.XLOOKUP($D181,'Modelling New'!$D:$D,'Modelling New'!$O:$O),"")</f>
        <v>0.72936145233565186</v>
      </c>
      <c r="AF181" s="148">
        <f>IFERROR(_xlfn.XLOOKUP($D181,'Modelling New'!$D:$D,'Modelling New'!$W:$W),"")</f>
        <v>0.16729609670152773</v>
      </c>
      <c r="AG181" s="148">
        <f>IFERROR(_xlfn.XLOOKUP($D181,'Modelling New'!$D:$D,'Modelling New'!AE:AE),"")</f>
        <v>0.995</v>
      </c>
      <c r="AH181" s="148">
        <f>IFERROR(_xlfn.XLOOKUP($D181,'Modelling New'!$D:$D,'Modelling New'!AF:AF),"")</f>
        <v>0.98550000000000004</v>
      </c>
      <c r="AN181" s="145"/>
      <c r="AO181" s="148"/>
      <c r="AP181" s="148"/>
      <c r="AQ181" s="148"/>
      <c r="AR181" s="143">
        <f>IFERROR(_xlfn.XLOOKUP($D181,'Modelling New'!$D:$D,'Modelling New'!$N:$N),"")</f>
        <v>11.72</v>
      </c>
      <c r="AT181" s="143" t="str">
        <f>IFERROR(_xlfn.XLOOKUP(Table13[[#This Row],[Date]],'Raw Data'!$G:$G,'Raw Data'!$AJ:$AJ),"")</f>
        <v/>
      </c>
      <c r="AU181" s="143">
        <f>IFERROR(_xlfn.XLOOKUP(Table13[[#This Row],[Month Year]],'Modelling New'!$D:$D,'Modelling New'!$AO:$AO),"")</f>
        <v>10</v>
      </c>
      <c r="AV181" s="143"/>
    </row>
    <row r="182" spans="1:48">
      <c r="A182" s="142">
        <f t="shared" si="11"/>
        <v>45925</v>
      </c>
      <c r="B182" s="143">
        <f>YEAR(Table13[[#This Row],[Date]])+IF(MONTH(Table13[[#This Row],[Date]])&gt;=4,1,0)</f>
        <v>2026</v>
      </c>
      <c r="C182" s="116">
        <f>YEAR(Table13[[#This Row],[Date]])</f>
        <v>2025</v>
      </c>
      <c r="D182" s="144">
        <f>Table13[[#This Row],[Date]]-DAY(Table13[[#This Row],[Date]])+1</f>
        <v>45901</v>
      </c>
      <c r="E182" s="116">
        <f t="shared" si="12"/>
        <v>30</v>
      </c>
      <c r="F182" s="117" t="str">
        <f>IFERROR(_xlfn.XLOOKUP($A182,'Raw Data'!$G:$G,'Raw Data'!$AH:$AH),"")</f>
        <v/>
      </c>
      <c r="G182" s="118" t="str">
        <f>IFERROR(_xlfn.XLOOKUP($A182,'Raw Data'!$G:$G,'Raw Data'!$S:$S)/1000,"")</f>
        <v/>
      </c>
      <c r="H182" s="118"/>
      <c r="I182" s="118" t="str">
        <f>IFERROR(_xlfn.XLOOKUP($A182,'Raw Data'!$G:$G,'Raw Data'!$AF:$AF)/1000,"")</f>
        <v/>
      </c>
      <c r="J182" s="118"/>
      <c r="K182" s="118" t="str">
        <f>IFERROR(_xlfn.XLOOKUP($A182,'Raw Data'!$G:$G,'Raw Data'!W:W),"")</f>
        <v/>
      </c>
      <c r="L182" s="118" t="str">
        <f>IFERROR(_xlfn.XLOOKUP($A182,'Raw Data'!$G:$G,'Raw Data'!X:X),"")</f>
        <v/>
      </c>
      <c r="M182" s="118" t="str">
        <f>IFERROR(_xlfn.XLOOKUP($A182,'Raw Data'!$G:$G,'Raw Data'!Y:Y),"")</f>
        <v/>
      </c>
      <c r="N182" s="118" t="str">
        <f>IFERROR(_xlfn.XLOOKUP($A182,'Raw Data'!$G:$G,'Raw Data'!Z:Z),"")</f>
        <v/>
      </c>
      <c r="O182" s="145" t="str">
        <f>IFERROR(1-SUMIF('Plant BD'!$B:$B,$A182,'Plant BD'!$AM:$AM)/($AA182+SUMIF('Plant BD'!$B:$B,$A182,'Plant BD'!$AM:$AM)),"")</f>
        <v/>
      </c>
      <c r="P182" s="145"/>
      <c r="Q182" s="146"/>
      <c r="R182" s="145" t="str">
        <f>IFERROR(1-SUMIF('Grid BD'!$B:$B,$A182,'Grid BD'!$AE:$AE)/($AA182+SUMIF('Grid BD'!$B:$B,$A182,'Grid BD'!$AE:$AE)),"")</f>
        <v/>
      </c>
      <c r="T182" s="146" t="str">
        <f>IFERROR(1-SUMIF(Tracker_BD!$H:$H,$A182,Tracker_BD!AI:AI)/$F182,"")</f>
        <v/>
      </c>
      <c r="U182" s="147" t="str">
        <f t="shared" si="9"/>
        <v/>
      </c>
      <c r="V182" s="147"/>
      <c r="W182" s="148" t="str">
        <f t="shared" si="10"/>
        <v/>
      </c>
      <c r="X182" s="143" t="str">
        <f>IFERROR(_xlfn.XLOOKUP($A182,'Raw Data'!$G:$G,'Raw Data'!$AB:$AB),"")</f>
        <v/>
      </c>
      <c r="Y182" s="143" t="str">
        <f>IFERROR(_xlfn.XLOOKUP($A182,'Raw Data'!$G:$G,'Raw Data'!AC:AC),"")</f>
        <v/>
      </c>
      <c r="Z182" s="143" t="str">
        <f>IFERROR(_xlfn.XLOOKUP($A182,'Raw Data'!$G:$G,'Raw Data'!AD:AD),"")</f>
        <v/>
      </c>
      <c r="AA182" s="143" t="str">
        <f>IFERROR(_xlfn.XLOOKUP($A182,'Raw Data'!$G:$G,'Raw Data'!AE:AE)*(1+(_xlfn.XLOOKUP(Table13[[#This Row],[Month Year]],JMR!$A:$A,JMR!$J:$J))),"")</f>
        <v/>
      </c>
      <c r="AB182" s="143" t="str">
        <f>IFERROR(_xlfn.XLOOKUP($A182,'Raw Data'!$G:$G,'Raw Data'!$H:$H),"")</f>
        <v/>
      </c>
      <c r="AC182" s="149">
        <f>IFERROR(_xlfn.XLOOKUP($D182,'Modelling New'!$D:$D,'Modelling New'!$P:$P),"")</f>
        <v>5.5049609600000018</v>
      </c>
      <c r="AD182" s="143">
        <f>IFERROR(_xlfn.XLOOKUP($D182,'Modelling New'!$D:$D,'Modelling New'!$T:$T)*1000,"")</f>
        <v>47057.046080205721</v>
      </c>
      <c r="AE182" s="148">
        <f>IFERROR(_xlfn.XLOOKUP($D182,'Modelling New'!$D:$D,'Modelling New'!$O:$O),"")</f>
        <v>0.72936145233565186</v>
      </c>
      <c r="AF182" s="148">
        <f>IFERROR(_xlfn.XLOOKUP($D182,'Modelling New'!$D:$D,'Modelling New'!$W:$W),"")</f>
        <v>0.16729609670152773</v>
      </c>
      <c r="AG182" s="148">
        <f>IFERROR(_xlfn.XLOOKUP($D182,'Modelling New'!$D:$D,'Modelling New'!AE:AE),"")</f>
        <v>0.995</v>
      </c>
      <c r="AH182" s="148">
        <f>IFERROR(_xlfn.XLOOKUP($D182,'Modelling New'!$D:$D,'Modelling New'!AF:AF),"")</f>
        <v>0.98550000000000004</v>
      </c>
      <c r="AN182" s="145"/>
      <c r="AO182" s="148"/>
      <c r="AP182" s="148"/>
      <c r="AQ182" s="148"/>
      <c r="AR182" s="143">
        <f>IFERROR(_xlfn.XLOOKUP($D182,'Modelling New'!$D:$D,'Modelling New'!$N:$N),"")</f>
        <v>11.72</v>
      </c>
      <c r="AT182" s="143" t="str">
        <f>IFERROR(_xlfn.XLOOKUP(Table13[[#This Row],[Date]],'Raw Data'!$G:$G,'Raw Data'!$AJ:$AJ),"")</f>
        <v/>
      </c>
      <c r="AU182" s="143">
        <f>IFERROR(_xlfn.XLOOKUP(Table13[[#This Row],[Month Year]],'Modelling New'!$D:$D,'Modelling New'!$AO:$AO),"")</f>
        <v>10</v>
      </c>
      <c r="AV182" s="143"/>
    </row>
    <row r="183" spans="1:48">
      <c r="A183" s="142">
        <f t="shared" si="11"/>
        <v>45926</v>
      </c>
      <c r="B183" s="143">
        <f>YEAR(Table13[[#This Row],[Date]])+IF(MONTH(Table13[[#This Row],[Date]])&gt;=4,1,0)</f>
        <v>2026</v>
      </c>
      <c r="C183" s="116">
        <f>YEAR(Table13[[#This Row],[Date]])</f>
        <v>2025</v>
      </c>
      <c r="D183" s="144">
        <f>Table13[[#This Row],[Date]]-DAY(Table13[[#This Row],[Date]])+1</f>
        <v>45901</v>
      </c>
      <c r="E183" s="116">
        <f t="shared" si="12"/>
        <v>30</v>
      </c>
      <c r="F183" s="117" t="str">
        <f>IFERROR(_xlfn.XLOOKUP($A183,'Raw Data'!$G:$G,'Raw Data'!$AH:$AH),"")</f>
        <v/>
      </c>
      <c r="G183" s="118" t="str">
        <f>IFERROR(_xlfn.XLOOKUP($A183,'Raw Data'!$G:$G,'Raw Data'!$S:$S)/1000,"")</f>
        <v/>
      </c>
      <c r="H183" s="118"/>
      <c r="I183" s="118" t="str">
        <f>IFERROR(_xlfn.XLOOKUP($A183,'Raw Data'!$G:$G,'Raw Data'!$AF:$AF)/1000,"")</f>
        <v/>
      </c>
      <c r="J183" s="118"/>
      <c r="K183" s="118" t="str">
        <f>IFERROR(_xlfn.XLOOKUP($A183,'Raw Data'!$G:$G,'Raw Data'!W:W),"")</f>
        <v/>
      </c>
      <c r="L183" s="118" t="str">
        <f>IFERROR(_xlfn.XLOOKUP($A183,'Raw Data'!$G:$G,'Raw Data'!X:X),"")</f>
        <v/>
      </c>
      <c r="M183" s="118" t="str">
        <f>IFERROR(_xlfn.XLOOKUP($A183,'Raw Data'!$G:$G,'Raw Data'!Y:Y),"")</f>
        <v/>
      </c>
      <c r="N183" s="118" t="str">
        <f>IFERROR(_xlfn.XLOOKUP($A183,'Raw Data'!$G:$G,'Raw Data'!Z:Z),"")</f>
        <v/>
      </c>
      <c r="O183" s="145" t="str">
        <f>IFERROR(1-SUMIF('Plant BD'!$B:$B,$A183,'Plant BD'!$AM:$AM)/($AA183+SUMIF('Plant BD'!$B:$B,$A183,'Plant BD'!$AM:$AM)),"")</f>
        <v/>
      </c>
      <c r="P183" s="145"/>
      <c r="Q183" s="146"/>
      <c r="R183" s="145" t="str">
        <f>IFERROR(1-SUMIF('Grid BD'!$B:$B,$A183,'Grid BD'!$AE:$AE)/($AA183+SUMIF('Grid BD'!$B:$B,$A183,'Grid BD'!$AE:$AE)),"")</f>
        <v/>
      </c>
      <c r="T183" s="146" t="str">
        <f>IFERROR(1-SUMIF(Tracker_BD!$H:$H,$A183,Tracker_BD!AI:AI)/$F183,"")</f>
        <v/>
      </c>
      <c r="U183" s="147" t="str">
        <f t="shared" si="9"/>
        <v/>
      </c>
      <c r="V183" s="147"/>
      <c r="W183" s="148" t="str">
        <f t="shared" si="10"/>
        <v/>
      </c>
      <c r="X183" s="143" t="str">
        <f>IFERROR(_xlfn.XLOOKUP($A183,'Raw Data'!$G:$G,'Raw Data'!$AB:$AB),"")</f>
        <v/>
      </c>
      <c r="Y183" s="143" t="str">
        <f>IFERROR(_xlfn.XLOOKUP($A183,'Raw Data'!$G:$G,'Raw Data'!AC:AC),"")</f>
        <v/>
      </c>
      <c r="Z183" s="143" t="str">
        <f>IFERROR(_xlfn.XLOOKUP($A183,'Raw Data'!$G:$G,'Raw Data'!AD:AD),"")</f>
        <v/>
      </c>
      <c r="AA183" s="143" t="str">
        <f>IFERROR(_xlfn.XLOOKUP($A183,'Raw Data'!$G:$G,'Raw Data'!AE:AE)*(1+(_xlfn.XLOOKUP(Table13[[#This Row],[Month Year]],JMR!$A:$A,JMR!$J:$J))),"")</f>
        <v/>
      </c>
      <c r="AB183" s="143" t="str">
        <f>IFERROR(_xlfn.XLOOKUP($A183,'Raw Data'!$G:$G,'Raw Data'!$H:$H),"")</f>
        <v/>
      </c>
      <c r="AC183" s="149">
        <f>IFERROR(_xlfn.XLOOKUP($D183,'Modelling New'!$D:$D,'Modelling New'!$P:$P),"")</f>
        <v>5.5049609600000018</v>
      </c>
      <c r="AD183" s="143">
        <f>IFERROR(_xlfn.XLOOKUP($D183,'Modelling New'!$D:$D,'Modelling New'!$T:$T)*1000,"")</f>
        <v>47057.046080205721</v>
      </c>
      <c r="AE183" s="148">
        <f>IFERROR(_xlfn.XLOOKUP($D183,'Modelling New'!$D:$D,'Modelling New'!$O:$O),"")</f>
        <v>0.72936145233565186</v>
      </c>
      <c r="AF183" s="148">
        <f>IFERROR(_xlfn.XLOOKUP($D183,'Modelling New'!$D:$D,'Modelling New'!$W:$W),"")</f>
        <v>0.16729609670152773</v>
      </c>
      <c r="AG183" s="148">
        <f>IFERROR(_xlfn.XLOOKUP($D183,'Modelling New'!$D:$D,'Modelling New'!AE:AE),"")</f>
        <v>0.995</v>
      </c>
      <c r="AH183" s="148">
        <f>IFERROR(_xlfn.XLOOKUP($D183,'Modelling New'!$D:$D,'Modelling New'!AF:AF),"")</f>
        <v>0.98550000000000004</v>
      </c>
      <c r="AN183" s="145"/>
      <c r="AO183" s="148"/>
      <c r="AP183" s="148"/>
      <c r="AQ183" s="148"/>
      <c r="AR183" s="143">
        <f>IFERROR(_xlfn.XLOOKUP($D183,'Modelling New'!$D:$D,'Modelling New'!$N:$N),"")</f>
        <v>11.72</v>
      </c>
      <c r="AT183" s="143" t="str">
        <f>IFERROR(_xlfn.XLOOKUP(Table13[[#This Row],[Date]],'Raw Data'!$G:$G,'Raw Data'!$AJ:$AJ),"")</f>
        <v/>
      </c>
      <c r="AU183" s="143">
        <f>IFERROR(_xlfn.XLOOKUP(Table13[[#This Row],[Month Year]],'Modelling New'!$D:$D,'Modelling New'!$AO:$AO),"")</f>
        <v>10</v>
      </c>
      <c r="AV183" s="143"/>
    </row>
    <row r="184" spans="1:48">
      <c r="A184" s="142">
        <f t="shared" si="11"/>
        <v>45927</v>
      </c>
      <c r="B184" s="143">
        <f>YEAR(Table13[[#This Row],[Date]])+IF(MONTH(Table13[[#This Row],[Date]])&gt;=4,1,0)</f>
        <v>2026</v>
      </c>
      <c r="C184" s="116">
        <f>YEAR(Table13[[#This Row],[Date]])</f>
        <v>2025</v>
      </c>
      <c r="D184" s="144">
        <f>Table13[[#This Row],[Date]]-DAY(Table13[[#This Row],[Date]])+1</f>
        <v>45901</v>
      </c>
      <c r="E184" s="116">
        <f t="shared" si="12"/>
        <v>30</v>
      </c>
      <c r="F184" s="117" t="str">
        <f>IFERROR(_xlfn.XLOOKUP($A184,'Raw Data'!$G:$G,'Raw Data'!$AH:$AH),"")</f>
        <v/>
      </c>
      <c r="G184" s="118" t="str">
        <f>IFERROR(_xlfn.XLOOKUP($A184,'Raw Data'!$G:$G,'Raw Data'!$S:$S)/1000,"")</f>
        <v/>
      </c>
      <c r="H184" s="118"/>
      <c r="I184" s="118" t="str">
        <f>IFERROR(_xlfn.XLOOKUP($A184,'Raw Data'!$G:$G,'Raw Data'!$AF:$AF)/1000,"")</f>
        <v/>
      </c>
      <c r="J184" s="118"/>
      <c r="K184" s="118" t="str">
        <f>IFERROR(_xlfn.XLOOKUP($A184,'Raw Data'!$G:$G,'Raw Data'!W:W),"")</f>
        <v/>
      </c>
      <c r="L184" s="118" t="str">
        <f>IFERROR(_xlfn.XLOOKUP($A184,'Raw Data'!$G:$G,'Raw Data'!X:X),"")</f>
        <v/>
      </c>
      <c r="M184" s="118" t="str">
        <f>IFERROR(_xlfn.XLOOKUP($A184,'Raw Data'!$G:$G,'Raw Data'!Y:Y),"")</f>
        <v/>
      </c>
      <c r="N184" s="118" t="str">
        <f>IFERROR(_xlfn.XLOOKUP($A184,'Raw Data'!$G:$G,'Raw Data'!Z:Z),"")</f>
        <v/>
      </c>
      <c r="O184" s="145" t="str">
        <f>IFERROR(1-SUMIF('Plant BD'!$B:$B,$A184,'Plant BD'!$AM:$AM)/($AA184+SUMIF('Plant BD'!$B:$B,$A184,'Plant BD'!$AM:$AM)),"")</f>
        <v/>
      </c>
      <c r="P184" s="145"/>
      <c r="Q184" s="146"/>
      <c r="R184" s="145" t="str">
        <f>IFERROR(1-SUMIF('Grid BD'!$B:$B,$A184,'Grid BD'!$AE:$AE)/($AA184+SUMIF('Grid BD'!$B:$B,$A184,'Grid BD'!$AE:$AE)),"")</f>
        <v/>
      </c>
      <c r="T184" s="146" t="str">
        <f>IFERROR(1-SUMIF(Tracker_BD!$H:$H,$A184,Tracker_BD!AI:AI)/$F184,"")</f>
        <v/>
      </c>
      <c r="U184" s="147" t="str">
        <f t="shared" si="9"/>
        <v/>
      </c>
      <c r="V184" s="147"/>
      <c r="W184" s="148" t="str">
        <f t="shared" si="10"/>
        <v/>
      </c>
      <c r="X184" s="143" t="str">
        <f>IFERROR(_xlfn.XLOOKUP($A184,'Raw Data'!$G:$G,'Raw Data'!$AB:$AB),"")</f>
        <v/>
      </c>
      <c r="Y184" s="143" t="str">
        <f>IFERROR(_xlfn.XLOOKUP($A184,'Raw Data'!$G:$G,'Raw Data'!AC:AC),"")</f>
        <v/>
      </c>
      <c r="Z184" s="143" t="str">
        <f>IFERROR(_xlfn.XLOOKUP($A184,'Raw Data'!$G:$G,'Raw Data'!AD:AD),"")</f>
        <v/>
      </c>
      <c r="AA184" s="143" t="str">
        <f>IFERROR(_xlfn.XLOOKUP($A184,'Raw Data'!$G:$G,'Raw Data'!AE:AE)*(1+(_xlfn.XLOOKUP(Table13[[#This Row],[Month Year]],JMR!$A:$A,JMR!$J:$J))),"")</f>
        <v/>
      </c>
      <c r="AB184" s="143" t="str">
        <f>IFERROR(_xlfn.XLOOKUP($A184,'Raw Data'!$G:$G,'Raw Data'!$H:$H),"")</f>
        <v/>
      </c>
      <c r="AC184" s="149">
        <f>IFERROR(_xlfn.XLOOKUP($D184,'Modelling New'!$D:$D,'Modelling New'!$P:$P),"")</f>
        <v>5.5049609600000018</v>
      </c>
      <c r="AD184" s="143">
        <f>IFERROR(_xlfn.XLOOKUP($D184,'Modelling New'!$D:$D,'Modelling New'!$T:$T)*1000,"")</f>
        <v>47057.046080205721</v>
      </c>
      <c r="AE184" s="148">
        <f>IFERROR(_xlfn.XLOOKUP($D184,'Modelling New'!$D:$D,'Modelling New'!$O:$O),"")</f>
        <v>0.72936145233565186</v>
      </c>
      <c r="AF184" s="148">
        <f>IFERROR(_xlfn.XLOOKUP($D184,'Modelling New'!$D:$D,'Modelling New'!$W:$W),"")</f>
        <v>0.16729609670152773</v>
      </c>
      <c r="AG184" s="148">
        <f>IFERROR(_xlfn.XLOOKUP($D184,'Modelling New'!$D:$D,'Modelling New'!AE:AE),"")</f>
        <v>0.995</v>
      </c>
      <c r="AH184" s="148">
        <f>IFERROR(_xlfn.XLOOKUP($D184,'Modelling New'!$D:$D,'Modelling New'!AF:AF),"")</f>
        <v>0.98550000000000004</v>
      </c>
      <c r="AN184" s="145"/>
      <c r="AO184" s="148"/>
      <c r="AP184" s="148"/>
      <c r="AQ184" s="148"/>
      <c r="AR184" s="143">
        <f>IFERROR(_xlfn.XLOOKUP($D184,'Modelling New'!$D:$D,'Modelling New'!$N:$N),"")</f>
        <v>11.72</v>
      </c>
      <c r="AT184" s="143" t="str">
        <f>IFERROR(_xlfn.XLOOKUP(Table13[[#This Row],[Date]],'Raw Data'!$G:$G,'Raw Data'!$AJ:$AJ),"")</f>
        <v/>
      </c>
      <c r="AU184" s="143">
        <f>IFERROR(_xlfn.XLOOKUP(Table13[[#This Row],[Month Year]],'Modelling New'!$D:$D,'Modelling New'!$AO:$AO),"")</f>
        <v>10</v>
      </c>
      <c r="AV184" s="143"/>
    </row>
    <row r="185" spans="1:48">
      <c r="A185" s="142">
        <f t="shared" si="11"/>
        <v>45928</v>
      </c>
      <c r="B185" s="143">
        <f>YEAR(Table13[[#This Row],[Date]])+IF(MONTH(Table13[[#This Row],[Date]])&gt;=4,1,0)</f>
        <v>2026</v>
      </c>
      <c r="C185" s="116">
        <f>YEAR(Table13[[#This Row],[Date]])</f>
        <v>2025</v>
      </c>
      <c r="D185" s="144">
        <f>Table13[[#This Row],[Date]]-DAY(Table13[[#This Row],[Date]])+1</f>
        <v>45901</v>
      </c>
      <c r="E185" s="116">
        <f t="shared" si="12"/>
        <v>30</v>
      </c>
      <c r="F185" s="117" t="str">
        <f>IFERROR(_xlfn.XLOOKUP($A185,'Raw Data'!$G:$G,'Raw Data'!$AH:$AH),"")</f>
        <v/>
      </c>
      <c r="G185" s="118" t="str">
        <f>IFERROR(_xlfn.XLOOKUP($A185,'Raw Data'!$G:$G,'Raw Data'!$S:$S)/1000,"")</f>
        <v/>
      </c>
      <c r="H185" s="118"/>
      <c r="I185" s="118" t="str">
        <f>IFERROR(_xlfn.XLOOKUP($A185,'Raw Data'!$G:$G,'Raw Data'!$AF:$AF)/1000,"")</f>
        <v/>
      </c>
      <c r="J185" s="118"/>
      <c r="K185" s="118" t="str">
        <f>IFERROR(_xlfn.XLOOKUP($A185,'Raw Data'!$G:$G,'Raw Data'!W:W),"")</f>
        <v/>
      </c>
      <c r="L185" s="118" t="str">
        <f>IFERROR(_xlfn.XLOOKUP($A185,'Raw Data'!$G:$G,'Raw Data'!X:X),"")</f>
        <v/>
      </c>
      <c r="M185" s="118" t="str">
        <f>IFERROR(_xlfn.XLOOKUP($A185,'Raw Data'!$G:$G,'Raw Data'!Y:Y),"")</f>
        <v/>
      </c>
      <c r="N185" s="118" t="str">
        <f>IFERROR(_xlfn.XLOOKUP($A185,'Raw Data'!$G:$G,'Raw Data'!Z:Z),"")</f>
        <v/>
      </c>
      <c r="O185" s="145" t="str">
        <f>IFERROR(1-SUMIF('Plant BD'!$B:$B,$A185,'Plant BD'!$AM:$AM)/($AA185+SUMIF('Plant BD'!$B:$B,$A185,'Plant BD'!$AM:$AM)),"")</f>
        <v/>
      </c>
      <c r="P185" s="145"/>
      <c r="Q185" s="146"/>
      <c r="R185" s="145" t="str">
        <f>IFERROR(1-SUMIF('Grid BD'!$B:$B,$A185,'Grid BD'!$AE:$AE)/($AA185+SUMIF('Grid BD'!$B:$B,$A185,'Grid BD'!$AE:$AE)),"")</f>
        <v/>
      </c>
      <c r="T185" s="146" t="str">
        <f>IFERROR(1-SUMIF(Tracker_BD!$H:$H,$A185,Tracker_BD!AI:AI)/$F185,"")</f>
        <v/>
      </c>
      <c r="U185" s="147" t="str">
        <f t="shared" si="9"/>
        <v/>
      </c>
      <c r="V185" s="147"/>
      <c r="W185" s="148" t="str">
        <f t="shared" si="10"/>
        <v/>
      </c>
      <c r="X185" s="143" t="str">
        <f>IFERROR(_xlfn.XLOOKUP($A185,'Raw Data'!$G:$G,'Raw Data'!$AB:$AB),"")</f>
        <v/>
      </c>
      <c r="Y185" s="143" t="str">
        <f>IFERROR(_xlfn.XLOOKUP($A185,'Raw Data'!$G:$G,'Raw Data'!AC:AC),"")</f>
        <v/>
      </c>
      <c r="Z185" s="143" t="str">
        <f>IFERROR(_xlfn.XLOOKUP($A185,'Raw Data'!$G:$G,'Raw Data'!AD:AD),"")</f>
        <v/>
      </c>
      <c r="AA185" s="143" t="str">
        <f>IFERROR(_xlfn.XLOOKUP($A185,'Raw Data'!$G:$G,'Raw Data'!AE:AE)*(1+(_xlfn.XLOOKUP(Table13[[#This Row],[Month Year]],JMR!$A:$A,JMR!$J:$J))),"")</f>
        <v/>
      </c>
      <c r="AB185" s="143" t="str">
        <f>IFERROR(_xlfn.XLOOKUP($A185,'Raw Data'!$G:$G,'Raw Data'!$H:$H),"")</f>
        <v/>
      </c>
      <c r="AC185" s="149">
        <f>IFERROR(_xlfn.XLOOKUP($D185,'Modelling New'!$D:$D,'Modelling New'!$P:$P),"")</f>
        <v>5.5049609600000018</v>
      </c>
      <c r="AD185" s="143">
        <f>IFERROR(_xlfn.XLOOKUP($D185,'Modelling New'!$D:$D,'Modelling New'!$T:$T)*1000,"")</f>
        <v>47057.046080205721</v>
      </c>
      <c r="AE185" s="148">
        <f>IFERROR(_xlfn.XLOOKUP($D185,'Modelling New'!$D:$D,'Modelling New'!$O:$O),"")</f>
        <v>0.72936145233565186</v>
      </c>
      <c r="AF185" s="148">
        <f>IFERROR(_xlfn.XLOOKUP($D185,'Modelling New'!$D:$D,'Modelling New'!$W:$W),"")</f>
        <v>0.16729609670152773</v>
      </c>
      <c r="AG185" s="148">
        <f>IFERROR(_xlfn.XLOOKUP($D185,'Modelling New'!$D:$D,'Modelling New'!AE:AE),"")</f>
        <v>0.995</v>
      </c>
      <c r="AH185" s="148">
        <f>IFERROR(_xlfn.XLOOKUP($D185,'Modelling New'!$D:$D,'Modelling New'!AF:AF),"")</f>
        <v>0.98550000000000004</v>
      </c>
      <c r="AN185" s="145"/>
      <c r="AO185" s="148"/>
      <c r="AP185" s="148"/>
      <c r="AQ185" s="148"/>
      <c r="AR185" s="143">
        <f>IFERROR(_xlfn.XLOOKUP($D185,'Modelling New'!$D:$D,'Modelling New'!$N:$N),"")</f>
        <v>11.72</v>
      </c>
      <c r="AT185" s="143" t="str">
        <f>IFERROR(_xlfn.XLOOKUP(Table13[[#This Row],[Date]],'Raw Data'!$G:$G,'Raw Data'!$AJ:$AJ),"")</f>
        <v/>
      </c>
      <c r="AU185" s="143">
        <f>IFERROR(_xlfn.XLOOKUP(Table13[[#This Row],[Month Year]],'Modelling New'!$D:$D,'Modelling New'!$AO:$AO),"")</f>
        <v>10</v>
      </c>
      <c r="AV185" s="143"/>
    </row>
    <row r="186" spans="1:48">
      <c r="A186" s="142">
        <f t="shared" si="11"/>
        <v>45929</v>
      </c>
      <c r="B186" s="143">
        <f>YEAR(Table13[[#This Row],[Date]])+IF(MONTH(Table13[[#This Row],[Date]])&gt;=4,1,0)</f>
        <v>2026</v>
      </c>
      <c r="C186" s="116">
        <f>YEAR(Table13[[#This Row],[Date]])</f>
        <v>2025</v>
      </c>
      <c r="D186" s="144">
        <f>Table13[[#This Row],[Date]]-DAY(Table13[[#This Row],[Date]])+1</f>
        <v>45901</v>
      </c>
      <c r="E186" s="116">
        <f t="shared" si="12"/>
        <v>30</v>
      </c>
      <c r="F186" s="117" t="str">
        <f>IFERROR(_xlfn.XLOOKUP($A186,'Raw Data'!$G:$G,'Raw Data'!$AH:$AH),"")</f>
        <v/>
      </c>
      <c r="G186" s="118" t="str">
        <f>IFERROR(_xlfn.XLOOKUP($A186,'Raw Data'!$G:$G,'Raw Data'!$S:$S)/1000,"")</f>
        <v/>
      </c>
      <c r="H186" s="118"/>
      <c r="I186" s="118" t="str">
        <f>IFERROR(_xlfn.XLOOKUP($A186,'Raw Data'!$G:$G,'Raw Data'!$AF:$AF)/1000,"")</f>
        <v/>
      </c>
      <c r="J186" s="118"/>
      <c r="K186" s="118" t="str">
        <f>IFERROR(_xlfn.XLOOKUP($A186,'Raw Data'!$G:$G,'Raw Data'!W:W),"")</f>
        <v/>
      </c>
      <c r="L186" s="118" t="str">
        <f>IFERROR(_xlfn.XLOOKUP($A186,'Raw Data'!$G:$G,'Raw Data'!X:X),"")</f>
        <v/>
      </c>
      <c r="M186" s="118" t="str">
        <f>IFERROR(_xlfn.XLOOKUP($A186,'Raw Data'!$G:$G,'Raw Data'!Y:Y),"")</f>
        <v/>
      </c>
      <c r="N186" s="118" t="str">
        <f>IFERROR(_xlfn.XLOOKUP($A186,'Raw Data'!$G:$G,'Raw Data'!Z:Z),"")</f>
        <v/>
      </c>
      <c r="O186" s="145" t="str">
        <f>IFERROR(1-SUMIF('Plant BD'!$B:$B,$A186,'Plant BD'!$AM:$AM)/($AA186+SUMIF('Plant BD'!$B:$B,$A186,'Plant BD'!$AM:$AM)),"")</f>
        <v/>
      </c>
      <c r="P186" s="145"/>
      <c r="Q186" s="146"/>
      <c r="R186" s="145" t="str">
        <f>IFERROR(1-SUMIF('Grid BD'!$B:$B,$A186,'Grid BD'!$AE:$AE)/($AA186+SUMIF('Grid BD'!$B:$B,$A186,'Grid BD'!$AE:$AE)),"")</f>
        <v/>
      </c>
      <c r="T186" s="146" t="str">
        <f>IFERROR(1-SUMIF(Tracker_BD!$H:$H,$A186,Tracker_BD!AI:AI)/$F186,"")</f>
        <v/>
      </c>
      <c r="U186" s="147" t="str">
        <f t="shared" si="9"/>
        <v/>
      </c>
      <c r="V186" s="147"/>
      <c r="W186" s="148" t="str">
        <f t="shared" si="10"/>
        <v/>
      </c>
      <c r="X186" s="143" t="str">
        <f>IFERROR(_xlfn.XLOOKUP($A186,'Raw Data'!$G:$G,'Raw Data'!$AB:$AB),"")</f>
        <v/>
      </c>
      <c r="Y186" s="143" t="str">
        <f>IFERROR(_xlfn.XLOOKUP($A186,'Raw Data'!$G:$G,'Raw Data'!AC:AC),"")</f>
        <v/>
      </c>
      <c r="Z186" s="143" t="str">
        <f>IFERROR(_xlfn.XLOOKUP($A186,'Raw Data'!$G:$G,'Raw Data'!AD:AD),"")</f>
        <v/>
      </c>
      <c r="AA186" s="143" t="str">
        <f>IFERROR(_xlfn.XLOOKUP($A186,'Raw Data'!$G:$G,'Raw Data'!AE:AE)*(1+(_xlfn.XLOOKUP(Table13[[#This Row],[Month Year]],JMR!$A:$A,JMR!$J:$J))),"")</f>
        <v/>
      </c>
      <c r="AB186" s="143" t="str">
        <f>IFERROR(_xlfn.XLOOKUP($A186,'Raw Data'!$G:$G,'Raw Data'!$H:$H),"")</f>
        <v/>
      </c>
      <c r="AC186" s="149">
        <f>IFERROR(_xlfn.XLOOKUP($D186,'Modelling New'!$D:$D,'Modelling New'!$P:$P),"")</f>
        <v>5.5049609600000018</v>
      </c>
      <c r="AD186" s="143">
        <f>IFERROR(_xlfn.XLOOKUP($D186,'Modelling New'!$D:$D,'Modelling New'!$T:$T)*1000,"")</f>
        <v>47057.046080205721</v>
      </c>
      <c r="AE186" s="148">
        <f>IFERROR(_xlfn.XLOOKUP($D186,'Modelling New'!$D:$D,'Modelling New'!$O:$O),"")</f>
        <v>0.72936145233565186</v>
      </c>
      <c r="AF186" s="148">
        <f>IFERROR(_xlfn.XLOOKUP($D186,'Modelling New'!$D:$D,'Modelling New'!$W:$W),"")</f>
        <v>0.16729609670152773</v>
      </c>
      <c r="AG186" s="148">
        <f>IFERROR(_xlfn.XLOOKUP($D186,'Modelling New'!$D:$D,'Modelling New'!AE:AE),"")</f>
        <v>0.995</v>
      </c>
      <c r="AH186" s="148">
        <f>IFERROR(_xlfn.XLOOKUP($D186,'Modelling New'!$D:$D,'Modelling New'!AF:AF),"")</f>
        <v>0.98550000000000004</v>
      </c>
      <c r="AN186" s="145"/>
      <c r="AO186" s="148"/>
      <c r="AP186" s="148"/>
      <c r="AQ186" s="148"/>
      <c r="AR186" s="143">
        <f>IFERROR(_xlfn.XLOOKUP($D186,'Modelling New'!$D:$D,'Modelling New'!$N:$N),"")</f>
        <v>11.72</v>
      </c>
      <c r="AT186" s="143" t="str">
        <f>IFERROR(_xlfn.XLOOKUP(Table13[[#This Row],[Date]],'Raw Data'!$G:$G,'Raw Data'!$AJ:$AJ),"")</f>
        <v/>
      </c>
      <c r="AU186" s="143">
        <f>IFERROR(_xlfn.XLOOKUP(Table13[[#This Row],[Month Year]],'Modelling New'!$D:$D,'Modelling New'!$AO:$AO),"")</f>
        <v>10</v>
      </c>
      <c r="AV186" s="143"/>
    </row>
    <row r="187" spans="1:48">
      <c r="A187" s="142">
        <f t="shared" si="11"/>
        <v>45930</v>
      </c>
      <c r="B187" s="143">
        <f>YEAR(Table13[[#This Row],[Date]])+IF(MONTH(Table13[[#This Row],[Date]])&gt;=4,1,0)</f>
        <v>2026</v>
      </c>
      <c r="C187" s="116">
        <f>YEAR(Table13[[#This Row],[Date]])</f>
        <v>2025</v>
      </c>
      <c r="D187" s="144">
        <f>Table13[[#This Row],[Date]]-DAY(Table13[[#This Row],[Date]])+1</f>
        <v>45901</v>
      </c>
      <c r="E187" s="116">
        <f t="shared" si="12"/>
        <v>30</v>
      </c>
      <c r="F187" s="117" t="str">
        <f>IFERROR(_xlfn.XLOOKUP($A187,'Raw Data'!$G:$G,'Raw Data'!$AH:$AH),"")</f>
        <v/>
      </c>
      <c r="G187" s="118" t="str">
        <f>IFERROR(_xlfn.XLOOKUP($A187,'Raw Data'!$G:$G,'Raw Data'!$S:$S)/1000,"")</f>
        <v/>
      </c>
      <c r="H187" s="118"/>
      <c r="I187" s="118" t="str">
        <f>IFERROR(_xlfn.XLOOKUP($A187,'Raw Data'!$G:$G,'Raw Data'!$AF:$AF)/1000,"")</f>
        <v/>
      </c>
      <c r="J187" s="118"/>
      <c r="K187" s="118" t="str">
        <f>IFERROR(_xlfn.XLOOKUP($A187,'Raw Data'!$G:$G,'Raw Data'!W:W),"")</f>
        <v/>
      </c>
      <c r="L187" s="118" t="str">
        <f>IFERROR(_xlfn.XLOOKUP($A187,'Raw Data'!$G:$G,'Raw Data'!X:X),"")</f>
        <v/>
      </c>
      <c r="M187" s="118" t="str">
        <f>IFERROR(_xlfn.XLOOKUP($A187,'Raw Data'!$G:$G,'Raw Data'!Y:Y),"")</f>
        <v/>
      </c>
      <c r="N187" s="118" t="str">
        <f>IFERROR(_xlfn.XLOOKUP($A187,'Raw Data'!$G:$G,'Raw Data'!Z:Z),"")</f>
        <v/>
      </c>
      <c r="O187" s="145" t="str">
        <f>IFERROR(1-SUMIF('Plant BD'!$B:$B,$A187,'Plant BD'!$AM:$AM)/($AA187+SUMIF('Plant BD'!$B:$B,$A187,'Plant BD'!$AM:$AM)),"")</f>
        <v/>
      </c>
      <c r="P187" s="145"/>
      <c r="Q187" s="146"/>
      <c r="R187" s="145" t="str">
        <f>IFERROR(1-SUMIF('Grid BD'!$B:$B,$A187,'Grid BD'!$AE:$AE)/($AA187+SUMIF('Grid BD'!$B:$B,$A187,'Grid BD'!$AE:$AE)),"")</f>
        <v/>
      </c>
      <c r="T187" s="146" t="str">
        <f>IFERROR(1-SUMIF(Tracker_BD!$H:$H,$A187,Tracker_BD!AI:AI)/$F187,"")</f>
        <v/>
      </c>
      <c r="U187" s="147" t="str">
        <f t="shared" si="9"/>
        <v/>
      </c>
      <c r="V187" s="147"/>
      <c r="W187" s="148" t="str">
        <f t="shared" si="10"/>
        <v/>
      </c>
      <c r="X187" s="143" t="str">
        <f>IFERROR(_xlfn.XLOOKUP($A187,'Raw Data'!$G:$G,'Raw Data'!$AB:$AB),"")</f>
        <v/>
      </c>
      <c r="Y187" s="143" t="str">
        <f>IFERROR(_xlfn.XLOOKUP($A187,'Raw Data'!$G:$G,'Raw Data'!AC:AC),"")</f>
        <v/>
      </c>
      <c r="Z187" s="143" t="str">
        <f>IFERROR(_xlfn.XLOOKUP($A187,'Raw Data'!$G:$G,'Raw Data'!AD:AD),"")</f>
        <v/>
      </c>
      <c r="AA187" s="143" t="str">
        <f>IFERROR(_xlfn.XLOOKUP($A187,'Raw Data'!$G:$G,'Raw Data'!AE:AE)*(1+(_xlfn.XLOOKUP(Table13[[#This Row],[Month Year]],JMR!$A:$A,JMR!$J:$J))),"")</f>
        <v/>
      </c>
      <c r="AB187" s="143" t="str">
        <f>IFERROR(_xlfn.XLOOKUP($A187,'Raw Data'!$G:$G,'Raw Data'!$H:$H),"")</f>
        <v/>
      </c>
      <c r="AC187" s="149">
        <f>IFERROR(_xlfn.XLOOKUP($D187,'Modelling New'!$D:$D,'Modelling New'!$P:$P),"")</f>
        <v>5.5049609600000018</v>
      </c>
      <c r="AD187" s="143">
        <f>IFERROR(_xlfn.XLOOKUP($D187,'Modelling New'!$D:$D,'Modelling New'!$T:$T)*1000,"")</f>
        <v>47057.046080205721</v>
      </c>
      <c r="AE187" s="148">
        <f>IFERROR(_xlfn.XLOOKUP($D187,'Modelling New'!$D:$D,'Modelling New'!$O:$O),"")</f>
        <v>0.72936145233565186</v>
      </c>
      <c r="AF187" s="148">
        <f>IFERROR(_xlfn.XLOOKUP($D187,'Modelling New'!$D:$D,'Modelling New'!$W:$W),"")</f>
        <v>0.16729609670152773</v>
      </c>
      <c r="AG187" s="148">
        <f>IFERROR(_xlfn.XLOOKUP($D187,'Modelling New'!$D:$D,'Modelling New'!AE:AE),"")</f>
        <v>0.995</v>
      </c>
      <c r="AH187" s="148">
        <f>IFERROR(_xlfn.XLOOKUP($D187,'Modelling New'!$D:$D,'Modelling New'!AF:AF),"")</f>
        <v>0.98550000000000004</v>
      </c>
      <c r="AN187" s="145"/>
      <c r="AO187" s="148"/>
      <c r="AP187" s="148"/>
      <c r="AQ187" s="148"/>
      <c r="AR187" s="143">
        <f>IFERROR(_xlfn.XLOOKUP($D187,'Modelling New'!$D:$D,'Modelling New'!$N:$N),"")</f>
        <v>11.72</v>
      </c>
      <c r="AT187" s="143" t="str">
        <f>IFERROR(_xlfn.XLOOKUP(Table13[[#This Row],[Date]],'Raw Data'!$G:$G,'Raw Data'!$AJ:$AJ),"")</f>
        <v/>
      </c>
      <c r="AU187" s="143">
        <f>IFERROR(_xlfn.XLOOKUP(Table13[[#This Row],[Month Year]],'Modelling New'!$D:$D,'Modelling New'!$AO:$AO),"")</f>
        <v>10</v>
      </c>
      <c r="AV187" s="143"/>
    </row>
    <row r="188" spans="1:48">
      <c r="A188" s="142">
        <f t="shared" si="11"/>
        <v>45931</v>
      </c>
      <c r="B188" s="143">
        <f>YEAR(Table13[[#This Row],[Date]])+IF(MONTH(Table13[[#This Row],[Date]])&gt;=4,1,0)</f>
        <v>2026</v>
      </c>
      <c r="C188" s="116">
        <f>YEAR(Table13[[#This Row],[Date]])</f>
        <v>2025</v>
      </c>
      <c r="D188" s="144">
        <f>Table13[[#This Row],[Date]]-DAY(Table13[[#This Row],[Date]])+1</f>
        <v>45931</v>
      </c>
      <c r="E188" s="116">
        <f t="shared" si="12"/>
        <v>31</v>
      </c>
      <c r="F188" s="117" t="str">
        <f>IFERROR(_xlfn.XLOOKUP($A188,'Raw Data'!$G:$G,'Raw Data'!$AH:$AH),"")</f>
        <v/>
      </c>
      <c r="G188" s="118" t="str">
        <f>IFERROR(_xlfn.XLOOKUP($A188,'Raw Data'!$G:$G,'Raw Data'!$S:$S)/1000,"")</f>
        <v/>
      </c>
      <c r="H188" s="118"/>
      <c r="I188" s="118" t="str">
        <f>IFERROR(_xlfn.XLOOKUP($A188,'Raw Data'!$G:$G,'Raw Data'!$AF:$AF)/1000,"")</f>
        <v/>
      </c>
      <c r="J188" s="118"/>
      <c r="K188" s="118" t="str">
        <f>IFERROR(_xlfn.XLOOKUP($A188,'Raw Data'!$G:$G,'Raw Data'!W:W),"")</f>
        <v/>
      </c>
      <c r="L188" s="118" t="str">
        <f>IFERROR(_xlfn.XLOOKUP($A188,'Raw Data'!$G:$G,'Raw Data'!X:X),"")</f>
        <v/>
      </c>
      <c r="M188" s="118" t="str">
        <f>IFERROR(_xlfn.XLOOKUP($A188,'Raw Data'!$G:$G,'Raw Data'!Y:Y),"")</f>
        <v/>
      </c>
      <c r="N188" s="118" t="str">
        <f>IFERROR(_xlfn.XLOOKUP($A188,'Raw Data'!$G:$G,'Raw Data'!Z:Z),"")</f>
        <v/>
      </c>
      <c r="O188" s="145" t="str">
        <f>IFERROR(1-SUMIF('Plant BD'!$B:$B,$A188,'Plant BD'!$AM:$AM)/($AA188+SUMIF('Plant BD'!$B:$B,$A188,'Plant BD'!$AM:$AM)),"")</f>
        <v/>
      </c>
      <c r="P188" s="145"/>
      <c r="Q188" s="146"/>
      <c r="R188" s="145" t="str">
        <f>IFERROR(1-SUMIF('Grid BD'!$B:$B,$A188,'Grid BD'!$AE:$AE)/($AA188+SUMIF('Grid BD'!$B:$B,$A188,'Grid BD'!$AE:$AE)),"")</f>
        <v/>
      </c>
      <c r="T188" s="146" t="str">
        <f>IFERROR(1-SUMIF(Tracker_BD!$H:$H,$A188,Tracker_BD!AI:AI)/$F188,"")</f>
        <v/>
      </c>
      <c r="U188" s="147" t="str">
        <f t="shared" si="9"/>
        <v/>
      </c>
      <c r="V188" s="147"/>
      <c r="W188" s="148" t="str">
        <f t="shared" si="10"/>
        <v/>
      </c>
      <c r="X188" s="143" t="str">
        <f>IFERROR(_xlfn.XLOOKUP($A188,'Raw Data'!$G:$G,'Raw Data'!$AB:$AB),"")</f>
        <v/>
      </c>
      <c r="Y188" s="143" t="str">
        <f>IFERROR(_xlfn.XLOOKUP($A188,'Raw Data'!$G:$G,'Raw Data'!AC:AC),"")</f>
        <v/>
      </c>
      <c r="Z188" s="143" t="str">
        <f>IFERROR(_xlfn.XLOOKUP($A188,'Raw Data'!$G:$G,'Raw Data'!AD:AD),"")</f>
        <v/>
      </c>
      <c r="AA188" s="143" t="str">
        <f>IFERROR(_xlfn.XLOOKUP($A188,'Raw Data'!$G:$G,'Raw Data'!AE:AE)*(1+(_xlfn.XLOOKUP(Table13[[#This Row],[Month Year]],JMR!$A:$A,JMR!$J:$J))),"")</f>
        <v/>
      </c>
      <c r="AB188" s="143" t="str">
        <f>IFERROR(_xlfn.XLOOKUP($A188,'Raw Data'!$G:$G,'Raw Data'!$H:$H),"")</f>
        <v/>
      </c>
      <c r="AC188" s="149">
        <f>IFERROR(_xlfn.XLOOKUP($D188,'Modelling New'!$D:$D,'Modelling New'!$P:$P),"")</f>
        <v>5.6456101129032259</v>
      </c>
      <c r="AD188" s="143">
        <f>IFERROR(_xlfn.XLOOKUP($D188,'Modelling New'!$D:$D,'Modelling New'!$T:$T)*1000,"")</f>
        <v>50360.911058047554</v>
      </c>
      <c r="AE188" s="148">
        <f>IFERROR(_xlfn.XLOOKUP($D188,'Modelling New'!$D:$D,'Modelling New'!$O:$O),"")</f>
        <v>0.76112341749431001</v>
      </c>
      <c r="AF188" s="148">
        <f>IFERROR(_xlfn.XLOOKUP($D188,'Modelling New'!$D:$D,'Modelling New'!$W:$W),"")</f>
        <v>0.17904191929055585</v>
      </c>
      <c r="AG188" s="148">
        <f>IFERROR(_xlfn.XLOOKUP($D188,'Modelling New'!$D:$D,'Modelling New'!AE:AE),"")</f>
        <v>0.995</v>
      </c>
      <c r="AH188" s="148">
        <f>IFERROR(_xlfn.XLOOKUP($D188,'Modelling New'!$D:$D,'Modelling New'!AF:AF),"")</f>
        <v>0.98550000000000004</v>
      </c>
      <c r="AN188" s="145"/>
      <c r="AO188" s="148"/>
      <c r="AP188" s="148"/>
      <c r="AQ188" s="148"/>
      <c r="AR188" s="143">
        <f>IFERROR(_xlfn.XLOOKUP($D188,'Modelling New'!$D:$D,'Modelling New'!$N:$N),"")</f>
        <v>11.72</v>
      </c>
      <c r="AT188" s="143" t="str">
        <f>IFERROR(_xlfn.XLOOKUP(Table13[[#This Row],[Date]],'Raw Data'!$G:$G,'Raw Data'!$AJ:$AJ),"")</f>
        <v/>
      </c>
      <c r="AU188" s="143">
        <f>IFERROR(_xlfn.XLOOKUP(Table13[[#This Row],[Month Year]],'Modelling New'!$D:$D,'Modelling New'!$AO:$AO),"")</f>
        <v>10</v>
      </c>
      <c r="AV188" s="143"/>
    </row>
    <row r="189" spans="1:48">
      <c r="A189" s="142">
        <f t="shared" si="11"/>
        <v>45932</v>
      </c>
      <c r="B189" s="143">
        <f>YEAR(Table13[[#This Row],[Date]])+IF(MONTH(Table13[[#This Row],[Date]])&gt;=4,1,0)</f>
        <v>2026</v>
      </c>
      <c r="C189" s="116">
        <f>YEAR(Table13[[#This Row],[Date]])</f>
        <v>2025</v>
      </c>
      <c r="D189" s="144">
        <f>Table13[[#This Row],[Date]]-DAY(Table13[[#This Row],[Date]])+1</f>
        <v>45931</v>
      </c>
      <c r="E189" s="116">
        <f t="shared" si="12"/>
        <v>31</v>
      </c>
      <c r="F189" s="117" t="str">
        <f>IFERROR(_xlfn.XLOOKUP($A189,'Raw Data'!$G:$G,'Raw Data'!$AH:$AH),"")</f>
        <v/>
      </c>
      <c r="G189" s="118" t="str">
        <f>IFERROR(_xlfn.XLOOKUP($A189,'Raw Data'!$G:$G,'Raw Data'!$S:$S)/1000,"")</f>
        <v/>
      </c>
      <c r="H189" s="118"/>
      <c r="I189" s="118" t="str">
        <f>IFERROR(_xlfn.XLOOKUP($A189,'Raw Data'!$G:$G,'Raw Data'!$AF:$AF)/1000,"")</f>
        <v/>
      </c>
      <c r="J189" s="118"/>
      <c r="K189" s="118" t="str">
        <f>IFERROR(_xlfn.XLOOKUP($A189,'Raw Data'!$G:$G,'Raw Data'!W:W),"")</f>
        <v/>
      </c>
      <c r="L189" s="118" t="str">
        <f>IFERROR(_xlfn.XLOOKUP($A189,'Raw Data'!$G:$G,'Raw Data'!X:X),"")</f>
        <v/>
      </c>
      <c r="M189" s="118" t="str">
        <f>IFERROR(_xlfn.XLOOKUP($A189,'Raw Data'!$G:$G,'Raw Data'!Y:Y),"")</f>
        <v/>
      </c>
      <c r="N189" s="118" t="str">
        <f>IFERROR(_xlfn.XLOOKUP($A189,'Raw Data'!$G:$G,'Raw Data'!Z:Z),"")</f>
        <v/>
      </c>
      <c r="O189" s="145" t="str">
        <f>IFERROR(1-SUMIF('Plant BD'!$B:$B,$A189,'Plant BD'!$AM:$AM)/($AA189+SUMIF('Plant BD'!$B:$B,$A189,'Plant BD'!$AM:$AM)),"")</f>
        <v/>
      </c>
      <c r="P189" s="145"/>
      <c r="Q189" s="146"/>
      <c r="R189" s="145" t="str">
        <f>IFERROR(1-SUMIF('Grid BD'!$B:$B,$A189,'Grid BD'!$AE:$AE)/($AA189+SUMIF('Grid BD'!$B:$B,$A189,'Grid BD'!$AE:$AE)),"")</f>
        <v/>
      </c>
      <c r="T189" s="146" t="str">
        <f>IFERROR(1-SUMIF(Tracker_BD!$H:$H,$A189,Tracker_BD!AI:AI)/$F189,"")</f>
        <v/>
      </c>
      <c r="U189" s="147" t="str">
        <f t="shared" ref="U189:U252" si="13">IFERROR(AA189/I189/AB189/1000,"")</f>
        <v/>
      </c>
      <c r="V189" s="147"/>
      <c r="W189" s="148" t="str">
        <f t="shared" ref="W189:W252" si="14">IFERROR(AA189/(24*AR189*1000),"")</f>
        <v/>
      </c>
      <c r="X189" s="143" t="str">
        <f>IFERROR(_xlfn.XLOOKUP($A189,'Raw Data'!$G:$G,'Raw Data'!$AB:$AB),"")</f>
        <v/>
      </c>
      <c r="Y189" s="143" t="str">
        <f>IFERROR(_xlfn.XLOOKUP($A189,'Raw Data'!$G:$G,'Raw Data'!AC:AC),"")</f>
        <v/>
      </c>
      <c r="Z189" s="143" t="str">
        <f>IFERROR(_xlfn.XLOOKUP($A189,'Raw Data'!$G:$G,'Raw Data'!AD:AD),"")</f>
        <v/>
      </c>
      <c r="AA189" s="143" t="str">
        <f>IFERROR(_xlfn.XLOOKUP($A189,'Raw Data'!$G:$G,'Raw Data'!AE:AE)*(1+(_xlfn.XLOOKUP(Table13[[#This Row],[Month Year]],JMR!$A:$A,JMR!$J:$J))),"")</f>
        <v/>
      </c>
      <c r="AB189" s="143" t="str">
        <f>IFERROR(_xlfn.XLOOKUP($A189,'Raw Data'!$G:$G,'Raw Data'!$H:$H),"")</f>
        <v/>
      </c>
      <c r="AC189" s="149">
        <f>IFERROR(_xlfn.XLOOKUP($D189,'Modelling New'!$D:$D,'Modelling New'!$P:$P),"")</f>
        <v>5.6456101129032259</v>
      </c>
      <c r="AD189" s="143">
        <f>IFERROR(_xlfn.XLOOKUP($D189,'Modelling New'!$D:$D,'Modelling New'!$T:$T)*1000,"")</f>
        <v>50360.911058047554</v>
      </c>
      <c r="AE189" s="148">
        <f>IFERROR(_xlfn.XLOOKUP($D189,'Modelling New'!$D:$D,'Modelling New'!$O:$O),"")</f>
        <v>0.76112341749431001</v>
      </c>
      <c r="AF189" s="148">
        <f>IFERROR(_xlfn.XLOOKUP($D189,'Modelling New'!$D:$D,'Modelling New'!$W:$W),"")</f>
        <v>0.17904191929055585</v>
      </c>
      <c r="AG189" s="148">
        <f>IFERROR(_xlfn.XLOOKUP($D189,'Modelling New'!$D:$D,'Modelling New'!AE:AE),"")</f>
        <v>0.995</v>
      </c>
      <c r="AH189" s="148">
        <f>IFERROR(_xlfn.XLOOKUP($D189,'Modelling New'!$D:$D,'Modelling New'!AF:AF),"")</f>
        <v>0.98550000000000004</v>
      </c>
      <c r="AN189" s="145"/>
      <c r="AO189" s="148"/>
      <c r="AP189" s="148"/>
      <c r="AQ189" s="148"/>
      <c r="AR189" s="143">
        <f>IFERROR(_xlfn.XLOOKUP($D189,'Modelling New'!$D:$D,'Modelling New'!$N:$N),"")</f>
        <v>11.72</v>
      </c>
      <c r="AT189" s="143" t="str">
        <f>IFERROR(_xlfn.XLOOKUP(Table13[[#This Row],[Date]],'Raw Data'!$G:$G,'Raw Data'!$AJ:$AJ),"")</f>
        <v/>
      </c>
      <c r="AU189" s="143">
        <f>IFERROR(_xlfn.XLOOKUP(Table13[[#This Row],[Month Year]],'Modelling New'!$D:$D,'Modelling New'!$AO:$AO),"")</f>
        <v>10</v>
      </c>
      <c r="AV189" s="143"/>
    </row>
    <row r="190" spans="1:48">
      <c r="A190" s="142">
        <f t="shared" si="11"/>
        <v>45933</v>
      </c>
      <c r="B190" s="143">
        <f>YEAR(Table13[[#This Row],[Date]])+IF(MONTH(Table13[[#This Row],[Date]])&gt;=4,1,0)</f>
        <v>2026</v>
      </c>
      <c r="C190" s="116">
        <f>YEAR(Table13[[#This Row],[Date]])</f>
        <v>2025</v>
      </c>
      <c r="D190" s="144">
        <f>Table13[[#This Row],[Date]]-DAY(Table13[[#This Row],[Date]])+1</f>
        <v>45931</v>
      </c>
      <c r="E190" s="116">
        <f t="shared" si="12"/>
        <v>31</v>
      </c>
      <c r="F190" s="117" t="str">
        <f>IFERROR(_xlfn.XLOOKUP($A190,'Raw Data'!$G:$G,'Raw Data'!$AH:$AH),"")</f>
        <v/>
      </c>
      <c r="G190" s="118" t="str">
        <f>IFERROR(_xlfn.XLOOKUP($A190,'Raw Data'!$G:$G,'Raw Data'!$S:$S)/1000,"")</f>
        <v/>
      </c>
      <c r="H190" s="118"/>
      <c r="I190" s="118" t="str">
        <f>IFERROR(_xlfn.XLOOKUP($A190,'Raw Data'!$G:$G,'Raw Data'!$AF:$AF)/1000,"")</f>
        <v/>
      </c>
      <c r="J190" s="118"/>
      <c r="K190" s="118" t="str">
        <f>IFERROR(_xlfn.XLOOKUP($A190,'Raw Data'!$G:$G,'Raw Data'!W:W),"")</f>
        <v/>
      </c>
      <c r="L190" s="118" t="str">
        <f>IFERROR(_xlfn.XLOOKUP($A190,'Raw Data'!$G:$G,'Raw Data'!X:X),"")</f>
        <v/>
      </c>
      <c r="M190" s="118" t="str">
        <f>IFERROR(_xlfn.XLOOKUP($A190,'Raw Data'!$G:$G,'Raw Data'!Y:Y),"")</f>
        <v/>
      </c>
      <c r="N190" s="118" t="str">
        <f>IFERROR(_xlfn.XLOOKUP($A190,'Raw Data'!$G:$G,'Raw Data'!Z:Z),"")</f>
        <v/>
      </c>
      <c r="O190" s="145" t="str">
        <f>IFERROR(1-SUMIF('Plant BD'!$B:$B,$A190,'Plant BD'!$AM:$AM)/($AA190+SUMIF('Plant BD'!$B:$B,$A190,'Plant BD'!$AM:$AM)),"")</f>
        <v/>
      </c>
      <c r="P190" s="145"/>
      <c r="Q190" s="146"/>
      <c r="R190" s="145" t="str">
        <f>IFERROR(1-SUMIF('Grid BD'!$B:$B,$A190,'Grid BD'!$AE:$AE)/($AA190+SUMIF('Grid BD'!$B:$B,$A190,'Grid BD'!$AE:$AE)),"")</f>
        <v/>
      </c>
      <c r="T190" s="146" t="str">
        <f>IFERROR(1-SUMIF(Tracker_BD!$H:$H,$A190,Tracker_BD!AI:AI)/$F190,"")</f>
        <v/>
      </c>
      <c r="U190" s="147" t="str">
        <f t="shared" si="13"/>
        <v/>
      </c>
      <c r="V190" s="147"/>
      <c r="W190" s="148" t="str">
        <f t="shared" si="14"/>
        <v/>
      </c>
      <c r="X190" s="143" t="str">
        <f>IFERROR(_xlfn.XLOOKUP($A190,'Raw Data'!$G:$G,'Raw Data'!$AB:$AB),"")</f>
        <v/>
      </c>
      <c r="Y190" s="143" t="str">
        <f>IFERROR(_xlfn.XLOOKUP($A190,'Raw Data'!$G:$G,'Raw Data'!AC:AC),"")</f>
        <v/>
      </c>
      <c r="Z190" s="143" t="str">
        <f>IFERROR(_xlfn.XLOOKUP($A190,'Raw Data'!$G:$G,'Raw Data'!AD:AD),"")</f>
        <v/>
      </c>
      <c r="AA190" s="143" t="str">
        <f>IFERROR(_xlfn.XLOOKUP($A190,'Raw Data'!$G:$G,'Raw Data'!AE:AE)*(1+(_xlfn.XLOOKUP(Table13[[#This Row],[Month Year]],JMR!$A:$A,JMR!$J:$J))),"")</f>
        <v/>
      </c>
      <c r="AB190" s="143" t="str">
        <f>IFERROR(_xlfn.XLOOKUP($A190,'Raw Data'!$G:$G,'Raw Data'!$H:$H),"")</f>
        <v/>
      </c>
      <c r="AC190" s="149">
        <f>IFERROR(_xlfn.XLOOKUP($D190,'Modelling New'!$D:$D,'Modelling New'!$P:$P),"")</f>
        <v>5.6456101129032259</v>
      </c>
      <c r="AD190" s="143">
        <f>IFERROR(_xlfn.XLOOKUP($D190,'Modelling New'!$D:$D,'Modelling New'!$T:$T)*1000,"")</f>
        <v>50360.911058047554</v>
      </c>
      <c r="AE190" s="148">
        <f>IFERROR(_xlfn.XLOOKUP($D190,'Modelling New'!$D:$D,'Modelling New'!$O:$O),"")</f>
        <v>0.76112341749431001</v>
      </c>
      <c r="AF190" s="148">
        <f>IFERROR(_xlfn.XLOOKUP($D190,'Modelling New'!$D:$D,'Modelling New'!$W:$W),"")</f>
        <v>0.17904191929055585</v>
      </c>
      <c r="AG190" s="148">
        <f>IFERROR(_xlfn.XLOOKUP($D190,'Modelling New'!$D:$D,'Modelling New'!AE:AE),"")</f>
        <v>0.995</v>
      </c>
      <c r="AH190" s="148">
        <f>IFERROR(_xlfn.XLOOKUP($D190,'Modelling New'!$D:$D,'Modelling New'!AF:AF),"")</f>
        <v>0.98550000000000004</v>
      </c>
      <c r="AN190" s="145"/>
      <c r="AO190" s="148"/>
      <c r="AP190" s="148"/>
      <c r="AQ190" s="148"/>
      <c r="AR190" s="143">
        <f>IFERROR(_xlfn.XLOOKUP($D190,'Modelling New'!$D:$D,'Modelling New'!$N:$N),"")</f>
        <v>11.72</v>
      </c>
      <c r="AT190" s="143" t="str">
        <f>IFERROR(_xlfn.XLOOKUP(Table13[[#This Row],[Date]],'Raw Data'!$G:$G,'Raw Data'!$AJ:$AJ),"")</f>
        <v/>
      </c>
      <c r="AU190" s="143">
        <f>IFERROR(_xlfn.XLOOKUP(Table13[[#This Row],[Month Year]],'Modelling New'!$D:$D,'Modelling New'!$AO:$AO),"")</f>
        <v>10</v>
      </c>
      <c r="AV190" s="143"/>
    </row>
    <row r="191" spans="1:48">
      <c r="A191" s="142">
        <f t="shared" ref="A191:A254" si="15">A190+1</f>
        <v>45934</v>
      </c>
      <c r="B191" s="143">
        <f>YEAR(Table13[[#This Row],[Date]])+IF(MONTH(Table13[[#This Row],[Date]])&gt;=4,1,0)</f>
        <v>2026</v>
      </c>
      <c r="C191" s="116">
        <f>YEAR(Table13[[#This Row],[Date]])</f>
        <v>2025</v>
      </c>
      <c r="D191" s="144">
        <f>Table13[[#This Row],[Date]]-DAY(Table13[[#This Row],[Date]])+1</f>
        <v>45931</v>
      </c>
      <c r="E191" s="116">
        <f t="shared" si="12"/>
        <v>31</v>
      </c>
      <c r="F191" s="117" t="str">
        <f>IFERROR(_xlfn.XLOOKUP($A191,'Raw Data'!$G:$G,'Raw Data'!$AH:$AH),"")</f>
        <v/>
      </c>
      <c r="G191" s="118" t="str">
        <f>IFERROR(_xlfn.XLOOKUP($A191,'Raw Data'!$G:$G,'Raw Data'!$S:$S)/1000,"")</f>
        <v/>
      </c>
      <c r="H191" s="118"/>
      <c r="I191" s="118" t="str">
        <f>IFERROR(_xlfn.XLOOKUP($A191,'Raw Data'!$G:$G,'Raw Data'!$AF:$AF)/1000,"")</f>
        <v/>
      </c>
      <c r="J191" s="118"/>
      <c r="K191" s="118" t="str">
        <f>IFERROR(_xlfn.XLOOKUP($A191,'Raw Data'!$G:$G,'Raw Data'!W:W),"")</f>
        <v/>
      </c>
      <c r="L191" s="118" t="str">
        <f>IFERROR(_xlfn.XLOOKUP($A191,'Raw Data'!$G:$G,'Raw Data'!X:X),"")</f>
        <v/>
      </c>
      <c r="M191" s="118" t="str">
        <f>IFERROR(_xlfn.XLOOKUP($A191,'Raw Data'!$G:$G,'Raw Data'!Y:Y),"")</f>
        <v/>
      </c>
      <c r="N191" s="118" t="str">
        <f>IFERROR(_xlfn.XLOOKUP($A191,'Raw Data'!$G:$G,'Raw Data'!Z:Z),"")</f>
        <v/>
      </c>
      <c r="O191" s="145" t="str">
        <f>IFERROR(1-SUMIF('Plant BD'!$B:$B,$A191,'Plant BD'!$AM:$AM)/($AA191+SUMIF('Plant BD'!$B:$B,$A191,'Plant BD'!$AM:$AM)),"")</f>
        <v/>
      </c>
      <c r="P191" s="145"/>
      <c r="Q191" s="146"/>
      <c r="R191" s="145" t="str">
        <f>IFERROR(1-SUMIF('Grid BD'!$B:$B,$A191,'Grid BD'!$AE:$AE)/($AA191+SUMIF('Grid BD'!$B:$B,$A191,'Grid BD'!$AE:$AE)),"")</f>
        <v/>
      </c>
      <c r="T191" s="146" t="str">
        <f>IFERROR(1-SUMIF(Tracker_BD!$H:$H,$A191,Tracker_BD!AI:AI)/$F191,"")</f>
        <v/>
      </c>
      <c r="U191" s="147" t="str">
        <f t="shared" si="13"/>
        <v/>
      </c>
      <c r="V191" s="147"/>
      <c r="W191" s="148" t="str">
        <f t="shared" si="14"/>
        <v/>
      </c>
      <c r="X191" s="143" t="str">
        <f>IFERROR(_xlfn.XLOOKUP($A191,'Raw Data'!$G:$G,'Raw Data'!$AB:$AB),"")</f>
        <v/>
      </c>
      <c r="Y191" s="143" t="str">
        <f>IFERROR(_xlfn.XLOOKUP($A191,'Raw Data'!$G:$G,'Raw Data'!AC:AC),"")</f>
        <v/>
      </c>
      <c r="Z191" s="143" t="str">
        <f>IFERROR(_xlfn.XLOOKUP($A191,'Raw Data'!$G:$G,'Raw Data'!AD:AD),"")</f>
        <v/>
      </c>
      <c r="AA191" s="143" t="str">
        <f>IFERROR(_xlfn.XLOOKUP($A191,'Raw Data'!$G:$G,'Raw Data'!AE:AE)*(1+(_xlfn.XLOOKUP(Table13[[#This Row],[Month Year]],JMR!$A:$A,JMR!$J:$J))),"")</f>
        <v/>
      </c>
      <c r="AB191" s="143" t="str">
        <f>IFERROR(_xlfn.XLOOKUP($A191,'Raw Data'!$G:$G,'Raw Data'!$H:$H),"")</f>
        <v/>
      </c>
      <c r="AC191" s="149">
        <f>IFERROR(_xlfn.XLOOKUP($D191,'Modelling New'!$D:$D,'Modelling New'!$P:$P),"")</f>
        <v>5.6456101129032259</v>
      </c>
      <c r="AD191" s="143">
        <f>IFERROR(_xlfn.XLOOKUP($D191,'Modelling New'!$D:$D,'Modelling New'!$T:$T)*1000,"")</f>
        <v>50360.911058047554</v>
      </c>
      <c r="AE191" s="148">
        <f>IFERROR(_xlfn.XLOOKUP($D191,'Modelling New'!$D:$D,'Modelling New'!$O:$O),"")</f>
        <v>0.76112341749431001</v>
      </c>
      <c r="AF191" s="148">
        <f>IFERROR(_xlfn.XLOOKUP($D191,'Modelling New'!$D:$D,'Modelling New'!$W:$W),"")</f>
        <v>0.17904191929055585</v>
      </c>
      <c r="AG191" s="148">
        <f>IFERROR(_xlfn.XLOOKUP($D191,'Modelling New'!$D:$D,'Modelling New'!AE:AE),"")</f>
        <v>0.995</v>
      </c>
      <c r="AH191" s="148">
        <f>IFERROR(_xlfn.XLOOKUP($D191,'Modelling New'!$D:$D,'Modelling New'!AF:AF),"")</f>
        <v>0.98550000000000004</v>
      </c>
      <c r="AN191" s="145"/>
      <c r="AO191" s="148"/>
      <c r="AP191" s="148"/>
      <c r="AQ191" s="148"/>
      <c r="AR191" s="143">
        <f>IFERROR(_xlfn.XLOOKUP($D191,'Modelling New'!$D:$D,'Modelling New'!$N:$N),"")</f>
        <v>11.72</v>
      </c>
      <c r="AT191" s="143" t="str">
        <f>IFERROR(_xlfn.XLOOKUP(Table13[[#This Row],[Date]],'Raw Data'!$G:$G,'Raw Data'!$AJ:$AJ),"")</f>
        <v/>
      </c>
      <c r="AU191" s="143">
        <f>IFERROR(_xlfn.XLOOKUP(Table13[[#This Row],[Month Year]],'Modelling New'!$D:$D,'Modelling New'!$AO:$AO),"")</f>
        <v>10</v>
      </c>
      <c r="AV191" s="143"/>
    </row>
    <row r="192" spans="1:48">
      <c r="A192" s="142">
        <f t="shared" si="15"/>
        <v>45935</v>
      </c>
      <c r="B192" s="143">
        <f>YEAR(Table13[[#This Row],[Date]])+IF(MONTH(Table13[[#This Row],[Date]])&gt;=4,1,0)</f>
        <v>2026</v>
      </c>
      <c r="C192" s="116">
        <f>YEAR(Table13[[#This Row],[Date]])</f>
        <v>2025</v>
      </c>
      <c r="D192" s="144">
        <f>Table13[[#This Row],[Date]]-DAY(Table13[[#This Row],[Date]])+1</f>
        <v>45931</v>
      </c>
      <c r="E192" s="116">
        <f t="shared" si="12"/>
        <v>31</v>
      </c>
      <c r="F192" s="117" t="str">
        <f>IFERROR(_xlfn.XLOOKUP($A192,'Raw Data'!$G:$G,'Raw Data'!$AH:$AH),"")</f>
        <v/>
      </c>
      <c r="G192" s="118" t="str">
        <f>IFERROR(_xlfn.XLOOKUP($A192,'Raw Data'!$G:$G,'Raw Data'!$S:$S)/1000,"")</f>
        <v/>
      </c>
      <c r="H192" s="118"/>
      <c r="I192" s="118" t="str">
        <f>IFERROR(_xlfn.XLOOKUP($A192,'Raw Data'!$G:$G,'Raw Data'!$AF:$AF)/1000,"")</f>
        <v/>
      </c>
      <c r="J192" s="118"/>
      <c r="K192" s="118" t="str">
        <f>IFERROR(_xlfn.XLOOKUP($A192,'Raw Data'!$G:$G,'Raw Data'!W:W),"")</f>
        <v/>
      </c>
      <c r="L192" s="118" t="str">
        <f>IFERROR(_xlfn.XLOOKUP($A192,'Raw Data'!$G:$G,'Raw Data'!X:X),"")</f>
        <v/>
      </c>
      <c r="M192" s="118" t="str">
        <f>IFERROR(_xlfn.XLOOKUP($A192,'Raw Data'!$G:$G,'Raw Data'!Y:Y),"")</f>
        <v/>
      </c>
      <c r="N192" s="118" t="str">
        <f>IFERROR(_xlfn.XLOOKUP($A192,'Raw Data'!$G:$G,'Raw Data'!Z:Z),"")</f>
        <v/>
      </c>
      <c r="O192" s="145" t="str">
        <f>IFERROR(1-SUMIF('Plant BD'!$B:$B,$A192,'Plant BD'!$AM:$AM)/($AA192+SUMIF('Plant BD'!$B:$B,$A192,'Plant BD'!$AM:$AM)),"")</f>
        <v/>
      </c>
      <c r="P192" s="145"/>
      <c r="Q192" s="146"/>
      <c r="R192" s="145" t="str">
        <f>IFERROR(1-SUMIF('Grid BD'!$B:$B,$A192,'Grid BD'!$AE:$AE)/($AA192+SUMIF('Grid BD'!$B:$B,$A192,'Grid BD'!$AE:$AE)),"")</f>
        <v/>
      </c>
      <c r="T192" s="146" t="str">
        <f>IFERROR(1-SUMIF(Tracker_BD!$H:$H,$A192,Tracker_BD!AI:AI)/$F192,"")</f>
        <v/>
      </c>
      <c r="U192" s="147" t="str">
        <f t="shared" si="13"/>
        <v/>
      </c>
      <c r="V192" s="147"/>
      <c r="W192" s="148" t="str">
        <f t="shared" si="14"/>
        <v/>
      </c>
      <c r="X192" s="143" t="str">
        <f>IFERROR(_xlfn.XLOOKUP($A192,'Raw Data'!$G:$G,'Raw Data'!$AB:$AB),"")</f>
        <v/>
      </c>
      <c r="Y192" s="143" t="str">
        <f>IFERROR(_xlfn.XLOOKUP($A192,'Raw Data'!$G:$G,'Raw Data'!AC:AC),"")</f>
        <v/>
      </c>
      <c r="Z192" s="143" t="str">
        <f>IFERROR(_xlfn.XLOOKUP($A192,'Raw Data'!$G:$G,'Raw Data'!AD:AD),"")</f>
        <v/>
      </c>
      <c r="AA192" s="143" t="str">
        <f>IFERROR(_xlfn.XLOOKUP($A192,'Raw Data'!$G:$G,'Raw Data'!AE:AE)*(1+(_xlfn.XLOOKUP(Table13[[#This Row],[Month Year]],JMR!$A:$A,JMR!$J:$J))),"")</f>
        <v/>
      </c>
      <c r="AB192" s="143" t="str">
        <f>IFERROR(_xlfn.XLOOKUP($A192,'Raw Data'!$G:$G,'Raw Data'!$H:$H),"")</f>
        <v/>
      </c>
      <c r="AC192" s="149">
        <f>IFERROR(_xlfn.XLOOKUP($D192,'Modelling New'!$D:$D,'Modelling New'!$P:$P),"")</f>
        <v>5.6456101129032259</v>
      </c>
      <c r="AD192" s="143">
        <f>IFERROR(_xlfn.XLOOKUP($D192,'Modelling New'!$D:$D,'Modelling New'!$T:$T)*1000,"")</f>
        <v>50360.911058047554</v>
      </c>
      <c r="AE192" s="148">
        <f>IFERROR(_xlfn.XLOOKUP($D192,'Modelling New'!$D:$D,'Modelling New'!$O:$O),"")</f>
        <v>0.76112341749431001</v>
      </c>
      <c r="AF192" s="148">
        <f>IFERROR(_xlfn.XLOOKUP($D192,'Modelling New'!$D:$D,'Modelling New'!$W:$W),"")</f>
        <v>0.17904191929055585</v>
      </c>
      <c r="AG192" s="148">
        <f>IFERROR(_xlfn.XLOOKUP($D192,'Modelling New'!$D:$D,'Modelling New'!AE:AE),"")</f>
        <v>0.995</v>
      </c>
      <c r="AH192" s="148">
        <f>IFERROR(_xlfn.XLOOKUP($D192,'Modelling New'!$D:$D,'Modelling New'!AF:AF),"")</f>
        <v>0.98550000000000004</v>
      </c>
      <c r="AN192" s="145"/>
      <c r="AO192" s="148"/>
      <c r="AP192" s="148"/>
      <c r="AQ192" s="148"/>
      <c r="AR192" s="143">
        <f>IFERROR(_xlfn.XLOOKUP($D192,'Modelling New'!$D:$D,'Modelling New'!$N:$N),"")</f>
        <v>11.72</v>
      </c>
      <c r="AT192" s="143" t="str">
        <f>IFERROR(_xlfn.XLOOKUP(Table13[[#This Row],[Date]],'Raw Data'!$G:$G,'Raw Data'!$AJ:$AJ),"")</f>
        <v/>
      </c>
      <c r="AU192" s="143">
        <f>IFERROR(_xlfn.XLOOKUP(Table13[[#This Row],[Month Year]],'Modelling New'!$D:$D,'Modelling New'!$AO:$AO),"")</f>
        <v>10</v>
      </c>
      <c r="AV192" s="143"/>
    </row>
    <row r="193" spans="1:48">
      <c r="A193" s="142">
        <f t="shared" si="15"/>
        <v>45936</v>
      </c>
      <c r="B193" s="143">
        <f>YEAR(Table13[[#This Row],[Date]])+IF(MONTH(Table13[[#This Row],[Date]])&gt;=4,1,0)</f>
        <v>2026</v>
      </c>
      <c r="C193" s="116">
        <f>YEAR(Table13[[#This Row],[Date]])</f>
        <v>2025</v>
      </c>
      <c r="D193" s="144">
        <f>Table13[[#This Row],[Date]]-DAY(Table13[[#This Row],[Date]])+1</f>
        <v>45931</v>
      </c>
      <c r="E193" s="116">
        <f t="shared" si="12"/>
        <v>31</v>
      </c>
      <c r="F193" s="117" t="str">
        <f>IFERROR(_xlfn.XLOOKUP($A193,'Raw Data'!$G:$G,'Raw Data'!$AH:$AH),"")</f>
        <v/>
      </c>
      <c r="G193" s="118" t="str">
        <f>IFERROR(_xlfn.XLOOKUP($A193,'Raw Data'!$G:$G,'Raw Data'!$S:$S)/1000,"")</f>
        <v/>
      </c>
      <c r="H193" s="118"/>
      <c r="I193" s="118" t="str">
        <f>IFERROR(_xlfn.XLOOKUP($A193,'Raw Data'!$G:$G,'Raw Data'!$AF:$AF)/1000,"")</f>
        <v/>
      </c>
      <c r="J193" s="118"/>
      <c r="K193" s="118" t="str">
        <f>IFERROR(_xlfn.XLOOKUP($A193,'Raw Data'!$G:$G,'Raw Data'!W:W),"")</f>
        <v/>
      </c>
      <c r="L193" s="118" t="str">
        <f>IFERROR(_xlfn.XLOOKUP($A193,'Raw Data'!$G:$G,'Raw Data'!X:X),"")</f>
        <v/>
      </c>
      <c r="M193" s="118" t="str">
        <f>IFERROR(_xlfn.XLOOKUP($A193,'Raw Data'!$G:$G,'Raw Data'!Y:Y),"")</f>
        <v/>
      </c>
      <c r="N193" s="118" t="str">
        <f>IFERROR(_xlfn.XLOOKUP($A193,'Raw Data'!$G:$G,'Raw Data'!Z:Z),"")</f>
        <v/>
      </c>
      <c r="O193" s="145" t="str">
        <f>IFERROR(1-SUMIF('Plant BD'!$B:$B,$A193,'Plant BD'!$AM:$AM)/($AA193+SUMIF('Plant BD'!$B:$B,$A193,'Plant BD'!$AM:$AM)),"")</f>
        <v/>
      </c>
      <c r="P193" s="145"/>
      <c r="Q193" s="146"/>
      <c r="R193" s="145" t="str">
        <f>IFERROR(1-SUMIF('Grid BD'!$B:$B,$A193,'Grid BD'!$AE:$AE)/($AA193+SUMIF('Grid BD'!$B:$B,$A193,'Grid BD'!$AE:$AE)),"")</f>
        <v/>
      </c>
      <c r="T193" s="146" t="str">
        <f>IFERROR(1-SUMIF(Tracker_BD!$H:$H,$A193,Tracker_BD!AI:AI)/$F193,"")</f>
        <v/>
      </c>
      <c r="U193" s="147" t="str">
        <f t="shared" si="13"/>
        <v/>
      </c>
      <c r="V193" s="147"/>
      <c r="W193" s="148" t="str">
        <f t="shared" si="14"/>
        <v/>
      </c>
      <c r="X193" s="143" t="str">
        <f>IFERROR(_xlfn.XLOOKUP($A193,'Raw Data'!$G:$G,'Raw Data'!$AB:$AB),"")</f>
        <v/>
      </c>
      <c r="Y193" s="143" t="str">
        <f>IFERROR(_xlfn.XLOOKUP($A193,'Raw Data'!$G:$G,'Raw Data'!AC:AC),"")</f>
        <v/>
      </c>
      <c r="Z193" s="143" t="str">
        <f>IFERROR(_xlfn.XLOOKUP($A193,'Raw Data'!$G:$G,'Raw Data'!AD:AD),"")</f>
        <v/>
      </c>
      <c r="AA193" s="143" t="str">
        <f>IFERROR(_xlfn.XLOOKUP($A193,'Raw Data'!$G:$G,'Raw Data'!AE:AE)*(1+(_xlfn.XLOOKUP(Table13[[#This Row],[Month Year]],JMR!$A:$A,JMR!$J:$J))),"")</f>
        <v/>
      </c>
      <c r="AB193" s="143" t="str">
        <f>IFERROR(_xlfn.XLOOKUP($A193,'Raw Data'!$G:$G,'Raw Data'!$H:$H),"")</f>
        <v/>
      </c>
      <c r="AC193" s="149">
        <f>IFERROR(_xlfn.XLOOKUP($D193,'Modelling New'!$D:$D,'Modelling New'!$P:$P),"")</f>
        <v>5.6456101129032259</v>
      </c>
      <c r="AD193" s="143">
        <f>IFERROR(_xlfn.XLOOKUP($D193,'Modelling New'!$D:$D,'Modelling New'!$T:$T)*1000,"")</f>
        <v>50360.911058047554</v>
      </c>
      <c r="AE193" s="148">
        <f>IFERROR(_xlfn.XLOOKUP($D193,'Modelling New'!$D:$D,'Modelling New'!$O:$O),"")</f>
        <v>0.76112341749431001</v>
      </c>
      <c r="AF193" s="148">
        <f>IFERROR(_xlfn.XLOOKUP($D193,'Modelling New'!$D:$D,'Modelling New'!$W:$W),"")</f>
        <v>0.17904191929055585</v>
      </c>
      <c r="AG193" s="148">
        <f>IFERROR(_xlfn.XLOOKUP($D193,'Modelling New'!$D:$D,'Modelling New'!AE:AE),"")</f>
        <v>0.995</v>
      </c>
      <c r="AH193" s="148">
        <f>IFERROR(_xlfn.XLOOKUP($D193,'Modelling New'!$D:$D,'Modelling New'!AF:AF),"")</f>
        <v>0.98550000000000004</v>
      </c>
      <c r="AN193" s="145"/>
      <c r="AO193" s="148"/>
      <c r="AP193" s="148"/>
      <c r="AQ193" s="148"/>
      <c r="AR193" s="143">
        <f>IFERROR(_xlfn.XLOOKUP($D193,'Modelling New'!$D:$D,'Modelling New'!$N:$N),"")</f>
        <v>11.72</v>
      </c>
      <c r="AT193" s="143" t="str">
        <f>IFERROR(_xlfn.XLOOKUP(Table13[[#This Row],[Date]],'Raw Data'!$G:$G,'Raw Data'!$AJ:$AJ),"")</f>
        <v/>
      </c>
      <c r="AU193" s="143">
        <f>IFERROR(_xlfn.XLOOKUP(Table13[[#This Row],[Month Year]],'Modelling New'!$D:$D,'Modelling New'!$AO:$AO),"")</f>
        <v>10</v>
      </c>
      <c r="AV193" s="143"/>
    </row>
    <row r="194" spans="1:48">
      <c r="A194" s="142">
        <f t="shared" si="15"/>
        <v>45937</v>
      </c>
      <c r="B194" s="143">
        <f>YEAR(Table13[[#This Row],[Date]])+IF(MONTH(Table13[[#This Row],[Date]])&gt;=4,1,0)</f>
        <v>2026</v>
      </c>
      <c r="C194" s="116">
        <f>YEAR(Table13[[#This Row],[Date]])</f>
        <v>2025</v>
      </c>
      <c r="D194" s="144">
        <f>Table13[[#This Row],[Date]]-DAY(Table13[[#This Row],[Date]])+1</f>
        <v>45931</v>
      </c>
      <c r="E194" s="116">
        <f t="shared" si="12"/>
        <v>31</v>
      </c>
      <c r="F194" s="117" t="str">
        <f>IFERROR(_xlfn.XLOOKUP($A194,'Raw Data'!$G:$G,'Raw Data'!$AH:$AH),"")</f>
        <v/>
      </c>
      <c r="G194" s="118" t="str">
        <f>IFERROR(_xlfn.XLOOKUP($A194,'Raw Data'!$G:$G,'Raw Data'!$S:$S)/1000,"")</f>
        <v/>
      </c>
      <c r="H194" s="118"/>
      <c r="I194" s="118" t="str">
        <f>IFERROR(_xlfn.XLOOKUP($A194,'Raw Data'!$G:$G,'Raw Data'!$AF:$AF)/1000,"")</f>
        <v/>
      </c>
      <c r="J194" s="118"/>
      <c r="K194" s="118" t="str">
        <f>IFERROR(_xlfn.XLOOKUP($A194,'Raw Data'!$G:$G,'Raw Data'!W:W),"")</f>
        <v/>
      </c>
      <c r="L194" s="118" t="str">
        <f>IFERROR(_xlfn.XLOOKUP($A194,'Raw Data'!$G:$G,'Raw Data'!X:X),"")</f>
        <v/>
      </c>
      <c r="M194" s="118" t="str">
        <f>IFERROR(_xlfn.XLOOKUP($A194,'Raw Data'!$G:$G,'Raw Data'!Y:Y),"")</f>
        <v/>
      </c>
      <c r="N194" s="118" t="str">
        <f>IFERROR(_xlfn.XLOOKUP($A194,'Raw Data'!$G:$G,'Raw Data'!Z:Z),"")</f>
        <v/>
      </c>
      <c r="O194" s="145" t="str">
        <f>IFERROR(1-SUMIF('Plant BD'!$B:$B,$A194,'Plant BD'!$AM:$AM)/($AA194+SUMIF('Plant BD'!$B:$B,$A194,'Plant BD'!$AM:$AM)),"")</f>
        <v/>
      </c>
      <c r="P194" s="145"/>
      <c r="Q194" s="146"/>
      <c r="R194" s="145" t="str">
        <f>IFERROR(1-SUMIF('Grid BD'!$B:$B,$A194,'Grid BD'!$AE:$AE)/($AA194+SUMIF('Grid BD'!$B:$B,$A194,'Grid BD'!$AE:$AE)),"")</f>
        <v/>
      </c>
      <c r="T194" s="146" t="str">
        <f>IFERROR(1-SUMIF(Tracker_BD!$H:$H,$A194,Tracker_BD!AI:AI)/$F194,"")</f>
        <v/>
      </c>
      <c r="U194" s="147" t="str">
        <f t="shared" si="13"/>
        <v/>
      </c>
      <c r="V194" s="147"/>
      <c r="W194" s="148" t="str">
        <f t="shared" si="14"/>
        <v/>
      </c>
      <c r="X194" s="143" t="str">
        <f>IFERROR(_xlfn.XLOOKUP($A194,'Raw Data'!$G:$G,'Raw Data'!$AB:$AB),"")</f>
        <v/>
      </c>
      <c r="Y194" s="143" t="str">
        <f>IFERROR(_xlfn.XLOOKUP($A194,'Raw Data'!$G:$G,'Raw Data'!AC:AC),"")</f>
        <v/>
      </c>
      <c r="Z194" s="143" t="str">
        <f>IFERROR(_xlfn.XLOOKUP($A194,'Raw Data'!$G:$G,'Raw Data'!AD:AD),"")</f>
        <v/>
      </c>
      <c r="AA194" s="143" t="str">
        <f>IFERROR(_xlfn.XLOOKUP($A194,'Raw Data'!$G:$G,'Raw Data'!AE:AE)*(1+(_xlfn.XLOOKUP(Table13[[#This Row],[Month Year]],JMR!$A:$A,JMR!$J:$J))),"")</f>
        <v/>
      </c>
      <c r="AB194" s="143" t="str">
        <f>IFERROR(_xlfn.XLOOKUP($A194,'Raw Data'!$G:$G,'Raw Data'!$H:$H),"")</f>
        <v/>
      </c>
      <c r="AC194" s="149">
        <f>IFERROR(_xlfn.XLOOKUP($D194,'Modelling New'!$D:$D,'Modelling New'!$P:$P),"")</f>
        <v>5.6456101129032259</v>
      </c>
      <c r="AD194" s="143">
        <f>IFERROR(_xlfn.XLOOKUP($D194,'Modelling New'!$D:$D,'Modelling New'!$T:$T)*1000,"")</f>
        <v>50360.911058047554</v>
      </c>
      <c r="AE194" s="148">
        <f>IFERROR(_xlfn.XLOOKUP($D194,'Modelling New'!$D:$D,'Modelling New'!$O:$O),"")</f>
        <v>0.76112341749431001</v>
      </c>
      <c r="AF194" s="148">
        <f>IFERROR(_xlfn.XLOOKUP($D194,'Modelling New'!$D:$D,'Modelling New'!$W:$W),"")</f>
        <v>0.17904191929055585</v>
      </c>
      <c r="AG194" s="148">
        <f>IFERROR(_xlfn.XLOOKUP($D194,'Modelling New'!$D:$D,'Modelling New'!AE:AE),"")</f>
        <v>0.995</v>
      </c>
      <c r="AH194" s="148">
        <f>IFERROR(_xlfn.XLOOKUP($D194,'Modelling New'!$D:$D,'Modelling New'!AF:AF),"")</f>
        <v>0.98550000000000004</v>
      </c>
      <c r="AN194" s="145"/>
      <c r="AO194" s="148"/>
      <c r="AP194" s="148"/>
      <c r="AQ194" s="148"/>
      <c r="AR194" s="143">
        <f>IFERROR(_xlfn.XLOOKUP($D194,'Modelling New'!$D:$D,'Modelling New'!$N:$N),"")</f>
        <v>11.72</v>
      </c>
      <c r="AT194" s="143" t="str">
        <f>IFERROR(_xlfn.XLOOKUP(Table13[[#This Row],[Date]],'Raw Data'!$G:$G,'Raw Data'!$AJ:$AJ),"")</f>
        <v/>
      </c>
      <c r="AU194" s="143">
        <f>IFERROR(_xlfn.XLOOKUP(Table13[[#This Row],[Month Year]],'Modelling New'!$D:$D,'Modelling New'!$AO:$AO),"")</f>
        <v>10</v>
      </c>
      <c r="AV194" s="143"/>
    </row>
    <row r="195" spans="1:48">
      <c r="A195" s="142">
        <f t="shared" si="15"/>
        <v>45938</v>
      </c>
      <c r="B195" s="143">
        <f>YEAR(Table13[[#This Row],[Date]])+IF(MONTH(Table13[[#This Row],[Date]])&gt;=4,1,0)</f>
        <v>2026</v>
      </c>
      <c r="C195" s="116">
        <f>YEAR(Table13[[#This Row],[Date]])</f>
        <v>2025</v>
      </c>
      <c r="D195" s="144">
        <f>Table13[[#This Row],[Date]]-DAY(Table13[[#This Row],[Date]])+1</f>
        <v>45931</v>
      </c>
      <c r="E195" s="116">
        <f t="shared" si="12"/>
        <v>31</v>
      </c>
      <c r="F195" s="117" t="str">
        <f>IFERROR(_xlfn.XLOOKUP($A195,'Raw Data'!$G:$G,'Raw Data'!$AH:$AH),"")</f>
        <v/>
      </c>
      <c r="G195" s="118" t="str">
        <f>IFERROR(_xlfn.XLOOKUP($A195,'Raw Data'!$G:$G,'Raw Data'!$S:$S)/1000,"")</f>
        <v/>
      </c>
      <c r="H195" s="118"/>
      <c r="I195" s="118" t="str">
        <f>IFERROR(_xlfn.XLOOKUP($A195,'Raw Data'!$G:$G,'Raw Data'!$AF:$AF)/1000,"")</f>
        <v/>
      </c>
      <c r="J195" s="118"/>
      <c r="K195" s="118" t="str">
        <f>IFERROR(_xlfn.XLOOKUP($A195,'Raw Data'!$G:$G,'Raw Data'!W:W),"")</f>
        <v/>
      </c>
      <c r="L195" s="118" t="str">
        <f>IFERROR(_xlfn.XLOOKUP($A195,'Raw Data'!$G:$G,'Raw Data'!X:X),"")</f>
        <v/>
      </c>
      <c r="M195" s="118" t="str">
        <f>IFERROR(_xlfn.XLOOKUP($A195,'Raw Data'!$G:$G,'Raw Data'!Y:Y),"")</f>
        <v/>
      </c>
      <c r="N195" s="118" t="str">
        <f>IFERROR(_xlfn.XLOOKUP($A195,'Raw Data'!$G:$G,'Raw Data'!Z:Z),"")</f>
        <v/>
      </c>
      <c r="O195" s="145" t="str">
        <f>IFERROR(1-SUMIF('Plant BD'!$B:$B,$A195,'Plant BD'!$AM:$AM)/($AA195+SUMIF('Plant BD'!$B:$B,$A195,'Plant BD'!$AM:$AM)),"")</f>
        <v/>
      </c>
      <c r="P195" s="145"/>
      <c r="Q195" s="146"/>
      <c r="R195" s="145" t="str">
        <f>IFERROR(1-SUMIF('Grid BD'!$B:$B,$A195,'Grid BD'!$AE:$AE)/($AA195+SUMIF('Grid BD'!$B:$B,$A195,'Grid BD'!$AE:$AE)),"")</f>
        <v/>
      </c>
      <c r="T195" s="146" t="str">
        <f>IFERROR(1-SUMIF(Tracker_BD!$H:$H,$A195,Tracker_BD!AI:AI)/$F195,"")</f>
        <v/>
      </c>
      <c r="U195" s="147" t="str">
        <f t="shared" si="13"/>
        <v/>
      </c>
      <c r="V195" s="147"/>
      <c r="W195" s="148" t="str">
        <f t="shared" si="14"/>
        <v/>
      </c>
      <c r="X195" s="143" t="str">
        <f>IFERROR(_xlfn.XLOOKUP($A195,'Raw Data'!$G:$G,'Raw Data'!$AB:$AB),"")</f>
        <v/>
      </c>
      <c r="Y195" s="143" t="str">
        <f>IFERROR(_xlfn.XLOOKUP($A195,'Raw Data'!$G:$G,'Raw Data'!AC:AC),"")</f>
        <v/>
      </c>
      <c r="Z195" s="143" t="str">
        <f>IFERROR(_xlfn.XLOOKUP($A195,'Raw Data'!$G:$G,'Raw Data'!AD:AD),"")</f>
        <v/>
      </c>
      <c r="AA195" s="143" t="str">
        <f>IFERROR(_xlfn.XLOOKUP($A195,'Raw Data'!$G:$G,'Raw Data'!AE:AE)*(1+(_xlfn.XLOOKUP(Table13[[#This Row],[Month Year]],JMR!$A:$A,JMR!$J:$J))),"")</f>
        <v/>
      </c>
      <c r="AB195" s="143" t="str">
        <f>IFERROR(_xlfn.XLOOKUP($A195,'Raw Data'!$G:$G,'Raw Data'!$H:$H),"")</f>
        <v/>
      </c>
      <c r="AC195" s="149">
        <f>IFERROR(_xlfn.XLOOKUP($D195,'Modelling New'!$D:$D,'Modelling New'!$P:$P),"")</f>
        <v>5.6456101129032259</v>
      </c>
      <c r="AD195" s="143">
        <f>IFERROR(_xlfn.XLOOKUP($D195,'Modelling New'!$D:$D,'Modelling New'!$T:$T)*1000,"")</f>
        <v>50360.911058047554</v>
      </c>
      <c r="AE195" s="148">
        <f>IFERROR(_xlfn.XLOOKUP($D195,'Modelling New'!$D:$D,'Modelling New'!$O:$O),"")</f>
        <v>0.76112341749431001</v>
      </c>
      <c r="AF195" s="148">
        <f>IFERROR(_xlfn.XLOOKUP($D195,'Modelling New'!$D:$D,'Modelling New'!$W:$W),"")</f>
        <v>0.17904191929055585</v>
      </c>
      <c r="AG195" s="148">
        <f>IFERROR(_xlfn.XLOOKUP($D195,'Modelling New'!$D:$D,'Modelling New'!AE:AE),"")</f>
        <v>0.995</v>
      </c>
      <c r="AH195" s="148">
        <f>IFERROR(_xlfn.XLOOKUP($D195,'Modelling New'!$D:$D,'Modelling New'!AF:AF),"")</f>
        <v>0.98550000000000004</v>
      </c>
      <c r="AN195" s="145"/>
      <c r="AO195" s="148"/>
      <c r="AP195" s="148"/>
      <c r="AQ195" s="148"/>
      <c r="AR195" s="143">
        <f>IFERROR(_xlfn.XLOOKUP($D195,'Modelling New'!$D:$D,'Modelling New'!$N:$N),"")</f>
        <v>11.72</v>
      </c>
      <c r="AT195" s="143" t="str">
        <f>IFERROR(_xlfn.XLOOKUP(Table13[[#This Row],[Date]],'Raw Data'!$G:$G,'Raw Data'!$AJ:$AJ),"")</f>
        <v/>
      </c>
      <c r="AU195" s="143">
        <f>IFERROR(_xlfn.XLOOKUP(Table13[[#This Row],[Month Year]],'Modelling New'!$D:$D,'Modelling New'!$AO:$AO),"")</f>
        <v>10</v>
      </c>
      <c r="AV195" s="143"/>
    </row>
    <row r="196" spans="1:48">
      <c r="A196" s="142">
        <f t="shared" si="15"/>
        <v>45939</v>
      </c>
      <c r="B196" s="143">
        <f>YEAR(Table13[[#This Row],[Date]])+IF(MONTH(Table13[[#This Row],[Date]])&gt;=4,1,0)</f>
        <v>2026</v>
      </c>
      <c r="C196" s="116">
        <f>YEAR(Table13[[#This Row],[Date]])</f>
        <v>2025</v>
      </c>
      <c r="D196" s="144">
        <f>Table13[[#This Row],[Date]]-DAY(Table13[[#This Row],[Date]])+1</f>
        <v>45931</v>
      </c>
      <c r="E196" s="116">
        <f t="shared" si="12"/>
        <v>31</v>
      </c>
      <c r="F196" s="117" t="str">
        <f>IFERROR(_xlfn.XLOOKUP($A196,'Raw Data'!$G:$G,'Raw Data'!$AH:$AH),"")</f>
        <v/>
      </c>
      <c r="G196" s="118" t="str">
        <f>IFERROR(_xlfn.XLOOKUP($A196,'Raw Data'!$G:$G,'Raw Data'!$S:$S)/1000,"")</f>
        <v/>
      </c>
      <c r="H196" s="118"/>
      <c r="I196" s="118" t="str">
        <f>IFERROR(_xlfn.XLOOKUP($A196,'Raw Data'!$G:$G,'Raw Data'!$AF:$AF)/1000,"")</f>
        <v/>
      </c>
      <c r="J196" s="118"/>
      <c r="K196" s="118" t="str">
        <f>IFERROR(_xlfn.XLOOKUP($A196,'Raw Data'!$G:$G,'Raw Data'!W:W),"")</f>
        <v/>
      </c>
      <c r="L196" s="118" t="str">
        <f>IFERROR(_xlfn.XLOOKUP($A196,'Raw Data'!$G:$G,'Raw Data'!X:X),"")</f>
        <v/>
      </c>
      <c r="M196" s="118" t="str">
        <f>IFERROR(_xlfn.XLOOKUP($A196,'Raw Data'!$G:$G,'Raw Data'!Y:Y),"")</f>
        <v/>
      </c>
      <c r="N196" s="118" t="str">
        <f>IFERROR(_xlfn.XLOOKUP($A196,'Raw Data'!$G:$G,'Raw Data'!Z:Z),"")</f>
        <v/>
      </c>
      <c r="O196" s="145" t="str">
        <f>IFERROR(1-SUMIF('Plant BD'!$B:$B,$A196,'Plant BD'!$AM:$AM)/($AA196+SUMIF('Plant BD'!$B:$B,$A196,'Plant BD'!$AM:$AM)),"")</f>
        <v/>
      </c>
      <c r="P196" s="145"/>
      <c r="Q196" s="146"/>
      <c r="R196" s="145" t="str">
        <f>IFERROR(1-SUMIF('Grid BD'!$B:$B,$A196,'Grid BD'!$AE:$AE)/($AA196+SUMIF('Grid BD'!$B:$B,$A196,'Grid BD'!$AE:$AE)),"")</f>
        <v/>
      </c>
      <c r="T196" s="146" t="str">
        <f>IFERROR(1-SUMIF(Tracker_BD!$H:$H,$A196,Tracker_BD!AI:AI)/$F196,"")</f>
        <v/>
      </c>
      <c r="U196" s="147" t="str">
        <f t="shared" si="13"/>
        <v/>
      </c>
      <c r="V196" s="147"/>
      <c r="W196" s="148" t="str">
        <f t="shared" si="14"/>
        <v/>
      </c>
      <c r="X196" s="143" t="str">
        <f>IFERROR(_xlfn.XLOOKUP($A196,'Raw Data'!$G:$G,'Raw Data'!$AB:$AB),"")</f>
        <v/>
      </c>
      <c r="Y196" s="143" t="str">
        <f>IFERROR(_xlfn.XLOOKUP($A196,'Raw Data'!$G:$G,'Raw Data'!AC:AC),"")</f>
        <v/>
      </c>
      <c r="Z196" s="143" t="str">
        <f>IFERROR(_xlfn.XLOOKUP($A196,'Raw Data'!$G:$G,'Raw Data'!AD:AD),"")</f>
        <v/>
      </c>
      <c r="AA196" s="143" t="str">
        <f>IFERROR(_xlfn.XLOOKUP($A196,'Raw Data'!$G:$G,'Raw Data'!AE:AE)*(1+(_xlfn.XLOOKUP(Table13[[#This Row],[Month Year]],JMR!$A:$A,JMR!$J:$J))),"")</f>
        <v/>
      </c>
      <c r="AB196" s="143" t="str">
        <f>IFERROR(_xlfn.XLOOKUP($A196,'Raw Data'!$G:$G,'Raw Data'!$H:$H),"")</f>
        <v/>
      </c>
      <c r="AC196" s="149">
        <f>IFERROR(_xlfn.XLOOKUP($D196,'Modelling New'!$D:$D,'Modelling New'!$P:$P),"")</f>
        <v>5.6456101129032259</v>
      </c>
      <c r="AD196" s="143">
        <f>IFERROR(_xlfn.XLOOKUP($D196,'Modelling New'!$D:$D,'Modelling New'!$T:$T)*1000,"")</f>
        <v>50360.911058047554</v>
      </c>
      <c r="AE196" s="148">
        <f>IFERROR(_xlfn.XLOOKUP($D196,'Modelling New'!$D:$D,'Modelling New'!$O:$O),"")</f>
        <v>0.76112341749431001</v>
      </c>
      <c r="AF196" s="148">
        <f>IFERROR(_xlfn.XLOOKUP($D196,'Modelling New'!$D:$D,'Modelling New'!$W:$W),"")</f>
        <v>0.17904191929055585</v>
      </c>
      <c r="AG196" s="148">
        <f>IFERROR(_xlfn.XLOOKUP($D196,'Modelling New'!$D:$D,'Modelling New'!AE:AE),"")</f>
        <v>0.995</v>
      </c>
      <c r="AH196" s="148">
        <f>IFERROR(_xlfn.XLOOKUP($D196,'Modelling New'!$D:$D,'Modelling New'!AF:AF),"")</f>
        <v>0.98550000000000004</v>
      </c>
      <c r="AN196" s="145"/>
      <c r="AO196" s="148"/>
      <c r="AP196" s="148"/>
      <c r="AQ196" s="148"/>
      <c r="AR196" s="143">
        <f>IFERROR(_xlfn.XLOOKUP($D196,'Modelling New'!$D:$D,'Modelling New'!$N:$N),"")</f>
        <v>11.72</v>
      </c>
      <c r="AT196" s="143" t="str">
        <f>IFERROR(_xlfn.XLOOKUP(Table13[[#This Row],[Date]],'Raw Data'!$G:$G,'Raw Data'!$AJ:$AJ),"")</f>
        <v/>
      </c>
      <c r="AU196" s="143">
        <f>IFERROR(_xlfn.XLOOKUP(Table13[[#This Row],[Month Year]],'Modelling New'!$D:$D,'Modelling New'!$AO:$AO),"")</f>
        <v>10</v>
      </c>
      <c r="AV196" s="143"/>
    </row>
    <row r="197" spans="1:48">
      <c r="A197" s="142">
        <f t="shared" si="15"/>
        <v>45940</v>
      </c>
      <c r="B197" s="143">
        <f>YEAR(Table13[[#This Row],[Date]])+IF(MONTH(Table13[[#This Row],[Date]])&gt;=4,1,0)</f>
        <v>2026</v>
      </c>
      <c r="C197" s="116">
        <f>YEAR(Table13[[#This Row],[Date]])</f>
        <v>2025</v>
      </c>
      <c r="D197" s="144">
        <f>Table13[[#This Row],[Date]]-DAY(Table13[[#This Row],[Date]])+1</f>
        <v>45931</v>
      </c>
      <c r="E197" s="116">
        <f t="shared" si="12"/>
        <v>31</v>
      </c>
      <c r="F197" s="117" t="str">
        <f>IFERROR(_xlfn.XLOOKUP($A197,'Raw Data'!$G:$G,'Raw Data'!$AH:$AH),"")</f>
        <v/>
      </c>
      <c r="G197" s="118" t="str">
        <f>IFERROR(_xlfn.XLOOKUP($A197,'Raw Data'!$G:$G,'Raw Data'!$S:$S)/1000,"")</f>
        <v/>
      </c>
      <c r="H197" s="118"/>
      <c r="I197" s="118" t="str">
        <f>IFERROR(_xlfn.XLOOKUP($A197,'Raw Data'!$G:$G,'Raw Data'!$AF:$AF)/1000,"")</f>
        <v/>
      </c>
      <c r="J197" s="118"/>
      <c r="K197" s="118" t="str">
        <f>IFERROR(_xlfn.XLOOKUP($A197,'Raw Data'!$G:$G,'Raw Data'!W:W),"")</f>
        <v/>
      </c>
      <c r="L197" s="118" t="str">
        <f>IFERROR(_xlfn.XLOOKUP($A197,'Raw Data'!$G:$G,'Raw Data'!X:X),"")</f>
        <v/>
      </c>
      <c r="M197" s="118" t="str">
        <f>IFERROR(_xlfn.XLOOKUP($A197,'Raw Data'!$G:$G,'Raw Data'!Y:Y),"")</f>
        <v/>
      </c>
      <c r="N197" s="118" t="str">
        <f>IFERROR(_xlfn.XLOOKUP($A197,'Raw Data'!$G:$G,'Raw Data'!Z:Z),"")</f>
        <v/>
      </c>
      <c r="O197" s="145" t="str">
        <f>IFERROR(1-SUMIF('Plant BD'!$B:$B,$A197,'Plant BD'!$AM:$AM)/($AA197+SUMIF('Plant BD'!$B:$B,$A197,'Plant BD'!$AM:$AM)),"")</f>
        <v/>
      </c>
      <c r="P197" s="145"/>
      <c r="Q197" s="146"/>
      <c r="R197" s="145" t="str">
        <f>IFERROR(1-SUMIF('Grid BD'!$B:$B,$A197,'Grid BD'!$AE:$AE)/($AA197+SUMIF('Grid BD'!$B:$B,$A197,'Grid BD'!$AE:$AE)),"")</f>
        <v/>
      </c>
      <c r="T197" s="146" t="str">
        <f>IFERROR(1-SUMIF(Tracker_BD!$H:$H,$A197,Tracker_BD!AI:AI)/$F197,"")</f>
        <v/>
      </c>
      <c r="U197" s="147" t="str">
        <f t="shared" si="13"/>
        <v/>
      </c>
      <c r="V197" s="147"/>
      <c r="W197" s="148" t="str">
        <f t="shared" si="14"/>
        <v/>
      </c>
      <c r="X197" s="143" t="str">
        <f>IFERROR(_xlfn.XLOOKUP($A197,'Raw Data'!$G:$G,'Raw Data'!$AB:$AB),"")</f>
        <v/>
      </c>
      <c r="Y197" s="143" t="str">
        <f>IFERROR(_xlfn.XLOOKUP($A197,'Raw Data'!$G:$G,'Raw Data'!AC:AC),"")</f>
        <v/>
      </c>
      <c r="Z197" s="143" t="str">
        <f>IFERROR(_xlfn.XLOOKUP($A197,'Raw Data'!$G:$G,'Raw Data'!AD:AD),"")</f>
        <v/>
      </c>
      <c r="AA197" s="143" t="str">
        <f>IFERROR(_xlfn.XLOOKUP($A197,'Raw Data'!$G:$G,'Raw Data'!AE:AE)*(1+(_xlfn.XLOOKUP(Table13[[#This Row],[Month Year]],JMR!$A:$A,JMR!$J:$J))),"")</f>
        <v/>
      </c>
      <c r="AB197" s="143" t="str">
        <f>IFERROR(_xlfn.XLOOKUP($A197,'Raw Data'!$G:$G,'Raw Data'!$H:$H),"")</f>
        <v/>
      </c>
      <c r="AC197" s="149">
        <f>IFERROR(_xlfn.XLOOKUP($D197,'Modelling New'!$D:$D,'Modelling New'!$P:$P),"")</f>
        <v>5.6456101129032259</v>
      </c>
      <c r="AD197" s="143">
        <f>IFERROR(_xlfn.XLOOKUP($D197,'Modelling New'!$D:$D,'Modelling New'!$T:$T)*1000,"")</f>
        <v>50360.911058047554</v>
      </c>
      <c r="AE197" s="148">
        <f>IFERROR(_xlfn.XLOOKUP($D197,'Modelling New'!$D:$D,'Modelling New'!$O:$O),"")</f>
        <v>0.76112341749431001</v>
      </c>
      <c r="AF197" s="148">
        <f>IFERROR(_xlfn.XLOOKUP($D197,'Modelling New'!$D:$D,'Modelling New'!$W:$W),"")</f>
        <v>0.17904191929055585</v>
      </c>
      <c r="AG197" s="148">
        <f>IFERROR(_xlfn.XLOOKUP($D197,'Modelling New'!$D:$D,'Modelling New'!AE:AE),"")</f>
        <v>0.995</v>
      </c>
      <c r="AH197" s="148">
        <f>IFERROR(_xlfn.XLOOKUP($D197,'Modelling New'!$D:$D,'Modelling New'!AF:AF),"")</f>
        <v>0.98550000000000004</v>
      </c>
      <c r="AN197" s="145"/>
      <c r="AO197" s="148"/>
      <c r="AP197" s="148"/>
      <c r="AQ197" s="148"/>
      <c r="AR197" s="143">
        <f>IFERROR(_xlfn.XLOOKUP($D197,'Modelling New'!$D:$D,'Modelling New'!$N:$N),"")</f>
        <v>11.72</v>
      </c>
      <c r="AT197" s="143" t="str">
        <f>IFERROR(_xlfn.XLOOKUP(Table13[[#This Row],[Date]],'Raw Data'!$G:$G,'Raw Data'!$AJ:$AJ),"")</f>
        <v/>
      </c>
      <c r="AU197" s="143">
        <f>IFERROR(_xlfn.XLOOKUP(Table13[[#This Row],[Month Year]],'Modelling New'!$D:$D,'Modelling New'!$AO:$AO),"")</f>
        <v>10</v>
      </c>
      <c r="AV197" s="143"/>
    </row>
    <row r="198" spans="1:48">
      <c r="A198" s="142">
        <f t="shared" si="15"/>
        <v>45941</v>
      </c>
      <c r="B198" s="143">
        <f>YEAR(Table13[[#This Row],[Date]])+IF(MONTH(Table13[[#This Row],[Date]])&gt;=4,1,0)</f>
        <v>2026</v>
      </c>
      <c r="C198" s="116">
        <f>YEAR(Table13[[#This Row],[Date]])</f>
        <v>2025</v>
      </c>
      <c r="D198" s="144">
        <f>Table13[[#This Row],[Date]]-DAY(Table13[[#This Row],[Date]])+1</f>
        <v>45931</v>
      </c>
      <c r="E198" s="116">
        <f t="shared" si="12"/>
        <v>31</v>
      </c>
      <c r="F198" s="117" t="str">
        <f>IFERROR(_xlfn.XLOOKUP($A198,'Raw Data'!$G:$G,'Raw Data'!$AH:$AH),"")</f>
        <v/>
      </c>
      <c r="G198" s="118" t="str">
        <f>IFERROR(_xlfn.XLOOKUP($A198,'Raw Data'!$G:$G,'Raw Data'!$S:$S)/1000,"")</f>
        <v/>
      </c>
      <c r="H198" s="118"/>
      <c r="I198" s="118" t="str">
        <f>IFERROR(_xlfn.XLOOKUP($A198,'Raw Data'!$G:$G,'Raw Data'!$AF:$AF)/1000,"")</f>
        <v/>
      </c>
      <c r="J198" s="118"/>
      <c r="K198" s="118" t="str">
        <f>IFERROR(_xlfn.XLOOKUP($A198,'Raw Data'!$G:$G,'Raw Data'!W:W),"")</f>
        <v/>
      </c>
      <c r="L198" s="118" t="str">
        <f>IFERROR(_xlfn.XLOOKUP($A198,'Raw Data'!$G:$G,'Raw Data'!X:X),"")</f>
        <v/>
      </c>
      <c r="M198" s="118" t="str">
        <f>IFERROR(_xlfn.XLOOKUP($A198,'Raw Data'!$G:$G,'Raw Data'!Y:Y),"")</f>
        <v/>
      </c>
      <c r="N198" s="118" t="str">
        <f>IFERROR(_xlfn.XLOOKUP($A198,'Raw Data'!$G:$G,'Raw Data'!Z:Z),"")</f>
        <v/>
      </c>
      <c r="O198" s="145" t="str">
        <f>IFERROR(1-SUMIF('Plant BD'!$B:$B,$A198,'Plant BD'!$AM:$AM)/($AA198+SUMIF('Plant BD'!$B:$B,$A198,'Plant BD'!$AM:$AM)),"")</f>
        <v/>
      </c>
      <c r="P198" s="145"/>
      <c r="Q198" s="146"/>
      <c r="R198" s="145" t="str">
        <f>IFERROR(1-SUMIF('Grid BD'!$B:$B,$A198,'Grid BD'!$AE:$AE)/($AA198+SUMIF('Grid BD'!$B:$B,$A198,'Grid BD'!$AE:$AE)),"")</f>
        <v/>
      </c>
      <c r="T198" s="146" t="str">
        <f>IFERROR(1-SUMIF(Tracker_BD!$H:$H,$A198,Tracker_BD!AI:AI)/$F198,"")</f>
        <v/>
      </c>
      <c r="U198" s="147" t="str">
        <f t="shared" si="13"/>
        <v/>
      </c>
      <c r="V198" s="147"/>
      <c r="W198" s="148" t="str">
        <f t="shared" si="14"/>
        <v/>
      </c>
      <c r="X198" s="143" t="str">
        <f>IFERROR(_xlfn.XLOOKUP($A198,'Raw Data'!$G:$G,'Raw Data'!$AB:$AB),"")</f>
        <v/>
      </c>
      <c r="Y198" s="143" t="str">
        <f>IFERROR(_xlfn.XLOOKUP($A198,'Raw Data'!$G:$G,'Raw Data'!AC:AC),"")</f>
        <v/>
      </c>
      <c r="Z198" s="143" t="str">
        <f>IFERROR(_xlfn.XLOOKUP($A198,'Raw Data'!$G:$G,'Raw Data'!AD:AD),"")</f>
        <v/>
      </c>
      <c r="AA198" s="143" t="str">
        <f>IFERROR(_xlfn.XLOOKUP($A198,'Raw Data'!$G:$G,'Raw Data'!AE:AE)*(1+(_xlfn.XLOOKUP(Table13[[#This Row],[Month Year]],JMR!$A:$A,JMR!$J:$J))),"")</f>
        <v/>
      </c>
      <c r="AB198" s="143" t="str">
        <f>IFERROR(_xlfn.XLOOKUP($A198,'Raw Data'!$G:$G,'Raw Data'!$H:$H),"")</f>
        <v/>
      </c>
      <c r="AC198" s="149">
        <f>IFERROR(_xlfn.XLOOKUP($D198,'Modelling New'!$D:$D,'Modelling New'!$P:$P),"")</f>
        <v>5.6456101129032259</v>
      </c>
      <c r="AD198" s="143">
        <f>IFERROR(_xlfn.XLOOKUP($D198,'Modelling New'!$D:$D,'Modelling New'!$T:$T)*1000,"")</f>
        <v>50360.911058047554</v>
      </c>
      <c r="AE198" s="148">
        <f>IFERROR(_xlfn.XLOOKUP($D198,'Modelling New'!$D:$D,'Modelling New'!$O:$O),"")</f>
        <v>0.76112341749431001</v>
      </c>
      <c r="AF198" s="148">
        <f>IFERROR(_xlfn.XLOOKUP($D198,'Modelling New'!$D:$D,'Modelling New'!$W:$W),"")</f>
        <v>0.17904191929055585</v>
      </c>
      <c r="AG198" s="148">
        <f>IFERROR(_xlfn.XLOOKUP($D198,'Modelling New'!$D:$D,'Modelling New'!AE:AE),"")</f>
        <v>0.995</v>
      </c>
      <c r="AH198" s="148">
        <f>IFERROR(_xlfn.XLOOKUP($D198,'Modelling New'!$D:$D,'Modelling New'!AF:AF),"")</f>
        <v>0.98550000000000004</v>
      </c>
      <c r="AN198" s="145"/>
      <c r="AO198" s="148"/>
      <c r="AP198" s="148"/>
      <c r="AQ198" s="148"/>
      <c r="AR198" s="143">
        <f>IFERROR(_xlfn.XLOOKUP($D198,'Modelling New'!$D:$D,'Modelling New'!$N:$N),"")</f>
        <v>11.72</v>
      </c>
      <c r="AT198" s="143" t="str">
        <f>IFERROR(_xlfn.XLOOKUP(Table13[[#This Row],[Date]],'Raw Data'!$G:$G,'Raw Data'!$AJ:$AJ),"")</f>
        <v/>
      </c>
      <c r="AU198" s="143">
        <f>IFERROR(_xlfn.XLOOKUP(Table13[[#This Row],[Month Year]],'Modelling New'!$D:$D,'Modelling New'!$AO:$AO),"")</f>
        <v>10</v>
      </c>
      <c r="AV198" s="143"/>
    </row>
    <row r="199" spans="1:48">
      <c r="A199" s="142">
        <f t="shared" si="15"/>
        <v>45942</v>
      </c>
      <c r="B199" s="143">
        <f>YEAR(Table13[[#This Row],[Date]])+IF(MONTH(Table13[[#This Row],[Date]])&gt;=4,1,0)</f>
        <v>2026</v>
      </c>
      <c r="C199" s="116">
        <f>YEAR(Table13[[#This Row],[Date]])</f>
        <v>2025</v>
      </c>
      <c r="D199" s="144">
        <f>Table13[[#This Row],[Date]]-DAY(Table13[[#This Row],[Date]])+1</f>
        <v>45931</v>
      </c>
      <c r="E199" s="116">
        <f t="shared" si="12"/>
        <v>31</v>
      </c>
      <c r="F199" s="117" t="str">
        <f>IFERROR(_xlfn.XLOOKUP($A199,'Raw Data'!$G:$G,'Raw Data'!$AH:$AH),"")</f>
        <v/>
      </c>
      <c r="G199" s="118" t="str">
        <f>IFERROR(_xlfn.XLOOKUP($A199,'Raw Data'!$G:$G,'Raw Data'!$S:$S)/1000,"")</f>
        <v/>
      </c>
      <c r="H199" s="118"/>
      <c r="I199" s="118" t="str">
        <f>IFERROR(_xlfn.XLOOKUP($A199,'Raw Data'!$G:$G,'Raw Data'!$AF:$AF)/1000,"")</f>
        <v/>
      </c>
      <c r="J199" s="118"/>
      <c r="K199" s="118" t="str">
        <f>IFERROR(_xlfn.XLOOKUP($A199,'Raw Data'!$G:$G,'Raw Data'!W:W),"")</f>
        <v/>
      </c>
      <c r="L199" s="118" t="str">
        <f>IFERROR(_xlfn.XLOOKUP($A199,'Raw Data'!$G:$G,'Raw Data'!X:X),"")</f>
        <v/>
      </c>
      <c r="M199" s="118" t="str">
        <f>IFERROR(_xlfn.XLOOKUP($A199,'Raw Data'!$G:$G,'Raw Data'!Y:Y),"")</f>
        <v/>
      </c>
      <c r="N199" s="118" t="str">
        <f>IFERROR(_xlfn.XLOOKUP($A199,'Raw Data'!$G:$G,'Raw Data'!Z:Z),"")</f>
        <v/>
      </c>
      <c r="O199" s="145" t="str">
        <f>IFERROR(1-SUMIF('Plant BD'!$B:$B,$A199,'Plant BD'!$AM:$AM)/($AA199+SUMIF('Plant BD'!$B:$B,$A199,'Plant BD'!$AM:$AM)),"")</f>
        <v/>
      </c>
      <c r="P199" s="145"/>
      <c r="Q199" s="146"/>
      <c r="R199" s="145" t="str">
        <f>IFERROR(1-SUMIF('Grid BD'!$B:$B,$A199,'Grid BD'!$AE:$AE)/($AA199+SUMIF('Grid BD'!$B:$B,$A199,'Grid BD'!$AE:$AE)),"")</f>
        <v/>
      </c>
      <c r="T199" s="146" t="str">
        <f>IFERROR(1-SUMIF(Tracker_BD!$H:$H,$A199,Tracker_BD!AI:AI)/$F199,"")</f>
        <v/>
      </c>
      <c r="U199" s="147" t="str">
        <f t="shared" si="13"/>
        <v/>
      </c>
      <c r="V199" s="147"/>
      <c r="W199" s="148" t="str">
        <f t="shared" si="14"/>
        <v/>
      </c>
      <c r="X199" s="143" t="str">
        <f>IFERROR(_xlfn.XLOOKUP($A199,'Raw Data'!$G:$G,'Raw Data'!$AB:$AB),"")</f>
        <v/>
      </c>
      <c r="Y199" s="143" t="str">
        <f>IFERROR(_xlfn.XLOOKUP($A199,'Raw Data'!$G:$G,'Raw Data'!AC:AC),"")</f>
        <v/>
      </c>
      <c r="Z199" s="143" t="str">
        <f>IFERROR(_xlfn.XLOOKUP($A199,'Raw Data'!$G:$G,'Raw Data'!AD:AD),"")</f>
        <v/>
      </c>
      <c r="AA199" s="143" t="str">
        <f>IFERROR(_xlfn.XLOOKUP($A199,'Raw Data'!$G:$G,'Raw Data'!AE:AE)*(1+(_xlfn.XLOOKUP(Table13[[#This Row],[Month Year]],JMR!$A:$A,JMR!$J:$J))),"")</f>
        <v/>
      </c>
      <c r="AB199" s="143" t="str">
        <f>IFERROR(_xlfn.XLOOKUP($A199,'Raw Data'!$G:$G,'Raw Data'!$H:$H),"")</f>
        <v/>
      </c>
      <c r="AC199" s="149">
        <f>IFERROR(_xlfn.XLOOKUP($D199,'Modelling New'!$D:$D,'Modelling New'!$P:$P),"")</f>
        <v>5.6456101129032259</v>
      </c>
      <c r="AD199" s="143">
        <f>IFERROR(_xlfn.XLOOKUP($D199,'Modelling New'!$D:$D,'Modelling New'!$T:$T)*1000,"")</f>
        <v>50360.911058047554</v>
      </c>
      <c r="AE199" s="148">
        <f>IFERROR(_xlfn.XLOOKUP($D199,'Modelling New'!$D:$D,'Modelling New'!$O:$O),"")</f>
        <v>0.76112341749431001</v>
      </c>
      <c r="AF199" s="148">
        <f>IFERROR(_xlfn.XLOOKUP($D199,'Modelling New'!$D:$D,'Modelling New'!$W:$W),"")</f>
        <v>0.17904191929055585</v>
      </c>
      <c r="AG199" s="148">
        <f>IFERROR(_xlfn.XLOOKUP($D199,'Modelling New'!$D:$D,'Modelling New'!AE:AE),"")</f>
        <v>0.995</v>
      </c>
      <c r="AH199" s="148">
        <f>IFERROR(_xlfn.XLOOKUP($D199,'Modelling New'!$D:$D,'Modelling New'!AF:AF),"")</f>
        <v>0.98550000000000004</v>
      </c>
      <c r="AN199" s="145"/>
      <c r="AO199" s="148"/>
      <c r="AP199" s="148"/>
      <c r="AQ199" s="148"/>
      <c r="AR199" s="143">
        <f>IFERROR(_xlfn.XLOOKUP($D199,'Modelling New'!$D:$D,'Modelling New'!$N:$N),"")</f>
        <v>11.72</v>
      </c>
      <c r="AT199" s="143" t="str">
        <f>IFERROR(_xlfn.XLOOKUP(Table13[[#This Row],[Date]],'Raw Data'!$G:$G,'Raw Data'!$AJ:$AJ),"")</f>
        <v/>
      </c>
      <c r="AU199" s="143">
        <f>IFERROR(_xlfn.XLOOKUP(Table13[[#This Row],[Month Year]],'Modelling New'!$D:$D,'Modelling New'!$AO:$AO),"")</f>
        <v>10</v>
      </c>
      <c r="AV199" s="143"/>
    </row>
    <row r="200" spans="1:48">
      <c r="A200" s="142">
        <f t="shared" si="15"/>
        <v>45943</v>
      </c>
      <c r="B200" s="143">
        <f>YEAR(Table13[[#This Row],[Date]])+IF(MONTH(Table13[[#This Row],[Date]])&gt;=4,1,0)</f>
        <v>2026</v>
      </c>
      <c r="C200" s="116">
        <f>YEAR(Table13[[#This Row],[Date]])</f>
        <v>2025</v>
      </c>
      <c r="D200" s="144">
        <f>Table13[[#This Row],[Date]]-DAY(Table13[[#This Row],[Date]])+1</f>
        <v>45931</v>
      </c>
      <c r="E200" s="116">
        <f t="shared" si="12"/>
        <v>31</v>
      </c>
      <c r="F200" s="117" t="str">
        <f>IFERROR(_xlfn.XLOOKUP($A200,'Raw Data'!$G:$G,'Raw Data'!$AH:$AH),"")</f>
        <v/>
      </c>
      <c r="G200" s="118" t="str">
        <f>IFERROR(_xlfn.XLOOKUP($A200,'Raw Data'!$G:$G,'Raw Data'!$S:$S)/1000,"")</f>
        <v/>
      </c>
      <c r="H200" s="118"/>
      <c r="I200" s="118" t="str">
        <f>IFERROR(_xlfn.XLOOKUP($A200,'Raw Data'!$G:$G,'Raw Data'!$AF:$AF)/1000,"")</f>
        <v/>
      </c>
      <c r="J200" s="118"/>
      <c r="K200" s="118" t="str">
        <f>IFERROR(_xlfn.XLOOKUP($A200,'Raw Data'!$G:$G,'Raw Data'!W:W),"")</f>
        <v/>
      </c>
      <c r="L200" s="118" t="str">
        <f>IFERROR(_xlfn.XLOOKUP($A200,'Raw Data'!$G:$G,'Raw Data'!X:X),"")</f>
        <v/>
      </c>
      <c r="M200" s="118" t="str">
        <f>IFERROR(_xlfn.XLOOKUP($A200,'Raw Data'!$G:$G,'Raw Data'!Y:Y),"")</f>
        <v/>
      </c>
      <c r="N200" s="118" t="str">
        <f>IFERROR(_xlfn.XLOOKUP($A200,'Raw Data'!$G:$G,'Raw Data'!Z:Z),"")</f>
        <v/>
      </c>
      <c r="O200" s="145" t="str">
        <f>IFERROR(1-SUMIF('Plant BD'!$B:$B,$A200,'Plant BD'!$AM:$AM)/($AA200+SUMIF('Plant BD'!$B:$B,$A200,'Plant BD'!$AM:$AM)),"")</f>
        <v/>
      </c>
      <c r="P200" s="145"/>
      <c r="Q200" s="146"/>
      <c r="R200" s="145" t="str">
        <f>IFERROR(1-SUMIF('Grid BD'!$B:$B,$A200,'Grid BD'!$AE:$AE)/($AA200+SUMIF('Grid BD'!$B:$B,$A200,'Grid BD'!$AE:$AE)),"")</f>
        <v/>
      </c>
      <c r="T200" s="146" t="str">
        <f>IFERROR(1-SUMIF(Tracker_BD!$H:$H,$A200,Tracker_BD!AI:AI)/$F200,"")</f>
        <v/>
      </c>
      <c r="U200" s="147" t="str">
        <f t="shared" si="13"/>
        <v/>
      </c>
      <c r="V200" s="147"/>
      <c r="W200" s="148" t="str">
        <f t="shared" si="14"/>
        <v/>
      </c>
      <c r="X200" s="143" t="str">
        <f>IFERROR(_xlfn.XLOOKUP($A200,'Raw Data'!$G:$G,'Raw Data'!$AB:$AB),"")</f>
        <v/>
      </c>
      <c r="Y200" s="143" t="str">
        <f>IFERROR(_xlfn.XLOOKUP($A200,'Raw Data'!$G:$G,'Raw Data'!AC:AC),"")</f>
        <v/>
      </c>
      <c r="Z200" s="143" t="str">
        <f>IFERROR(_xlfn.XLOOKUP($A200,'Raw Data'!$G:$G,'Raw Data'!AD:AD),"")</f>
        <v/>
      </c>
      <c r="AA200" s="143" t="str">
        <f>IFERROR(_xlfn.XLOOKUP($A200,'Raw Data'!$G:$G,'Raw Data'!AE:AE)*(1+(_xlfn.XLOOKUP(Table13[[#This Row],[Month Year]],JMR!$A:$A,JMR!$J:$J))),"")</f>
        <v/>
      </c>
      <c r="AB200" s="143" t="str">
        <f>IFERROR(_xlfn.XLOOKUP($A200,'Raw Data'!$G:$G,'Raw Data'!$H:$H),"")</f>
        <v/>
      </c>
      <c r="AC200" s="149">
        <f>IFERROR(_xlfn.XLOOKUP($D200,'Modelling New'!$D:$D,'Modelling New'!$P:$P),"")</f>
        <v>5.6456101129032259</v>
      </c>
      <c r="AD200" s="143">
        <f>IFERROR(_xlfn.XLOOKUP($D200,'Modelling New'!$D:$D,'Modelling New'!$T:$T)*1000,"")</f>
        <v>50360.911058047554</v>
      </c>
      <c r="AE200" s="148">
        <f>IFERROR(_xlfn.XLOOKUP($D200,'Modelling New'!$D:$D,'Modelling New'!$O:$O),"")</f>
        <v>0.76112341749431001</v>
      </c>
      <c r="AF200" s="148">
        <f>IFERROR(_xlfn.XLOOKUP($D200,'Modelling New'!$D:$D,'Modelling New'!$W:$W),"")</f>
        <v>0.17904191929055585</v>
      </c>
      <c r="AG200" s="148">
        <f>IFERROR(_xlfn.XLOOKUP($D200,'Modelling New'!$D:$D,'Modelling New'!AE:AE),"")</f>
        <v>0.995</v>
      </c>
      <c r="AH200" s="148">
        <f>IFERROR(_xlfn.XLOOKUP($D200,'Modelling New'!$D:$D,'Modelling New'!AF:AF),"")</f>
        <v>0.98550000000000004</v>
      </c>
      <c r="AN200" s="145"/>
      <c r="AO200" s="148"/>
      <c r="AP200" s="148"/>
      <c r="AQ200" s="148"/>
      <c r="AR200" s="143">
        <f>IFERROR(_xlfn.XLOOKUP($D200,'Modelling New'!$D:$D,'Modelling New'!$N:$N),"")</f>
        <v>11.72</v>
      </c>
      <c r="AT200" s="143" t="str">
        <f>IFERROR(_xlfn.XLOOKUP(Table13[[#This Row],[Date]],'Raw Data'!$G:$G,'Raw Data'!$AJ:$AJ),"")</f>
        <v/>
      </c>
      <c r="AU200" s="143">
        <f>IFERROR(_xlfn.XLOOKUP(Table13[[#This Row],[Month Year]],'Modelling New'!$D:$D,'Modelling New'!$AO:$AO),"")</f>
        <v>10</v>
      </c>
      <c r="AV200" s="143"/>
    </row>
    <row r="201" spans="1:48">
      <c r="A201" s="142">
        <f t="shared" si="15"/>
        <v>45944</v>
      </c>
      <c r="B201" s="143">
        <f>YEAR(Table13[[#This Row],[Date]])+IF(MONTH(Table13[[#This Row],[Date]])&gt;=4,1,0)</f>
        <v>2026</v>
      </c>
      <c r="C201" s="116">
        <f>YEAR(Table13[[#This Row],[Date]])</f>
        <v>2025</v>
      </c>
      <c r="D201" s="144">
        <f>Table13[[#This Row],[Date]]-DAY(Table13[[#This Row],[Date]])+1</f>
        <v>45931</v>
      </c>
      <c r="E201" s="116">
        <f t="shared" si="12"/>
        <v>31</v>
      </c>
      <c r="F201" s="117" t="str">
        <f>IFERROR(_xlfn.XLOOKUP($A201,'Raw Data'!$G:$G,'Raw Data'!$AH:$AH),"")</f>
        <v/>
      </c>
      <c r="G201" s="118" t="str">
        <f>IFERROR(_xlfn.XLOOKUP($A201,'Raw Data'!$G:$G,'Raw Data'!$S:$S)/1000,"")</f>
        <v/>
      </c>
      <c r="H201" s="118"/>
      <c r="I201" s="118" t="str">
        <f>IFERROR(_xlfn.XLOOKUP($A201,'Raw Data'!$G:$G,'Raw Data'!$AF:$AF)/1000,"")</f>
        <v/>
      </c>
      <c r="J201" s="118"/>
      <c r="K201" s="118" t="str">
        <f>IFERROR(_xlfn.XLOOKUP($A201,'Raw Data'!$G:$G,'Raw Data'!W:W),"")</f>
        <v/>
      </c>
      <c r="L201" s="118" t="str">
        <f>IFERROR(_xlfn.XLOOKUP($A201,'Raw Data'!$G:$G,'Raw Data'!X:X),"")</f>
        <v/>
      </c>
      <c r="M201" s="118" t="str">
        <f>IFERROR(_xlfn.XLOOKUP($A201,'Raw Data'!$G:$G,'Raw Data'!Y:Y),"")</f>
        <v/>
      </c>
      <c r="N201" s="118" t="str">
        <f>IFERROR(_xlfn.XLOOKUP($A201,'Raw Data'!$G:$G,'Raw Data'!Z:Z),"")</f>
        <v/>
      </c>
      <c r="O201" s="145" t="str">
        <f>IFERROR(1-SUMIF('Plant BD'!$B:$B,$A201,'Plant BD'!$AM:$AM)/($AA201+SUMIF('Plant BD'!$B:$B,$A201,'Plant BD'!$AM:$AM)),"")</f>
        <v/>
      </c>
      <c r="P201" s="145"/>
      <c r="Q201" s="146"/>
      <c r="R201" s="145" t="str">
        <f>IFERROR(1-SUMIF('Grid BD'!$B:$B,$A201,'Grid BD'!$AE:$AE)/($AA201+SUMIF('Grid BD'!$B:$B,$A201,'Grid BD'!$AE:$AE)),"")</f>
        <v/>
      </c>
      <c r="T201" s="146" t="str">
        <f>IFERROR(1-SUMIF(Tracker_BD!$H:$H,$A201,Tracker_BD!AI:AI)/$F201,"")</f>
        <v/>
      </c>
      <c r="U201" s="147" t="str">
        <f t="shared" si="13"/>
        <v/>
      </c>
      <c r="V201" s="147"/>
      <c r="W201" s="148" t="str">
        <f t="shared" si="14"/>
        <v/>
      </c>
      <c r="X201" s="143" t="str">
        <f>IFERROR(_xlfn.XLOOKUP($A201,'Raw Data'!$G:$G,'Raw Data'!$AB:$AB),"")</f>
        <v/>
      </c>
      <c r="Y201" s="143" t="str">
        <f>IFERROR(_xlfn.XLOOKUP($A201,'Raw Data'!$G:$G,'Raw Data'!AC:AC),"")</f>
        <v/>
      </c>
      <c r="Z201" s="143" t="str">
        <f>IFERROR(_xlfn.XLOOKUP($A201,'Raw Data'!$G:$G,'Raw Data'!AD:AD),"")</f>
        <v/>
      </c>
      <c r="AA201" s="143" t="str">
        <f>IFERROR(_xlfn.XLOOKUP($A201,'Raw Data'!$G:$G,'Raw Data'!AE:AE)*(1+(_xlfn.XLOOKUP(Table13[[#This Row],[Month Year]],JMR!$A:$A,JMR!$J:$J))),"")</f>
        <v/>
      </c>
      <c r="AB201" s="143" t="str">
        <f>IFERROR(_xlfn.XLOOKUP($A201,'Raw Data'!$G:$G,'Raw Data'!$H:$H),"")</f>
        <v/>
      </c>
      <c r="AC201" s="149">
        <f>IFERROR(_xlfn.XLOOKUP($D201,'Modelling New'!$D:$D,'Modelling New'!$P:$P),"")</f>
        <v>5.6456101129032259</v>
      </c>
      <c r="AD201" s="143">
        <f>IFERROR(_xlfn.XLOOKUP($D201,'Modelling New'!$D:$D,'Modelling New'!$T:$T)*1000,"")</f>
        <v>50360.911058047554</v>
      </c>
      <c r="AE201" s="148">
        <f>IFERROR(_xlfn.XLOOKUP($D201,'Modelling New'!$D:$D,'Modelling New'!$O:$O),"")</f>
        <v>0.76112341749431001</v>
      </c>
      <c r="AF201" s="148">
        <f>IFERROR(_xlfn.XLOOKUP($D201,'Modelling New'!$D:$D,'Modelling New'!$W:$W),"")</f>
        <v>0.17904191929055585</v>
      </c>
      <c r="AG201" s="148">
        <f>IFERROR(_xlfn.XLOOKUP($D201,'Modelling New'!$D:$D,'Modelling New'!AE:AE),"")</f>
        <v>0.995</v>
      </c>
      <c r="AH201" s="148">
        <f>IFERROR(_xlfn.XLOOKUP($D201,'Modelling New'!$D:$D,'Modelling New'!AF:AF),"")</f>
        <v>0.98550000000000004</v>
      </c>
      <c r="AN201" s="145"/>
      <c r="AO201" s="148"/>
      <c r="AP201" s="148"/>
      <c r="AQ201" s="148"/>
      <c r="AR201" s="143">
        <f>IFERROR(_xlfn.XLOOKUP($D201,'Modelling New'!$D:$D,'Modelling New'!$N:$N),"")</f>
        <v>11.72</v>
      </c>
      <c r="AT201" s="143" t="str">
        <f>IFERROR(_xlfn.XLOOKUP(Table13[[#This Row],[Date]],'Raw Data'!$G:$G,'Raw Data'!$AJ:$AJ),"")</f>
        <v/>
      </c>
      <c r="AU201" s="143">
        <f>IFERROR(_xlfn.XLOOKUP(Table13[[#This Row],[Month Year]],'Modelling New'!$D:$D,'Modelling New'!$AO:$AO),"")</f>
        <v>10</v>
      </c>
      <c r="AV201" s="143"/>
    </row>
    <row r="202" spans="1:48">
      <c r="A202" s="142">
        <f t="shared" si="15"/>
        <v>45945</v>
      </c>
      <c r="B202" s="143">
        <f>YEAR(Table13[[#This Row],[Date]])+IF(MONTH(Table13[[#This Row],[Date]])&gt;=4,1,0)</f>
        <v>2026</v>
      </c>
      <c r="C202" s="116">
        <f>YEAR(Table13[[#This Row],[Date]])</f>
        <v>2025</v>
      </c>
      <c r="D202" s="144">
        <f>Table13[[#This Row],[Date]]-DAY(Table13[[#This Row],[Date]])+1</f>
        <v>45931</v>
      </c>
      <c r="E202" s="116">
        <f t="shared" si="12"/>
        <v>31</v>
      </c>
      <c r="F202" s="117" t="str">
        <f>IFERROR(_xlfn.XLOOKUP($A202,'Raw Data'!$G:$G,'Raw Data'!$AH:$AH),"")</f>
        <v/>
      </c>
      <c r="G202" s="118" t="str">
        <f>IFERROR(_xlfn.XLOOKUP($A202,'Raw Data'!$G:$G,'Raw Data'!$S:$S)/1000,"")</f>
        <v/>
      </c>
      <c r="H202" s="118"/>
      <c r="I202" s="118" t="str">
        <f>IFERROR(_xlfn.XLOOKUP($A202,'Raw Data'!$G:$G,'Raw Data'!$AF:$AF)/1000,"")</f>
        <v/>
      </c>
      <c r="J202" s="118"/>
      <c r="K202" s="118" t="str">
        <f>IFERROR(_xlfn.XLOOKUP($A202,'Raw Data'!$G:$G,'Raw Data'!W:W),"")</f>
        <v/>
      </c>
      <c r="L202" s="118" t="str">
        <f>IFERROR(_xlfn.XLOOKUP($A202,'Raw Data'!$G:$G,'Raw Data'!X:X),"")</f>
        <v/>
      </c>
      <c r="M202" s="118" t="str">
        <f>IFERROR(_xlfn.XLOOKUP($A202,'Raw Data'!$G:$G,'Raw Data'!Y:Y),"")</f>
        <v/>
      </c>
      <c r="N202" s="118" t="str">
        <f>IFERROR(_xlfn.XLOOKUP($A202,'Raw Data'!$G:$G,'Raw Data'!Z:Z),"")</f>
        <v/>
      </c>
      <c r="O202" s="145" t="str">
        <f>IFERROR(1-SUMIF('Plant BD'!$B:$B,$A202,'Plant BD'!$AM:$AM)/($AA202+SUMIF('Plant BD'!$B:$B,$A202,'Plant BD'!$AM:$AM)),"")</f>
        <v/>
      </c>
      <c r="P202" s="145"/>
      <c r="Q202" s="146"/>
      <c r="R202" s="145" t="str">
        <f>IFERROR(1-SUMIF('Grid BD'!$B:$B,$A202,'Grid BD'!$AE:$AE)/($AA202+SUMIF('Grid BD'!$B:$B,$A202,'Grid BD'!$AE:$AE)),"")</f>
        <v/>
      </c>
      <c r="T202" s="146" t="str">
        <f>IFERROR(1-SUMIF(Tracker_BD!$H:$H,$A202,Tracker_BD!AI:AI)/$F202,"")</f>
        <v/>
      </c>
      <c r="U202" s="147" t="str">
        <f t="shared" si="13"/>
        <v/>
      </c>
      <c r="V202" s="147"/>
      <c r="W202" s="148" t="str">
        <f t="shared" si="14"/>
        <v/>
      </c>
      <c r="X202" s="143" t="str">
        <f>IFERROR(_xlfn.XLOOKUP($A202,'Raw Data'!$G:$G,'Raw Data'!$AB:$AB),"")</f>
        <v/>
      </c>
      <c r="Y202" s="143" t="str">
        <f>IFERROR(_xlfn.XLOOKUP($A202,'Raw Data'!$G:$G,'Raw Data'!AC:AC),"")</f>
        <v/>
      </c>
      <c r="Z202" s="143" t="str">
        <f>IFERROR(_xlfn.XLOOKUP($A202,'Raw Data'!$G:$G,'Raw Data'!AD:AD),"")</f>
        <v/>
      </c>
      <c r="AA202" s="143" t="str">
        <f>IFERROR(_xlfn.XLOOKUP($A202,'Raw Data'!$G:$G,'Raw Data'!AE:AE)*(1+(_xlfn.XLOOKUP(Table13[[#This Row],[Month Year]],JMR!$A:$A,JMR!$J:$J))),"")</f>
        <v/>
      </c>
      <c r="AB202" s="143" t="str">
        <f>IFERROR(_xlfn.XLOOKUP($A202,'Raw Data'!$G:$G,'Raw Data'!$H:$H),"")</f>
        <v/>
      </c>
      <c r="AC202" s="149">
        <f>IFERROR(_xlfn.XLOOKUP($D202,'Modelling New'!$D:$D,'Modelling New'!$P:$P),"")</f>
        <v>5.6456101129032259</v>
      </c>
      <c r="AD202" s="143">
        <f>IFERROR(_xlfn.XLOOKUP($D202,'Modelling New'!$D:$D,'Modelling New'!$T:$T)*1000,"")</f>
        <v>50360.911058047554</v>
      </c>
      <c r="AE202" s="148">
        <f>IFERROR(_xlfn.XLOOKUP($D202,'Modelling New'!$D:$D,'Modelling New'!$O:$O),"")</f>
        <v>0.76112341749431001</v>
      </c>
      <c r="AF202" s="148">
        <f>IFERROR(_xlfn.XLOOKUP($D202,'Modelling New'!$D:$D,'Modelling New'!$W:$W),"")</f>
        <v>0.17904191929055585</v>
      </c>
      <c r="AG202" s="148">
        <f>IFERROR(_xlfn.XLOOKUP($D202,'Modelling New'!$D:$D,'Modelling New'!AE:AE),"")</f>
        <v>0.995</v>
      </c>
      <c r="AH202" s="148">
        <f>IFERROR(_xlfn.XLOOKUP($D202,'Modelling New'!$D:$D,'Modelling New'!AF:AF),"")</f>
        <v>0.98550000000000004</v>
      </c>
      <c r="AN202" s="145"/>
      <c r="AO202" s="148"/>
      <c r="AP202" s="148"/>
      <c r="AQ202" s="148"/>
      <c r="AR202" s="143">
        <f>IFERROR(_xlfn.XLOOKUP($D202,'Modelling New'!$D:$D,'Modelling New'!$N:$N),"")</f>
        <v>11.72</v>
      </c>
      <c r="AT202" s="143" t="str">
        <f>IFERROR(_xlfn.XLOOKUP(Table13[[#This Row],[Date]],'Raw Data'!$G:$G,'Raw Data'!$AJ:$AJ),"")</f>
        <v/>
      </c>
      <c r="AU202" s="143">
        <f>IFERROR(_xlfn.XLOOKUP(Table13[[#This Row],[Month Year]],'Modelling New'!$D:$D,'Modelling New'!$AO:$AO),"")</f>
        <v>10</v>
      </c>
      <c r="AV202" s="143"/>
    </row>
    <row r="203" spans="1:48">
      <c r="A203" s="142">
        <f t="shared" si="15"/>
        <v>45946</v>
      </c>
      <c r="B203" s="143">
        <f>YEAR(Table13[[#This Row],[Date]])+IF(MONTH(Table13[[#This Row],[Date]])&gt;=4,1,0)</f>
        <v>2026</v>
      </c>
      <c r="C203" s="116">
        <f>YEAR(Table13[[#This Row],[Date]])</f>
        <v>2025</v>
      </c>
      <c r="D203" s="144">
        <f>Table13[[#This Row],[Date]]-DAY(Table13[[#This Row],[Date]])+1</f>
        <v>45931</v>
      </c>
      <c r="E203" s="116">
        <f t="shared" si="12"/>
        <v>31</v>
      </c>
      <c r="F203" s="117" t="str">
        <f>IFERROR(_xlfn.XLOOKUP($A203,'Raw Data'!$G:$G,'Raw Data'!$AH:$AH),"")</f>
        <v/>
      </c>
      <c r="G203" s="118" t="str">
        <f>IFERROR(_xlfn.XLOOKUP($A203,'Raw Data'!$G:$G,'Raw Data'!$S:$S)/1000,"")</f>
        <v/>
      </c>
      <c r="H203" s="118"/>
      <c r="I203" s="118" t="str">
        <f>IFERROR(_xlfn.XLOOKUP($A203,'Raw Data'!$G:$G,'Raw Data'!$AF:$AF)/1000,"")</f>
        <v/>
      </c>
      <c r="J203" s="118"/>
      <c r="K203" s="118" t="str">
        <f>IFERROR(_xlfn.XLOOKUP($A203,'Raw Data'!$G:$G,'Raw Data'!W:W),"")</f>
        <v/>
      </c>
      <c r="L203" s="118" t="str">
        <f>IFERROR(_xlfn.XLOOKUP($A203,'Raw Data'!$G:$G,'Raw Data'!X:X),"")</f>
        <v/>
      </c>
      <c r="M203" s="118" t="str">
        <f>IFERROR(_xlfn.XLOOKUP($A203,'Raw Data'!$G:$G,'Raw Data'!Y:Y),"")</f>
        <v/>
      </c>
      <c r="N203" s="118" t="str">
        <f>IFERROR(_xlfn.XLOOKUP($A203,'Raw Data'!$G:$G,'Raw Data'!Z:Z),"")</f>
        <v/>
      </c>
      <c r="O203" s="145" t="str">
        <f>IFERROR(1-SUMIF('Plant BD'!$B:$B,$A203,'Plant BD'!$AM:$AM)/($AA203+SUMIF('Plant BD'!$B:$B,$A203,'Plant BD'!$AM:$AM)),"")</f>
        <v/>
      </c>
      <c r="P203" s="145"/>
      <c r="Q203" s="146"/>
      <c r="R203" s="145" t="str">
        <f>IFERROR(1-SUMIF('Grid BD'!$B:$B,$A203,'Grid BD'!$AE:$AE)/($AA203+SUMIF('Grid BD'!$B:$B,$A203,'Grid BD'!$AE:$AE)),"")</f>
        <v/>
      </c>
      <c r="T203" s="146" t="str">
        <f>IFERROR(1-SUMIF(Tracker_BD!$H:$H,$A203,Tracker_BD!AI:AI)/$F203,"")</f>
        <v/>
      </c>
      <c r="U203" s="147" t="str">
        <f t="shared" si="13"/>
        <v/>
      </c>
      <c r="V203" s="147"/>
      <c r="W203" s="148" t="str">
        <f t="shared" si="14"/>
        <v/>
      </c>
      <c r="X203" s="143" t="str">
        <f>IFERROR(_xlfn.XLOOKUP($A203,'Raw Data'!$G:$G,'Raw Data'!$AB:$AB),"")</f>
        <v/>
      </c>
      <c r="Y203" s="143" t="str">
        <f>IFERROR(_xlfn.XLOOKUP($A203,'Raw Data'!$G:$G,'Raw Data'!AC:AC),"")</f>
        <v/>
      </c>
      <c r="Z203" s="143" t="str">
        <f>IFERROR(_xlfn.XLOOKUP($A203,'Raw Data'!$G:$G,'Raw Data'!AD:AD),"")</f>
        <v/>
      </c>
      <c r="AA203" s="143" t="str">
        <f>IFERROR(_xlfn.XLOOKUP($A203,'Raw Data'!$G:$G,'Raw Data'!AE:AE)*(1+(_xlfn.XLOOKUP(Table13[[#This Row],[Month Year]],JMR!$A:$A,JMR!$J:$J))),"")</f>
        <v/>
      </c>
      <c r="AB203" s="143" t="str">
        <f>IFERROR(_xlfn.XLOOKUP($A203,'Raw Data'!$G:$G,'Raw Data'!$H:$H),"")</f>
        <v/>
      </c>
      <c r="AC203" s="149">
        <f>IFERROR(_xlfn.XLOOKUP($D203,'Modelling New'!$D:$D,'Modelling New'!$P:$P),"")</f>
        <v>5.6456101129032259</v>
      </c>
      <c r="AD203" s="143">
        <f>IFERROR(_xlfn.XLOOKUP($D203,'Modelling New'!$D:$D,'Modelling New'!$T:$T)*1000,"")</f>
        <v>50360.911058047554</v>
      </c>
      <c r="AE203" s="148">
        <f>IFERROR(_xlfn.XLOOKUP($D203,'Modelling New'!$D:$D,'Modelling New'!$O:$O),"")</f>
        <v>0.76112341749431001</v>
      </c>
      <c r="AF203" s="148">
        <f>IFERROR(_xlfn.XLOOKUP($D203,'Modelling New'!$D:$D,'Modelling New'!$W:$W),"")</f>
        <v>0.17904191929055585</v>
      </c>
      <c r="AG203" s="148">
        <f>IFERROR(_xlfn.XLOOKUP($D203,'Modelling New'!$D:$D,'Modelling New'!AE:AE),"")</f>
        <v>0.995</v>
      </c>
      <c r="AH203" s="148">
        <f>IFERROR(_xlfn.XLOOKUP($D203,'Modelling New'!$D:$D,'Modelling New'!AF:AF),"")</f>
        <v>0.98550000000000004</v>
      </c>
      <c r="AN203" s="145"/>
      <c r="AO203" s="148"/>
      <c r="AP203" s="148"/>
      <c r="AQ203" s="148"/>
      <c r="AR203" s="143">
        <f>IFERROR(_xlfn.XLOOKUP($D203,'Modelling New'!$D:$D,'Modelling New'!$N:$N),"")</f>
        <v>11.72</v>
      </c>
      <c r="AT203" s="143" t="str">
        <f>IFERROR(_xlfn.XLOOKUP(Table13[[#This Row],[Date]],'Raw Data'!$G:$G,'Raw Data'!$AJ:$AJ),"")</f>
        <v/>
      </c>
      <c r="AU203" s="143">
        <f>IFERROR(_xlfn.XLOOKUP(Table13[[#This Row],[Month Year]],'Modelling New'!$D:$D,'Modelling New'!$AO:$AO),"")</f>
        <v>10</v>
      </c>
      <c r="AV203" s="143"/>
    </row>
    <row r="204" spans="1:48">
      <c r="A204" s="142">
        <f t="shared" si="15"/>
        <v>45947</v>
      </c>
      <c r="B204" s="143">
        <f>YEAR(Table13[[#This Row],[Date]])+IF(MONTH(Table13[[#This Row],[Date]])&gt;=4,1,0)</f>
        <v>2026</v>
      </c>
      <c r="C204" s="116">
        <f>YEAR(Table13[[#This Row],[Date]])</f>
        <v>2025</v>
      </c>
      <c r="D204" s="144">
        <f>Table13[[#This Row],[Date]]-DAY(Table13[[#This Row],[Date]])+1</f>
        <v>45931</v>
      </c>
      <c r="E204" s="116">
        <f t="shared" si="12"/>
        <v>31</v>
      </c>
      <c r="F204" s="117" t="str">
        <f>IFERROR(_xlfn.XLOOKUP($A204,'Raw Data'!$G:$G,'Raw Data'!$AH:$AH),"")</f>
        <v/>
      </c>
      <c r="G204" s="118" t="str">
        <f>IFERROR(_xlfn.XLOOKUP($A204,'Raw Data'!$G:$G,'Raw Data'!$S:$S)/1000,"")</f>
        <v/>
      </c>
      <c r="H204" s="118"/>
      <c r="I204" s="118" t="str">
        <f>IFERROR(_xlfn.XLOOKUP($A204,'Raw Data'!$G:$G,'Raw Data'!$AF:$AF)/1000,"")</f>
        <v/>
      </c>
      <c r="J204" s="118"/>
      <c r="K204" s="118" t="str">
        <f>IFERROR(_xlfn.XLOOKUP($A204,'Raw Data'!$G:$G,'Raw Data'!W:W),"")</f>
        <v/>
      </c>
      <c r="L204" s="118" t="str">
        <f>IFERROR(_xlfn.XLOOKUP($A204,'Raw Data'!$G:$G,'Raw Data'!X:X),"")</f>
        <v/>
      </c>
      <c r="M204" s="118" t="str">
        <f>IFERROR(_xlfn.XLOOKUP($A204,'Raw Data'!$G:$G,'Raw Data'!Y:Y),"")</f>
        <v/>
      </c>
      <c r="N204" s="118" t="str">
        <f>IFERROR(_xlfn.XLOOKUP($A204,'Raw Data'!$G:$G,'Raw Data'!Z:Z),"")</f>
        <v/>
      </c>
      <c r="O204" s="145" t="str">
        <f>IFERROR(1-SUMIF('Plant BD'!$B:$B,$A204,'Plant BD'!$AM:$AM)/($AA204+SUMIF('Plant BD'!$B:$B,$A204,'Plant BD'!$AM:$AM)),"")</f>
        <v/>
      </c>
      <c r="P204" s="145"/>
      <c r="Q204" s="146"/>
      <c r="R204" s="145" t="str">
        <f>IFERROR(1-SUMIF('Grid BD'!$B:$B,$A204,'Grid BD'!$AE:$AE)/($AA204+SUMIF('Grid BD'!$B:$B,$A204,'Grid BD'!$AE:$AE)),"")</f>
        <v/>
      </c>
      <c r="T204" s="146" t="str">
        <f>IFERROR(1-SUMIF(Tracker_BD!$H:$H,$A204,Tracker_BD!AI:AI)/$F204,"")</f>
        <v/>
      </c>
      <c r="U204" s="147" t="str">
        <f t="shared" si="13"/>
        <v/>
      </c>
      <c r="V204" s="147"/>
      <c r="W204" s="148" t="str">
        <f t="shared" si="14"/>
        <v/>
      </c>
      <c r="X204" s="143" t="str">
        <f>IFERROR(_xlfn.XLOOKUP($A204,'Raw Data'!$G:$G,'Raw Data'!$AB:$AB),"")</f>
        <v/>
      </c>
      <c r="Y204" s="143" t="str">
        <f>IFERROR(_xlfn.XLOOKUP($A204,'Raw Data'!$G:$G,'Raw Data'!AC:AC),"")</f>
        <v/>
      </c>
      <c r="Z204" s="143" t="str">
        <f>IFERROR(_xlfn.XLOOKUP($A204,'Raw Data'!$G:$G,'Raw Data'!AD:AD),"")</f>
        <v/>
      </c>
      <c r="AA204" s="143" t="str">
        <f>IFERROR(_xlfn.XLOOKUP($A204,'Raw Data'!$G:$G,'Raw Data'!AE:AE)*(1+(_xlfn.XLOOKUP(Table13[[#This Row],[Month Year]],JMR!$A:$A,JMR!$J:$J))),"")</f>
        <v/>
      </c>
      <c r="AB204" s="143" t="str">
        <f>IFERROR(_xlfn.XLOOKUP($A204,'Raw Data'!$G:$G,'Raw Data'!$H:$H),"")</f>
        <v/>
      </c>
      <c r="AC204" s="149">
        <f>IFERROR(_xlfn.XLOOKUP($D204,'Modelling New'!$D:$D,'Modelling New'!$P:$P),"")</f>
        <v>5.6456101129032259</v>
      </c>
      <c r="AD204" s="143">
        <f>IFERROR(_xlfn.XLOOKUP($D204,'Modelling New'!$D:$D,'Modelling New'!$T:$T)*1000,"")</f>
        <v>50360.911058047554</v>
      </c>
      <c r="AE204" s="148">
        <f>IFERROR(_xlfn.XLOOKUP($D204,'Modelling New'!$D:$D,'Modelling New'!$O:$O),"")</f>
        <v>0.76112341749431001</v>
      </c>
      <c r="AF204" s="148">
        <f>IFERROR(_xlfn.XLOOKUP($D204,'Modelling New'!$D:$D,'Modelling New'!$W:$W),"")</f>
        <v>0.17904191929055585</v>
      </c>
      <c r="AG204" s="148">
        <f>IFERROR(_xlfn.XLOOKUP($D204,'Modelling New'!$D:$D,'Modelling New'!AE:AE),"")</f>
        <v>0.995</v>
      </c>
      <c r="AH204" s="148">
        <f>IFERROR(_xlfn.XLOOKUP($D204,'Modelling New'!$D:$D,'Modelling New'!AF:AF),"")</f>
        <v>0.98550000000000004</v>
      </c>
      <c r="AN204" s="145"/>
      <c r="AO204" s="148"/>
      <c r="AP204" s="148"/>
      <c r="AQ204" s="148"/>
      <c r="AR204" s="143">
        <f>IFERROR(_xlfn.XLOOKUP($D204,'Modelling New'!$D:$D,'Modelling New'!$N:$N),"")</f>
        <v>11.72</v>
      </c>
      <c r="AT204" s="143" t="str">
        <f>IFERROR(_xlfn.XLOOKUP(Table13[[#This Row],[Date]],'Raw Data'!$G:$G,'Raw Data'!$AJ:$AJ),"")</f>
        <v/>
      </c>
      <c r="AU204" s="143">
        <f>IFERROR(_xlfn.XLOOKUP(Table13[[#This Row],[Month Year]],'Modelling New'!$D:$D,'Modelling New'!$AO:$AO),"")</f>
        <v>10</v>
      </c>
      <c r="AV204" s="143"/>
    </row>
    <row r="205" spans="1:48">
      <c r="A205" s="142">
        <f t="shared" si="15"/>
        <v>45948</v>
      </c>
      <c r="B205" s="143">
        <f>YEAR(Table13[[#This Row],[Date]])+IF(MONTH(Table13[[#This Row],[Date]])&gt;=4,1,0)</f>
        <v>2026</v>
      </c>
      <c r="C205" s="116">
        <f>YEAR(Table13[[#This Row],[Date]])</f>
        <v>2025</v>
      </c>
      <c r="D205" s="144">
        <f>Table13[[#This Row],[Date]]-DAY(Table13[[#This Row],[Date]])+1</f>
        <v>45931</v>
      </c>
      <c r="E205" s="116">
        <f t="shared" si="12"/>
        <v>31</v>
      </c>
      <c r="F205" s="117" t="str">
        <f>IFERROR(_xlfn.XLOOKUP($A205,'Raw Data'!$G:$G,'Raw Data'!$AH:$AH),"")</f>
        <v/>
      </c>
      <c r="G205" s="118" t="str">
        <f>IFERROR(_xlfn.XLOOKUP($A205,'Raw Data'!$G:$G,'Raw Data'!$S:$S)/1000,"")</f>
        <v/>
      </c>
      <c r="H205" s="118"/>
      <c r="I205" s="118" t="str">
        <f>IFERROR(_xlfn.XLOOKUP($A205,'Raw Data'!$G:$G,'Raw Data'!$AF:$AF)/1000,"")</f>
        <v/>
      </c>
      <c r="J205" s="118"/>
      <c r="K205" s="118" t="str">
        <f>IFERROR(_xlfn.XLOOKUP($A205,'Raw Data'!$G:$G,'Raw Data'!W:W),"")</f>
        <v/>
      </c>
      <c r="L205" s="118" t="str">
        <f>IFERROR(_xlfn.XLOOKUP($A205,'Raw Data'!$G:$G,'Raw Data'!X:X),"")</f>
        <v/>
      </c>
      <c r="M205" s="118" t="str">
        <f>IFERROR(_xlfn.XLOOKUP($A205,'Raw Data'!$G:$G,'Raw Data'!Y:Y),"")</f>
        <v/>
      </c>
      <c r="N205" s="118" t="str">
        <f>IFERROR(_xlfn.XLOOKUP($A205,'Raw Data'!$G:$G,'Raw Data'!Z:Z),"")</f>
        <v/>
      </c>
      <c r="O205" s="145" t="str">
        <f>IFERROR(1-SUMIF('Plant BD'!$B:$B,$A205,'Plant BD'!$AM:$AM)/($AA205+SUMIF('Plant BD'!$B:$B,$A205,'Plant BD'!$AM:$AM)),"")</f>
        <v/>
      </c>
      <c r="P205" s="145"/>
      <c r="Q205" s="146"/>
      <c r="R205" s="145" t="str">
        <f>IFERROR(1-SUMIF('Grid BD'!$B:$B,$A205,'Grid BD'!$AE:$AE)/($AA205+SUMIF('Grid BD'!$B:$B,$A205,'Grid BD'!$AE:$AE)),"")</f>
        <v/>
      </c>
      <c r="T205" s="146" t="str">
        <f>IFERROR(1-SUMIF(Tracker_BD!$H:$H,$A205,Tracker_BD!AI:AI)/$F205,"")</f>
        <v/>
      </c>
      <c r="U205" s="147" t="str">
        <f t="shared" si="13"/>
        <v/>
      </c>
      <c r="V205" s="147"/>
      <c r="W205" s="148" t="str">
        <f t="shared" si="14"/>
        <v/>
      </c>
      <c r="X205" s="143" t="str">
        <f>IFERROR(_xlfn.XLOOKUP($A205,'Raw Data'!$G:$G,'Raw Data'!$AB:$AB),"")</f>
        <v/>
      </c>
      <c r="Y205" s="143" t="str">
        <f>IFERROR(_xlfn.XLOOKUP($A205,'Raw Data'!$G:$G,'Raw Data'!AC:AC),"")</f>
        <v/>
      </c>
      <c r="Z205" s="143" t="str">
        <f>IFERROR(_xlfn.XLOOKUP($A205,'Raw Data'!$G:$G,'Raw Data'!AD:AD),"")</f>
        <v/>
      </c>
      <c r="AA205" s="143" t="str">
        <f>IFERROR(_xlfn.XLOOKUP($A205,'Raw Data'!$G:$G,'Raw Data'!AE:AE)*(1+(_xlfn.XLOOKUP(Table13[[#This Row],[Month Year]],JMR!$A:$A,JMR!$J:$J))),"")</f>
        <v/>
      </c>
      <c r="AB205" s="143" t="str">
        <f>IFERROR(_xlfn.XLOOKUP($A205,'Raw Data'!$G:$G,'Raw Data'!$H:$H),"")</f>
        <v/>
      </c>
      <c r="AC205" s="149">
        <f>IFERROR(_xlfn.XLOOKUP($D205,'Modelling New'!$D:$D,'Modelling New'!$P:$P),"")</f>
        <v>5.6456101129032259</v>
      </c>
      <c r="AD205" s="143">
        <f>IFERROR(_xlfn.XLOOKUP($D205,'Modelling New'!$D:$D,'Modelling New'!$T:$T)*1000,"")</f>
        <v>50360.911058047554</v>
      </c>
      <c r="AE205" s="148">
        <f>IFERROR(_xlfn.XLOOKUP($D205,'Modelling New'!$D:$D,'Modelling New'!$O:$O),"")</f>
        <v>0.76112341749431001</v>
      </c>
      <c r="AF205" s="148">
        <f>IFERROR(_xlfn.XLOOKUP($D205,'Modelling New'!$D:$D,'Modelling New'!$W:$W),"")</f>
        <v>0.17904191929055585</v>
      </c>
      <c r="AG205" s="148">
        <f>IFERROR(_xlfn.XLOOKUP($D205,'Modelling New'!$D:$D,'Modelling New'!AE:AE),"")</f>
        <v>0.995</v>
      </c>
      <c r="AH205" s="148">
        <f>IFERROR(_xlfn.XLOOKUP($D205,'Modelling New'!$D:$D,'Modelling New'!AF:AF),"")</f>
        <v>0.98550000000000004</v>
      </c>
      <c r="AN205" s="145"/>
      <c r="AO205" s="148"/>
      <c r="AP205" s="148"/>
      <c r="AQ205" s="148"/>
      <c r="AR205" s="143">
        <f>IFERROR(_xlfn.XLOOKUP($D205,'Modelling New'!$D:$D,'Modelling New'!$N:$N),"")</f>
        <v>11.72</v>
      </c>
      <c r="AT205" s="143" t="str">
        <f>IFERROR(_xlfn.XLOOKUP(Table13[[#This Row],[Date]],'Raw Data'!$G:$G,'Raw Data'!$AJ:$AJ),"")</f>
        <v/>
      </c>
      <c r="AU205" s="143">
        <f>IFERROR(_xlfn.XLOOKUP(Table13[[#This Row],[Month Year]],'Modelling New'!$D:$D,'Modelling New'!$AO:$AO),"")</f>
        <v>10</v>
      </c>
      <c r="AV205" s="143"/>
    </row>
    <row r="206" spans="1:48">
      <c r="A206" s="142">
        <f t="shared" si="15"/>
        <v>45949</v>
      </c>
      <c r="B206" s="143">
        <f>YEAR(Table13[[#This Row],[Date]])+IF(MONTH(Table13[[#This Row],[Date]])&gt;=4,1,0)</f>
        <v>2026</v>
      </c>
      <c r="C206" s="116">
        <f>YEAR(Table13[[#This Row],[Date]])</f>
        <v>2025</v>
      </c>
      <c r="D206" s="144">
        <f>Table13[[#This Row],[Date]]-DAY(Table13[[#This Row],[Date]])+1</f>
        <v>45931</v>
      </c>
      <c r="E206" s="116">
        <f t="shared" si="12"/>
        <v>31</v>
      </c>
      <c r="F206" s="117" t="str">
        <f>IFERROR(_xlfn.XLOOKUP($A206,'Raw Data'!$G:$G,'Raw Data'!$AH:$AH),"")</f>
        <v/>
      </c>
      <c r="G206" s="118" t="str">
        <f>IFERROR(_xlfn.XLOOKUP($A206,'Raw Data'!$G:$G,'Raw Data'!$S:$S)/1000,"")</f>
        <v/>
      </c>
      <c r="H206" s="118"/>
      <c r="I206" s="118" t="str">
        <f>IFERROR(_xlfn.XLOOKUP($A206,'Raw Data'!$G:$G,'Raw Data'!$AF:$AF)/1000,"")</f>
        <v/>
      </c>
      <c r="J206" s="118"/>
      <c r="K206" s="118" t="str">
        <f>IFERROR(_xlfn.XLOOKUP($A206,'Raw Data'!$G:$G,'Raw Data'!W:W),"")</f>
        <v/>
      </c>
      <c r="L206" s="118" t="str">
        <f>IFERROR(_xlfn.XLOOKUP($A206,'Raw Data'!$G:$G,'Raw Data'!X:X),"")</f>
        <v/>
      </c>
      <c r="M206" s="118" t="str">
        <f>IFERROR(_xlfn.XLOOKUP($A206,'Raw Data'!$G:$G,'Raw Data'!Y:Y),"")</f>
        <v/>
      </c>
      <c r="N206" s="118" t="str">
        <f>IFERROR(_xlfn.XLOOKUP($A206,'Raw Data'!$G:$G,'Raw Data'!Z:Z),"")</f>
        <v/>
      </c>
      <c r="O206" s="145" t="str">
        <f>IFERROR(1-SUMIF('Plant BD'!$B:$B,$A206,'Plant BD'!$AM:$AM)/($AA206+SUMIF('Plant BD'!$B:$B,$A206,'Plant BD'!$AM:$AM)),"")</f>
        <v/>
      </c>
      <c r="P206" s="145"/>
      <c r="Q206" s="146"/>
      <c r="R206" s="145" t="str">
        <f>IFERROR(1-SUMIF('Grid BD'!$B:$B,$A206,'Grid BD'!$AE:$AE)/($AA206+SUMIF('Grid BD'!$B:$B,$A206,'Grid BD'!$AE:$AE)),"")</f>
        <v/>
      </c>
      <c r="T206" s="146" t="str">
        <f>IFERROR(1-SUMIF(Tracker_BD!$H:$H,$A206,Tracker_BD!AI:AI)/$F206,"")</f>
        <v/>
      </c>
      <c r="U206" s="147" t="str">
        <f t="shared" si="13"/>
        <v/>
      </c>
      <c r="V206" s="147"/>
      <c r="W206" s="148" t="str">
        <f t="shared" si="14"/>
        <v/>
      </c>
      <c r="X206" s="143" t="str">
        <f>IFERROR(_xlfn.XLOOKUP($A206,'Raw Data'!$G:$G,'Raw Data'!$AB:$AB),"")</f>
        <v/>
      </c>
      <c r="Y206" s="143" t="str">
        <f>IFERROR(_xlfn.XLOOKUP($A206,'Raw Data'!$G:$G,'Raw Data'!AC:AC),"")</f>
        <v/>
      </c>
      <c r="Z206" s="143" t="str">
        <f>IFERROR(_xlfn.XLOOKUP($A206,'Raw Data'!$G:$G,'Raw Data'!AD:AD),"")</f>
        <v/>
      </c>
      <c r="AA206" s="143" t="str">
        <f>IFERROR(_xlfn.XLOOKUP($A206,'Raw Data'!$G:$G,'Raw Data'!AE:AE)*(1+(_xlfn.XLOOKUP(Table13[[#This Row],[Month Year]],JMR!$A:$A,JMR!$J:$J))),"")</f>
        <v/>
      </c>
      <c r="AB206" s="143" t="str">
        <f>IFERROR(_xlfn.XLOOKUP($A206,'Raw Data'!$G:$G,'Raw Data'!$H:$H),"")</f>
        <v/>
      </c>
      <c r="AC206" s="149">
        <f>IFERROR(_xlfn.XLOOKUP($D206,'Modelling New'!$D:$D,'Modelling New'!$P:$P),"")</f>
        <v>5.6456101129032259</v>
      </c>
      <c r="AD206" s="143">
        <f>IFERROR(_xlfn.XLOOKUP($D206,'Modelling New'!$D:$D,'Modelling New'!$T:$T)*1000,"")</f>
        <v>50360.911058047554</v>
      </c>
      <c r="AE206" s="148">
        <f>IFERROR(_xlfn.XLOOKUP($D206,'Modelling New'!$D:$D,'Modelling New'!$O:$O),"")</f>
        <v>0.76112341749431001</v>
      </c>
      <c r="AF206" s="148">
        <f>IFERROR(_xlfn.XLOOKUP($D206,'Modelling New'!$D:$D,'Modelling New'!$W:$W),"")</f>
        <v>0.17904191929055585</v>
      </c>
      <c r="AG206" s="148">
        <f>IFERROR(_xlfn.XLOOKUP($D206,'Modelling New'!$D:$D,'Modelling New'!AE:AE),"")</f>
        <v>0.995</v>
      </c>
      <c r="AH206" s="148">
        <f>IFERROR(_xlfn.XLOOKUP($D206,'Modelling New'!$D:$D,'Modelling New'!AF:AF),"")</f>
        <v>0.98550000000000004</v>
      </c>
      <c r="AN206" s="145"/>
      <c r="AO206" s="148"/>
      <c r="AP206" s="148"/>
      <c r="AQ206" s="148"/>
      <c r="AR206" s="143">
        <f>IFERROR(_xlfn.XLOOKUP($D206,'Modelling New'!$D:$D,'Modelling New'!$N:$N),"")</f>
        <v>11.72</v>
      </c>
      <c r="AT206" s="143" t="str">
        <f>IFERROR(_xlfn.XLOOKUP(Table13[[#This Row],[Date]],'Raw Data'!$G:$G,'Raw Data'!$AJ:$AJ),"")</f>
        <v/>
      </c>
      <c r="AU206" s="143">
        <f>IFERROR(_xlfn.XLOOKUP(Table13[[#This Row],[Month Year]],'Modelling New'!$D:$D,'Modelling New'!$AO:$AO),"")</f>
        <v>10</v>
      </c>
      <c r="AV206" s="143"/>
    </row>
    <row r="207" spans="1:48">
      <c r="A207" s="142">
        <f t="shared" si="15"/>
        <v>45950</v>
      </c>
      <c r="B207" s="143">
        <f>YEAR(Table13[[#This Row],[Date]])+IF(MONTH(Table13[[#This Row],[Date]])&gt;=4,1,0)</f>
        <v>2026</v>
      </c>
      <c r="C207" s="116">
        <f>YEAR(Table13[[#This Row],[Date]])</f>
        <v>2025</v>
      </c>
      <c r="D207" s="144">
        <f>Table13[[#This Row],[Date]]-DAY(Table13[[#This Row],[Date]])+1</f>
        <v>45931</v>
      </c>
      <c r="E207" s="116">
        <f t="shared" si="12"/>
        <v>31</v>
      </c>
      <c r="F207" s="117" t="str">
        <f>IFERROR(_xlfn.XLOOKUP($A207,'Raw Data'!$G:$G,'Raw Data'!$AH:$AH),"")</f>
        <v/>
      </c>
      <c r="G207" s="118" t="str">
        <f>IFERROR(_xlfn.XLOOKUP($A207,'Raw Data'!$G:$G,'Raw Data'!$S:$S)/1000,"")</f>
        <v/>
      </c>
      <c r="H207" s="118"/>
      <c r="I207" s="118" t="str">
        <f>IFERROR(_xlfn.XLOOKUP($A207,'Raw Data'!$G:$G,'Raw Data'!$AF:$AF)/1000,"")</f>
        <v/>
      </c>
      <c r="J207" s="118"/>
      <c r="K207" s="118" t="str">
        <f>IFERROR(_xlfn.XLOOKUP($A207,'Raw Data'!$G:$G,'Raw Data'!W:W),"")</f>
        <v/>
      </c>
      <c r="L207" s="118" t="str">
        <f>IFERROR(_xlfn.XLOOKUP($A207,'Raw Data'!$G:$G,'Raw Data'!X:X),"")</f>
        <v/>
      </c>
      <c r="M207" s="118" t="str">
        <f>IFERROR(_xlfn.XLOOKUP($A207,'Raw Data'!$G:$G,'Raw Data'!Y:Y),"")</f>
        <v/>
      </c>
      <c r="N207" s="118" t="str">
        <f>IFERROR(_xlfn.XLOOKUP($A207,'Raw Data'!$G:$G,'Raw Data'!Z:Z),"")</f>
        <v/>
      </c>
      <c r="O207" s="145" t="str">
        <f>IFERROR(1-SUMIF('Plant BD'!$B:$B,$A207,'Plant BD'!$AM:$AM)/($AA207+SUMIF('Plant BD'!$B:$B,$A207,'Plant BD'!$AM:$AM)),"")</f>
        <v/>
      </c>
      <c r="P207" s="145"/>
      <c r="Q207" s="146"/>
      <c r="R207" s="145" t="str">
        <f>IFERROR(1-SUMIF('Grid BD'!$B:$B,$A207,'Grid BD'!$AE:$AE)/($AA207+SUMIF('Grid BD'!$B:$B,$A207,'Grid BD'!$AE:$AE)),"")</f>
        <v/>
      </c>
      <c r="T207" s="146" t="str">
        <f>IFERROR(1-SUMIF(Tracker_BD!$H:$H,$A207,Tracker_BD!AI:AI)/$F207,"")</f>
        <v/>
      </c>
      <c r="U207" s="147" t="str">
        <f t="shared" si="13"/>
        <v/>
      </c>
      <c r="V207" s="147"/>
      <c r="W207" s="148" t="str">
        <f t="shared" si="14"/>
        <v/>
      </c>
      <c r="X207" s="143" t="str">
        <f>IFERROR(_xlfn.XLOOKUP($A207,'Raw Data'!$G:$G,'Raw Data'!$AB:$AB),"")</f>
        <v/>
      </c>
      <c r="Y207" s="143" t="str">
        <f>IFERROR(_xlfn.XLOOKUP($A207,'Raw Data'!$G:$G,'Raw Data'!AC:AC),"")</f>
        <v/>
      </c>
      <c r="Z207" s="143" t="str">
        <f>IFERROR(_xlfn.XLOOKUP($A207,'Raw Data'!$G:$G,'Raw Data'!AD:AD),"")</f>
        <v/>
      </c>
      <c r="AA207" s="143" t="str">
        <f>IFERROR(_xlfn.XLOOKUP($A207,'Raw Data'!$G:$G,'Raw Data'!AE:AE)*(1+(_xlfn.XLOOKUP(Table13[[#This Row],[Month Year]],JMR!$A:$A,JMR!$J:$J))),"")</f>
        <v/>
      </c>
      <c r="AB207" s="143" t="str">
        <f>IFERROR(_xlfn.XLOOKUP($A207,'Raw Data'!$G:$G,'Raw Data'!$H:$H),"")</f>
        <v/>
      </c>
      <c r="AC207" s="149">
        <f>IFERROR(_xlfn.XLOOKUP($D207,'Modelling New'!$D:$D,'Modelling New'!$P:$P),"")</f>
        <v>5.6456101129032259</v>
      </c>
      <c r="AD207" s="143">
        <f>IFERROR(_xlfn.XLOOKUP($D207,'Modelling New'!$D:$D,'Modelling New'!$T:$T)*1000,"")</f>
        <v>50360.911058047554</v>
      </c>
      <c r="AE207" s="148">
        <f>IFERROR(_xlfn.XLOOKUP($D207,'Modelling New'!$D:$D,'Modelling New'!$O:$O),"")</f>
        <v>0.76112341749431001</v>
      </c>
      <c r="AF207" s="148">
        <f>IFERROR(_xlfn.XLOOKUP($D207,'Modelling New'!$D:$D,'Modelling New'!$W:$W),"")</f>
        <v>0.17904191929055585</v>
      </c>
      <c r="AG207" s="148">
        <f>IFERROR(_xlfn.XLOOKUP($D207,'Modelling New'!$D:$D,'Modelling New'!AE:AE),"")</f>
        <v>0.995</v>
      </c>
      <c r="AH207" s="148">
        <f>IFERROR(_xlfn.XLOOKUP($D207,'Modelling New'!$D:$D,'Modelling New'!AF:AF),"")</f>
        <v>0.98550000000000004</v>
      </c>
      <c r="AN207" s="145"/>
      <c r="AO207" s="148"/>
      <c r="AP207" s="148"/>
      <c r="AQ207" s="148"/>
      <c r="AR207" s="143">
        <f>IFERROR(_xlfn.XLOOKUP($D207,'Modelling New'!$D:$D,'Modelling New'!$N:$N),"")</f>
        <v>11.72</v>
      </c>
      <c r="AT207" s="143" t="str">
        <f>IFERROR(_xlfn.XLOOKUP(Table13[[#This Row],[Date]],'Raw Data'!$G:$G,'Raw Data'!$AJ:$AJ),"")</f>
        <v/>
      </c>
      <c r="AU207" s="143">
        <f>IFERROR(_xlfn.XLOOKUP(Table13[[#This Row],[Month Year]],'Modelling New'!$D:$D,'Modelling New'!$AO:$AO),"")</f>
        <v>10</v>
      </c>
      <c r="AV207" s="143"/>
    </row>
    <row r="208" spans="1:48">
      <c r="A208" s="142">
        <f t="shared" si="15"/>
        <v>45951</v>
      </c>
      <c r="B208" s="143">
        <f>YEAR(Table13[[#This Row],[Date]])+IF(MONTH(Table13[[#This Row],[Date]])&gt;=4,1,0)</f>
        <v>2026</v>
      </c>
      <c r="C208" s="116">
        <f>YEAR(Table13[[#This Row],[Date]])</f>
        <v>2025</v>
      </c>
      <c r="D208" s="144">
        <f>Table13[[#This Row],[Date]]-DAY(Table13[[#This Row],[Date]])+1</f>
        <v>45931</v>
      </c>
      <c r="E208" s="116">
        <f t="shared" ref="E208:E249" si="16">DAY(EOMONTH(A208,0))</f>
        <v>31</v>
      </c>
      <c r="F208" s="117" t="str">
        <f>IFERROR(_xlfn.XLOOKUP($A208,'Raw Data'!$G:$G,'Raw Data'!$AH:$AH),"")</f>
        <v/>
      </c>
      <c r="G208" s="118" t="str">
        <f>IFERROR(_xlfn.XLOOKUP($A208,'Raw Data'!$G:$G,'Raw Data'!$S:$S)/1000,"")</f>
        <v/>
      </c>
      <c r="H208" s="118"/>
      <c r="I208" s="118" t="str">
        <f>IFERROR(_xlfn.XLOOKUP($A208,'Raw Data'!$G:$G,'Raw Data'!$AF:$AF)/1000,"")</f>
        <v/>
      </c>
      <c r="J208" s="118"/>
      <c r="K208" s="118" t="str">
        <f>IFERROR(_xlfn.XLOOKUP($A208,'Raw Data'!$G:$G,'Raw Data'!W:W),"")</f>
        <v/>
      </c>
      <c r="L208" s="118" t="str">
        <f>IFERROR(_xlfn.XLOOKUP($A208,'Raw Data'!$G:$G,'Raw Data'!X:X),"")</f>
        <v/>
      </c>
      <c r="M208" s="118" t="str">
        <f>IFERROR(_xlfn.XLOOKUP($A208,'Raw Data'!$G:$G,'Raw Data'!Y:Y),"")</f>
        <v/>
      </c>
      <c r="N208" s="118" t="str">
        <f>IFERROR(_xlfn.XLOOKUP($A208,'Raw Data'!$G:$G,'Raw Data'!Z:Z),"")</f>
        <v/>
      </c>
      <c r="O208" s="145" t="str">
        <f>IFERROR(1-SUMIF('Plant BD'!$B:$B,$A208,'Plant BD'!$AM:$AM)/($AA208+SUMIF('Plant BD'!$B:$B,$A208,'Plant BD'!$AM:$AM)),"")</f>
        <v/>
      </c>
      <c r="P208" s="145"/>
      <c r="Q208" s="146"/>
      <c r="R208" s="145" t="str">
        <f>IFERROR(1-SUMIF('Grid BD'!$B:$B,$A208,'Grid BD'!$AE:$AE)/($AA208+SUMIF('Grid BD'!$B:$B,$A208,'Grid BD'!$AE:$AE)),"")</f>
        <v/>
      </c>
      <c r="T208" s="146" t="str">
        <f>IFERROR(1-SUMIF(Tracker_BD!$H:$H,$A208,Tracker_BD!AI:AI)/$F208,"")</f>
        <v/>
      </c>
      <c r="U208" s="147" t="str">
        <f t="shared" si="13"/>
        <v/>
      </c>
      <c r="V208" s="147"/>
      <c r="W208" s="148" t="str">
        <f t="shared" si="14"/>
        <v/>
      </c>
      <c r="X208" s="143" t="str">
        <f>IFERROR(_xlfn.XLOOKUP($A208,'Raw Data'!$G:$G,'Raw Data'!$AB:$AB),"")</f>
        <v/>
      </c>
      <c r="Y208" s="143" t="str">
        <f>IFERROR(_xlfn.XLOOKUP($A208,'Raw Data'!$G:$G,'Raw Data'!AC:AC),"")</f>
        <v/>
      </c>
      <c r="Z208" s="143" t="str">
        <f>IFERROR(_xlfn.XLOOKUP($A208,'Raw Data'!$G:$G,'Raw Data'!AD:AD),"")</f>
        <v/>
      </c>
      <c r="AA208" s="143" t="str">
        <f>IFERROR(_xlfn.XLOOKUP($A208,'Raw Data'!$G:$G,'Raw Data'!AE:AE)*(1+(_xlfn.XLOOKUP(Table13[[#This Row],[Month Year]],JMR!$A:$A,JMR!$J:$J))),"")</f>
        <v/>
      </c>
      <c r="AB208" s="143" t="str">
        <f>IFERROR(_xlfn.XLOOKUP($A208,'Raw Data'!$G:$G,'Raw Data'!$H:$H),"")</f>
        <v/>
      </c>
      <c r="AC208" s="149">
        <f>IFERROR(_xlfn.XLOOKUP($D208,'Modelling New'!$D:$D,'Modelling New'!$P:$P),"")</f>
        <v>5.6456101129032259</v>
      </c>
      <c r="AD208" s="143">
        <f>IFERROR(_xlfn.XLOOKUP($D208,'Modelling New'!$D:$D,'Modelling New'!$T:$T)*1000,"")</f>
        <v>50360.911058047554</v>
      </c>
      <c r="AE208" s="148">
        <f>IFERROR(_xlfn.XLOOKUP($D208,'Modelling New'!$D:$D,'Modelling New'!$O:$O),"")</f>
        <v>0.76112341749431001</v>
      </c>
      <c r="AF208" s="148">
        <f>IFERROR(_xlfn.XLOOKUP($D208,'Modelling New'!$D:$D,'Modelling New'!$W:$W),"")</f>
        <v>0.17904191929055585</v>
      </c>
      <c r="AG208" s="148">
        <f>IFERROR(_xlfn.XLOOKUP($D208,'Modelling New'!$D:$D,'Modelling New'!AE:AE),"")</f>
        <v>0.995</v>
      </c>
      <c r="AH208" s="148">
        <f>IFERROR(_xlfn.XLOOKUP($D208,'Modelling New'!$D:$D,'Modelling New'!AF:AF),"")</f>
        <v>0.98550000000000004</v>
      </c>
      <c r="AN208" s="145"/>
      <c r="AO208" s="148"/>
      <c r="AP208" s="148"/>
      <c r="AQ208" s="148"/>
      <c r="AR208" s="143">
        <f>IFERROR(_xlfn.XLOOKUP($D208,'Modelling New'!$D:$D,'Modelling New'!$N:$N),"")</f>
        <v>11.72</v>
      </c>
      <c r="AT208" s="143" t="str">
        <f>IFERROR(_xlfn.XLOOKUP(Table13[[#This Row],[Date]],'Raw Data'!$G:$G,'Raw Data'!$AJ:$AJ),"")</f>
        <v/>
      </c>
      <c r="AU208" s="143">
        <f>IFERROR(_xlfn.XLOOKUP(Table13[[#This Row],[Month Year]],'Modelling New'!$D:$D,'Modelling New'!$AO:$AO),"")</f>
        <v>10</v>
      </c>
      <c r="AV208" s="143"/>
    </row>
    <row r="209" spans="1:48">
      <c r="A209" s="142">
        <f t="shared" si="15"/>
        <v>45952</v>
      </c>
      <c r="B209" s="143">
        <f>YEAR(Table13[[#This Row],[Date]])+IF(MONTH(Table13[[#This Row],[Date]])&gt;=4,1,0)</f>
        <v>2026</v>
      </c>
      <c r="C209" s="116">
        <f>YEAR(Table13[[#This Row],[Date]])</f>
        <v>2025</v>
      </c>
      <c r="D209" s="144">
        <f>Table13[[#This Row],[Date]]-DAY(Table13[[#This Row],[Date]])+1</f>
        <v>45931</v>
      </c>
      <c r="E209" s="116">
        <f t="shared" si="16"/>
        <v>31</v>
      </c>
      <c r="F209" s="117" t="str">
        <f>IFERROR(_xlfn.XLOOKUP($A209,'Raw Data'!$G:$G,'Raw Data'!$AH:$AH),"")</f>
        <v/>
      </c>
      <c r="G209" s="118" t="str">
        <f>IFERROR(_xlfn.XLOOKUP($A209,'Raw Data'!$G:$G,'Raw Data'!$S:$S)/1000,"")</f>
        <v/>
      </c>
      <c r="H209" s="118"/>
      <c r="I209" s="118" t="str">
        <f>IFERROR(_xlfn.XLOOKUP($A209,'Raw Data'!$G:$G,'Raw Data'!$AF:$AF)/1000,"")</f>
        <v/>
      </c>
      <c r="J209" s="118"/>
      <c r="K209" s="118" t="str">
        <f>IFERROR(_xlfn.XLOOKUP($A209,'Raw Data'!$G:$G,'Raw Data'!W:W),"")</f>
        <v/>
      </c>
      <c r="L209" s="118" t="str">
        <f>IFERROR(_xlfn.XLOOKUP($A209,'Raw Data'!$G:$G,'Raw Data'!X:X),"")</f>
        <v/>
      </c>
      <c r="M209" s="118" t="str">
        <f>IFERROR(_xlfn.XLOOKUP($A209,'Raw Data'!$G:$G,'Raw Data'!Y:Y),"")</f>
        <v/>
      </c>
      <c r="N209" s="118" t="str">
        <f>IFERROR(_xlfn.XLOOKUP($A209,'Raw Data'!$G:$G,'Raw Data'!Z:Z),"")</f>
        <v/>
      </c>
      <c r="O209" s="145" t="str">
        <f>IFERROR(1-SUMIF('Plant BD'!$B:$B,$A209,'Plant BD'!$AM:$AM)/($AA209+SUMIF('Plant BD'!$B:$B,$A209,'Plant BD'!$AM:$AM)),"")</f>
        <v/>
      </c>
      <c r="P209" s="145"/>
      <c r="Q209" s="146"/>
      <c r="R209" s="145" t="str">
        <f>IFERROR(1-SUMIF('Grid BD'!$B:$B,$A209,'Grid BD'!$AE:$AE)/($AA209+SUMIF('Grid BD'!$B:$B,$A209,'Grid BD'!$AE:$AE)),"")</f>
        <v/>
      </c>
      <c r="T209" s="146" t="str">
        <f>IFERROR(1-SUMIF(Tracker_BD!$H:$H,$A209,Tracker_BD!AI:AI)/$F209,"")</f>
        <v/>
      </c>
      <c r="U209" s="147" t="str">
        <f t="shared" si="13"/>
        <v/>
      </c>
      <c r="V209" s="147"/>
      <c r="W209" s="148" t="str">
        <f t="shared" si="14"/>
        <v/>
      </c>
      <c r="X209" s="143" t="str">
        <f>IFERROR(_xlfn.XLOOKUP($A209,'Raw Data'!$G:$G,'Raw Data'!$AB:$AB),"")</f>
        <v/>
      </c>
      <c r="Y209" s="143" t="str">
        <f>IFERROR(_xlfn.XLOOKUP($A209,'Raw Data'!$G:$G,'Raw Data'!AC:AC),"")</f>
        <v/>
      </c>
      <c r="Z209" s="143" t="str">
        <f>IFERROR(_xlfn.XLOOKUP($A209,'Raw Data'!$G:$G,'Raw Data'!AD:AD),"")</f>
        <v/>
      </c>
      <c r="AA209" s="143" t="str">
        <f>IFERROR(_xlfn.XLOOKUP($A209,'Raw Data'!$G:$G,'Raw Data'!AE:AE)*(1+(_xlfn.XLOOKUP(Table13[[#This Row],[Month Year]],JMR!$A:$A,JMR!$J:$J))),"")</f>
        <v/>
      </c>
      <c r="AB209" s="143" t="str">
        <f>IFERROR(_xlfn.XLOOKUP($A209,'Raw Data'!$G:$G,'Raw Data'!$H:$H),"")</f>
        <v/>
      </c>
      <c r="AC209" s="149">
        <f>IFERROR(_xlfn.XLOOKUP($D209,'Modelling New'!$D:$D,'Modelling New'!$P:$P),"")</f>
        <v>5.6456101129032259</v>
      </c>
      <c r="AD209" s="143">
        <f>IFERROR(_xlfn.XLOOKUP($D209,'Modelling New'!$D:$D,'Modelling New'!$T:$T)*1000,"")</f>
        <v>50360.911058047554</v>
      </c>
      <c r="AE209" s="148">
        <f>IFERROR(_xlfn.XLOOKUP($D209,'Modelling New'!$D:$D,'Modelling New'!$O:$O),"")</f>
        <v>0.76112341749431001</v>
      </c>
      <c r="AF209" s="148">
        <f>IFERROR(_xlfn.XLOOKUP($D209,'Modelling New'!$D:$D,'Modelling New'!$W:$W),"")</f>
        <v>0.17904191929055585</v>
      </c>
      <c r="AG209" s="148">
        <f>IFERROR(_xlfn.XLOOKUP($D209,'Modelling New'!$D:$D,'Modelling New'!AE:AE),"")</f>
        <v>0.995</v>
      </c>
      <c r="AH209" s="148">
        <f>IFERROR(_xlfn.XLOOKUP($D209,'Modelling New'!$D:$D,'Modelling New'!AF:AF),"")</f>
        <v>0.98550000000000004</v>
      </c>
      <c r="AN209" s="145"/>
      <c r="AO209" s="148"/>
      <c r="AP209" s="148"/>
      <c r="AQ209" s="148"/>
      <c r="AR209" s="143">
        <f>IFERROR(_xlfn.XLOOKUP($D209,'Modelling New'!$D:$D,'Modelling New'!$N:$N),"")</f>
        <v>11.72</v>
      </c>
      <c r="AT209" s="143" t="str">
        <f>IFERROR(_xlfn.XLOOKUP(Table13[[#This Row],[Date]],'Raw Data'!$G:$G,'Raw Data'!$AJ:$AJ),"")</f>
        <v/>
      </c>
      <c r="AU209" s="143">
        <f>IFERROR(_xlfn.XLOOKUP(Table13[[#This Row],[Month Year]],'Modelling New'!$D:$D,'Modelling New'!$AO:$AO),"")</f>
        <v>10</v>
      </c>
      <c r="AV209" s="143"/>
    </row>
    <row r="210" spans="1:48">
      <c r="A210" s="142">
        <f t="shared" si="15"/>
        <v>45953</v>
      </c>
      <c r="B210" s="143">
        <f>YEAR(Table13[[#This Row],[Date]])+IF(MONTH(Table13[[#This Row],[Date]])&gt;=4,1,0)</f>
        <v>2026</v>
      </c>
      <c r="C210" s="116">
        <f>YEAR(Table13[[#This Row],[Date]])</f>
        <v>2025</v>
      </c>
      <c r="D210" s="144">
        <f>Table13[[#This Row],[Date]]-DAY(Table13[[#This Row],[Date]])+1</f>
        <v>45931</v>
      </c>
      <c r="E210" s="116">
        <f t="shared" si="16"/>
        <v>31</v>
      </c>
      <c r="F210" s="117" t="str">
        <f>IFERROR(_xlfn.XLOOKUP($A210,'Raw Data'!$G:$G,'Raw Data'!$AH:$AH),"")</f>
        <v/>
      </c>
      <c r="G210" s="118" t="str">
        <f>IFERROR(_xlfn.XLOOKUP($A210,'Raw Data'!$G:$G,'Raw Data'!$S:$S)/1000,"")</f>
        <v/>
      </c>
      <c r="H210" s="118"/>
      <c r="I210" s="118" t="str">
        <f>IFERROR(_xlfn.XLOOKUP($A210,'Raw Data'!$G:$G,'Raw Data'!$AF:$AF)/1000,"")</f>
        <v/>
      </c>
      <c r="J210" s="118"/>
      <c r="K210" s="118" t="str">
        <f>IFERROR(_xlfn.XLOOKUP($A210,'Raw Data'!$G:$G,'Raw Data'!W:W),"")</f>
        <v/>
      </c>
      <c r="L210" s="118" t="str">
        <f>IFERROR(_xlfn.XLOOKUP($A210,'Raw Data'!$G:$G,'Raw Data'!X:X),"")</f>
        <v/>
      </c>
      <c r="M210" s="118" t="str">
        <f>IFERROR(_xlfn.XLOOKUP($A210,'Raw Data'!$G:$G,'Raw Data'!Y:Y),"")</f>
        <v/>
      </c>
      <c r="N210" s="118" t="str">
        <f>IFERROR(_xlfn.XLOOKUP($A210,'Raw Data'!$G:$G,'Raw Data'!Z:Z),"")</f>
        <v/>
      </c>
      <c r="O210" s="145" t="str">
        <f>IFERROR(1-SUMIF('Plant BD'!$B:$B,$A210,'Plant BD'!$AM:$AM)/($AA210+SUMIF('Plant BD'!$B:$B,$A210,'Plant BD'!$AM:$AM)),"")</f>
        <v/>
      </c>
      <c r="P210" s="145"/>
      <c r="Q210" s="146"/>
      <c r="R210" s="145" t="str">
        <f>IFERROR(1-SUMIF('Grid BD'!$B:$B,$A210,'Grid BD'!$AE:$AE)/($AA210+SUMIF('Grid BD'!$B:$B,$A210,'Grid BD'!$AE:$AE)),"")</f>
        <v/>
      </c>
      <c r="T210" s="146" t="str">
        <f>IFERROR(1-SUMIF(Tracker_BD!$H:$H,$A210,Tracker_BD!AI:AI)/$F210,"")</f>
        <v/>
      </c>
      <c r="U210" s="147" t="str">
        <f t="shared" si="13"/>
        <v/>
      </c>
      <c r="V210" s="147"/>
      <c r="W210" s="148" t="str">
        <f t="shared" si="14"/>
        <v/>
      </c>
      <c r="X210" s="143" t="str">
        <f>IFERROR(_xlfn.XLOOKUP($A210,'Raw Data'!$G:$G,'Raw Data'!$AB:$AB),"")</f>
        <v/>
      </c>
      <c r="Y210" s="143" t="str">
        <f>IFERROR(_xlfn.XLOOKUP($A210,'Raw Data'!$G:$G,'Raw Data'!AC:AC),"")</f>
        <v/>
      </c>
      <c r="Z210" s="143" t="str">
        <f>IFERROR(_xlfn.XLOOKUP($A210,'Raw Data'!$G:$G,'Raw Data'!AD:AD),"")</f>
        <v/>
      </c>
      <c r="AA210" s="143" t="str">
        <f>IFERROR(_xlfn.XLOOKUP($A210,'Raw Data'!$G:$G,'Raw Data'!AE:AE)*(1+(_xlfn.XLOOKUP(Table13[[#This Row],[Month Year]],JMR!$A:$A,JMR!$J:$J))),"")</f>
        <v/>
      </c>
      <c r="AB210" s="143" t="str">
        <f>IFERROR(_xlfn.XLOOKUP($A210,'Raw Data'!$G:$G,'Raw Data'!$H:$H),"")</f>
        <v/>
      </c>
      <c r="AC210" s="149">
        <f>IFERROR(_xlfn.XLOOKUP($D210,'Modelling New'!$D:$D,'Modelling New'!$P:$P),"")</f>
        <v>5.6456101129032259</v>
      </c>
      <c r="AD210" s="143">
        <f>IFERROR(_xlfn.XLOOKUP($D210,'Modelling New'!$D:$D,'Modelling New'!$T:$T)*1000,"")</f>
        <v>50360.911058047554</v>
      </c>
      <c r="AE210" s="148">
        <f>IFERROR(_xlfn.XLOOKUP($D210,'Modelling New'!$D:$D,'Modelling New'!$O:$O),"")</f>
        <v>0.76112341749431001</v>
      </c>
      <c r="AF210" s="148">
        <f>IFERROR(_xlfn.XLOOKUP($D210,'Modelling New'!$D:$D,'Modelling New'!$W:$W),"")</f>
        <v>0.17904191929055585</v>
      </c>
      <c r="AG210" s="148">
        <f>IFERROR(_xlfn.XLOOKUP($D210,'Modelling New'!$D:$D,'Modelling New'!AE:AE),"")</f>
        <v>0.995</v>
      </c>
      <c r="AH210" s="148">
        <f>IFERROR(_xlfn.XLOOKUP($D210,'Modelling New'!$D:$D,'Modelling New'!AF:AF),"")</f>
        <v>0.98550000000000004</v>
      </c>
      <c r="AN210" s="145"/>
      <c r="AO210" s="148"/>
      <c r="AP210" s="148"/>
      <c r="AQ210" s="148"/>
      <c r="AR210" s="143">
        <f>IFERROR(_xlfn.XLOOKUP($D210,'Modelling New'!$D:$D,'Modelling New'!$N:$N),"")</f>
        <v>11.72</v>
      </c>
      <c r="AT210" s="143" t="str">
        <f>IFERROR(_xlfn.XLOOKUP(Table13[[#This Row],[Date]],'Raw Data'!$G:$G,'Raw Data'!$AJ:$AJ),"")</f>
        <v/>
      </c>
      <c r="AU210" s="143">
        <f>IFERROR(_xlfn.XLOOKUP(Table13[[#This Row],[Month Year]],'Modelling New'!$D:$D,'Modelling New'!$AO:$AO),"")</f>
        <v>10</v>
      </c>
      <c r="AV210" s="143"/>
    </row>
    <row r="211" spans="1:48">
      <c r="A211" s="142">
        <f t="shared" si="15"/>
        <v>45954</v>
      </c>
      <c r="B211" s="143">
        <f>YEAR(Table13[[#This Row],[Date]])+IF(MONTH(Table13[[#This Row],[Date]])&gt;=4,1,0)</f>
        <v>2026</v>
      </c>
      <c r="C211" s="116">
        <f>YEAR(Table13[[#This Row],[Date]])</f>
        <v>2025</v>
      </c>
      <c r="D211" s="144">
        <f>Table13[[#This Row],[Date]]-DAY(Table13[[#This Row],[Date]])+1</f>
        <v>45931</v>
      </c>
      <c r="E211" s="116">
        <f t="shared" si="16"/>
        <v>31</v>
      </c>
      <c r="F211" s="117" t="str">
        <f>IFERROR(_xlfn.XLOOKUP($A211,'Raw Data'!$G:$G,'Raw Data'!$AH:$AH),"")</f>
        <v/>
      </c>
      <c r="G211" s="118" t="str">
        <f>IFERROR(_xlfn.XLOOKUP($A211,'Raw Data'!$G:$G,'Raw Data'!$S:$S)/1000,"")</f>
        <v/>
      </c>
      <c r="H211" s="118"/>
      <c r="I211" s="118" t="str">
        <f>IFERROR(_xlfn.XLOOKUP($A211,'Raw Data'!$G:$G,'Raw Data'!$AF:$AF)/1000,"")</f>
        <v/>
      </c>
      <c r="J211" s="118"/>
      <c r="K211" s="118" t="str">
        <f>IFERROR(_xlfn.XLOOKUP($A211,'Raw Data'!$G:$G,'Raw Data'!W:W),"")</f>
        <v/>
      </c>
      <c r="L211" s="118" t="str">
        <f>IFERROR(_xlfn.XLOOKUP($A211,'Raw Data'!$G:$G,'Raw Data'!X:X),"")</f>
        <v/>
      </c>
      <c r="M211" s="118" t="str">
        <f>IFERROR(_xlfn.XLOOKUP($A211,'Raw Data'!$G:$G,'Raw Data'!Y:Y),"")</f>
        <v/>
      </c>
      <c r="N211" s="118" t="str">
        <f>IFERROR(_xlfn.XLOOKUP($A211,'Raw Data'!$G:$G,'Raw Data'!Z:Z),"")</f>
        <v/>
      </c>
      <c r="O211" s="145" t="str">
        <f>IFERROR(1-SUMIF('Plant BD'!$B:$B,$A211,'Plant BD'!$AM:$AM)/($AA211+SUMIF('Plant BD'!$B:$B,$A211,'Plant BD'!$AM:$AM)),"")</f>
        <v/>
      </c>
      <c r="P211" s="145"/>
      <c r="Q211" s="146"/>
      <c r="R211" s="145" t="str">
        <f>IFERROR(1-SUMIF('Grid BD'!$B:$B,$A211,'Grid BD'!$AE:$AE)/($AA211+SUMIF('Grid BD'!$B:$B,$A211,'Grid BD'!$AE:$AE)),"")</f>
        <v/>
      </c>
      <c r="T211" s="146" t="str">
        <f>IFERROR(1-SUMIF(Tracker_BD!$H:$H,$A211,Tracker_BD!AI:AI)/$F211,"")</f>
        <v/>
      </c>
      <c r="U211" s="147" t="str">
        <f t="shared" si="13"/>
        <v/>
      </c>
      <c r="V211" s="147"/>
      <c r="W211" s="148" t="str">
        <f t="shared" si="14"/>
        <v/>
      </c>
      <c r="X211" s="143" t="str">
        <f>IFERROR(_xlfn.XLOOKUP($A211,'Raw Data'!$G:$G,'Raw Data'!$AB:$AB),"")</f>
        <v/>
      </c>
      <c r="Y211" s="143" t="str">
        <f>IFERROR(_xlfn.XLOOKUP($A211,'Raw Data'!$G:$G,'Raw Data'!AC:AC),"")</f>
        <v/>
      </c>
      <c r="Z211" s="143" t="str">
        <f>IFERROR(_xlfn.XLOOKUP($A211,'Raw Data'!$G:$G,'Raw Data'!AD:AD),"")</f>
        <v/>
      </c>
      <c r="AA211" s="143" t="str">
        <f>IFERROR(_xlfn.XLOOKUP($A211,'Raw Data'!$G:$G,'Raw Data'!AE:AE)*(1+(_xlfn.XLOOKUP(Table13[[#This Row],[Month Year]],JMR!$A:$A,JMR!$J:$J))),"")</f>
        <v/>
      </c>
      <c r="AB211" s="143" t="str">
        <f>IFERROR(_xlfn.XLOOKUP($A211,'Raw Data'!$G:$G,'Raw Data'!$H:$H),"")</f>
        <v/>
      </c>
      <c r="AC211" s="149">
        <f>IFERROR(_xlfn.XLOOKUP($D211,'Modelling New'!$D:$D,'Modelling New'!$P:$P),"")</f>
        <v>5.6456101129032259</v>
      </c>
      <c r="AD211" s="143">
        <f>IFERROR(_xlfn.XLOOKUP($D211,'Modelling New'!$D:$D,'Modelling New'!$T:$T)*1000,"")</f>
        <v>50360.911058047554</v>
      </c>
      <c r="AE211" s="148">
        <f>IFERROR(_xlfn.XLOOKUP($D211,'Modelling New'!$D:$D,'Modelling New'!$O:$O),"")</f>
        <v>0.76112341749431001</v>
      </c>
      <c r="AF211" s="148">
        <f>IFERROR(_xlfn.XLOOKUP($D211,'Modelling New'!$D:$D,'Modelling New'!$W:$W),"")</f>
        <v>0.17904191929055585</v>
      </c>
      <c r="AG211" s="148">
        <f>IFERROR(_xlfn.XLOOKUP($D211,'Modelling New'!$D:$D,'Modelling New'!AE:AE),"")</f>
        <v>0.995</v>
      </c>
      <c r="AH211" s="148">
        <f>IFERROR(_xlfn.XLOOKUP($D211,'Modelling New'!$D:$D,'Modelling New'!AF:AF),"")</f>
        <v>0.98550000000000004</v>
      </c>
      <c r="AN211" s="145"/>
      <c r="AO211" s="148"/>
      <c r="AP211" s="148"/>
      <c r="AQ211" s="148"/>
      <c r="AR211" s="143">
        <f>IFERROR(_xlfn.XLOOKUP($D211,'Modelling New'!$D:$D,'Modelling New'!$N:$N),"")</f>
        <v>11.72</v>
      </c>
      <c r="AT211" s="143" t="str">
        <f>IFERROR(_xlfn.XLOOKUP(Table13[[#This Row],[Date]],'Raw Data'!$G:$G,'Raw Data'!$AJ:$AJ),"")</f>
        <v/>
      </c>
      <c r="AU211" s="143">
        <f>IFERROR(_xlfn.XLOOKUP(Table13[[#This Row],[Month Year]],'Modelling New'!$D:$D,'Modelling New'!$AO:$AO),"")</f>
        <v>10</v>
      </c>
      <c r="AV211" s="143"/>
    </row>
    <row r="212" spans="1:48">
      <c r="A212" s="142">
        <f t="shared" si="15"/>
        <v>45955</v>
      </c>
      <c r="B212" s="143">
        <f>YEAR(Table13[[#This Row],[Date]])+IF(MONTH(Table13[[#This Row],[Date]])&gt;=4,1,0)</f>
        <v>2026</v>
      </c>
      <c r="C212" s="116">
        <f>YEAR(Table13[[#This Row],[Date]])</f>
        <v>2025</v>
      </c>
      <c r="D212" s="144">
        <f>Table13[[#This Row],[Date]]-DAY(Table13[[#This Row],[Date]])+1</f>
        <v>45931</v>
      </c>
      <c r="E212" s="116">
        <f t="shared" si="16"/>
        <v>31</v>
      </c>
      <c r="F212" s="117" t="str">
        <f>IFERROR(_xlfn.XLOOKUP($A212,'Raw Data'!$G:$G,'Raw Data'!$AH:$AH),"")</f>
        <v/>
      </c>
      <c r="G212" s="118" t="str">
        <f>IFERROR(_xlfn.XLOOKUP($A212,'Raw Data'!$G:$G,'Raw Data'!$S:$S)/1000,"")</f>
        <v/>
      </c>
      <c r="H212" s="118"/>
      <c r="I212" s="118" t="str">
        <f>IFERROR(_xlfn.XLOOKUP($A212,'Raw Data'!$G:$G,'Raw Data'!$AF:$AF)/1000,"")</f>
        <v/>
      </c>
      <c r="J212" s="118"/>
      <c r="K212" s="118" t="str">
        <f>IFERROR(_xlfn.XLOOKUP($A212,'Raw Data'!$G:$G,'Raw Data'!W:W),"")</f>
        <v/>
      </c>
      <c r="L212" s="118" t="str">
        <f>IFERROR(_xlfn.XLOOKUP($A212,'Raw Data'!$G:$G,'Raw Data'!X:X),"")</f>
        <v/>
      </c>
      <c r="M212" s="118" t="str">
        <f>IFERROR(_xlfn.XLOOKUP($A212,'Raw Data'!$G:$G,'Raw Data'!Y:Y),"")</f>
        <v/>
      </c>
      <c r="N212" s="118" t="str">
        <f>IFERROR(_xlfn.XLOOKUP($A212,'Raw Data'!$G:$G,'Raw Data'!Z:Z),"")</f>
        <v/>
      </c>
      <c r="O212" s="145" t="str">
        <f>IFERROR(1-SUMIF('Plant BD'!$B:$B,$A212,'Plant BD'!$AM:$AM)/($AA212+SUMIF('Plant BD'!$B:$B,$A212,'Plant BD'!$AM:$AM)),"")</f>
        <v/>
      </c>
      <c r="P212" s="145"/>
      <c r="Q212" s="146"/>
      <c r="R212" s="145" t="str">
        <f>IFERROR(1-SUMIF('Grid BD'!$B:$B,$A212,'Grid BD'!$AE:$AE)/($AA212+SUMIF('Grid BD'!$B:$B,$A212,'Grid BD'!$AE:$AE)),"")</f>
        <v/>
      </c>
      <c r="T212" s="146" t="str">
        <f>IFERROR(1-SUMIF(Tracker_BD!$H:$H,$A212,Tracker_BD!AI:AI)/$F212,"")</f>
        <v/>
      </c>
      <c r="U212" s="147" t="str">
        <f t="shared" si="13"/>
        <v/>
      </c>
      <c r="V212" s="147"/>
      <c r="W212" s="148" t="str">
        <f t="shared" si="14"/>
        <v/>
      </c>
      <c r="X212" s="143" t="str">
        <f>IFERROR(_xlfn.XLOOKUP($A212,'Raw Data'!$G:$G,'Raw Data'!$AB:$AB),"")</f>
        <v/>
      </c>
      <c r="Y212" s="143" t="str">
        <f>IFERROR(_xlfn.XLOOKUP($A212,'Raw Data'!$G:$G,'Raw Data'!AC:AC),"")</f>
        <v/>
      </c>
      <c r="Z212" s="143" t="str">
        <f>IFERROR(_xlfn.XLOOKUP($A212,'Raw Data'!$G:$G,'Raw Data'!AD:AD),"")</f>
        <v/>
      </c>
      <c r="AA212" s="143" t="str">
        <f>IFERROR(_xlfn.XLOOKUP($A212,'Raw Data'!$G:$G,'Raw Data'!AE:AE)*(1+(_xlfn.XLOOKUP(Table13[[#This Row],[Month Year]],JMR!$A:$A,JMR!$J:$J))),"")</f>
        <v/>
      </c>
      <c r="AB212" s="143" t="str">
        <f>IFERROR(_xlfn.XLOOKUP($A212,'Raw Data'!$G:$G,'Raw Data'!$H:$H),"")</f>
        <v/>
      </c>
      <c r="AC212" s="149">
        <f>IFERROR(_xlfn.XLOOKUP($D212,'Modelling New'!$D:$D,'Modelling New'!$P:$P),"")</f>
        <v>5.6456101129032259</v>
      </c>
      <c r="AD212" s="143">
        <f>IFERROR(_xlfn.XLOOKUP($D212,'Modelling New'!$D:$D,'Modelling New'!$T:$T)*1000,"")</f>
        <v>50360.911058047554</v>
      </c>
      <c r="AE212" s="148">
        <f>IFERROR(_xlfn.XLOOKUP($D212,'Modelling New'!$D:$D,'Modelling New'!$O:$O),"")</f>
        <v>0.76112341749431001</v>
      </c>
      <c r="AF212" s="148">
        <f>IFERROR(_xlfn.XLOOKUP($D212,'Modelling New'!$D:$D,'Modelling New'!$W:$W),"")</f>
        <v>0.17904191929055585</v>
      </c>
      <c r="AG212" s="148">
        <f>IFERROR(_xlfn.XLOOKUP($D212,'Modelling New'!$D:$D,'Modelling New'!AE:AE),"")</f>
        <v>0.995</v>
      </c>
      <c r="AH212" s="148">
        <f>IFERROR(_xlfn.XLOOKUP($D212,'Modelling New'!$D:$D,'Modelling New'!AF:AF),"")</f>
        <v>0.98550000000000004</v>
      </c>
      <c r="AN212" s="145"/>
      <c r="AO212" s="148"/>
      <c r="AP212" s="148"/>
      <c r="AQ212" s="148"/>
      <c r="AR212" s="143">
        <f>IFERROR(_xlfn.XLOOKUP($D212,'Modelling New'!$D:$D,'Modelling New'!$N:$N),"")</f>
        <v>11.72</v>
      </c>
      <c r="AT212" s="143" t="str">
        <f>IFERROR(_xlfn.XLOOKUP(Table13[[#This Row],[Date]],'Raw Data'!$G:$G,'Raw Data'!$AJ:$AJ),"")</f>
        <v/>
      </c>
      <c r="AU212" s="143">
        <f>IFERROR(_xlfn.XLOOKUP(Table13[[#This Row],[Month Year]],'Modelling New'!$D:$D,'Modelling New'!$AO:$AO),"")</f>
        <v>10</v>
      </c>
      <c r="AV212" s="143"/>
    </row>
    <row r="213" spans="1:48">
      <c r="A213" s="142">
        <f t="shared" si="15"/>
        <v>45956</v>
      </c>
      <c r="B213" s="143">
        <f>YEAR(Table13[[#This Row],[Date]])+IF(MONTH(Table13[[#This Row],[Date]])&gt;=4,1,0)</f>
        <v>2026</v>
      </c>
      <c r="C213" s="116">
        <f>YEAR(Table13[[#This Row],[Date]])</f>
        <v>2025</v>
      </c>
      <c r="D213" s="144">
        <f>Table13[[#This Row],[Date]]-DAY(Table13[[#This Row],[Date]])+1</f>
        <v>45931</v>
      </c>
      <c r="E213" s="116">
        <f t="shared" si="16"/>
        <v>31</v>
      </c>
      <c r="F213" s="117" t="str">
        <f>IFERROR(_xlfn.XLOOKUP($A213,'Raw Data'!$G:$G,'Raw Data'!$AH:$AH),"")</f>
        <v/>
      </c>
      <c r="G213" s="118" t="str">
        <f>IFERROR(_xlfn.XLOOKUP($A213,'Raw Data'!$G:$G,'Raw Data'!$S:$S)/1000,"")</f>
        <v/>
      </c>
      <c r="H213" s="118"/>
      <c r="I213" s="118" t="str">
        <f>IFERROR(_xlfn.XLOOKUP($A213,'Raw Data'!$G:$G,'Raw Data'!$AF:$AF)/1000,"")</f>
        <v/>
      </c>
      <c r="J213" s="118"/>
      <c r="K213" s="118" t="str">
        <f>IFERROR(_xlfn.XLOOKUP($A213,'Raw Data'!$G:$G,'Raw Data'!W:W),"")</f>
        <v/>
      </c>
      <c r="L213" s="118" t="str">
        <f>IFERROR(_xlfn.XLOOKUP($A213,'Raw Data'!$G:$G,'Raw Data'!X:X),"")</f>
        <v/>
      </c>
      <c r="M213" s="118" t="str">
        <f>IFERROR(_xlfn.XLOOKUP($A213,'Raw Data'!$G:$G,'Raw Data'!Y:Y),"")</f>
        <v/>
      </c>
      <c r="N213" s="118" t="str">
        <f>IFERROR(_xlfn.XLOOKUP($A213,'Raw Data'!$G:$G,'Raw Data'!Z:Z),"")</f>
        <v/>
      </c>
      <c r="O213" s="145" t="str">
        <f>IFERROR(1-SUMIF('Plant BD'!$B:$B,$A213,'Plant BD'!$AM:$AM)/($AA213+SUMIF('Plant BD'!$B:$B,$A213,'Plant BD'!$AM:$AM)),"")</f>
        <v/>
      </c>
      <c r="P213" s="145"/>
      <c r="Q213" s="146"/>
      <c r="R213" s="145" t="str">
        <f>IFERROR(1-SUMIF('Grid BD'!$B:$B,$A213,'Grid BD'!$AE:$AE)/($AA213+SUMIF('Grid BD'!$B:$B,$A213,'Grid BD'!$AE:$AE)),"")</f>
        <v/>
      </c>
      <c r="T213" s="146" t="str">
        <f>IFERROR(1-SUMIF(Tracker_BD!$H:$H,$A213,Tracker_BD!AI:AI)/$F213,"")</f>
        <v/>
      </c>
      <c r="U213" s="147" t="str">
        <f t="shared" si="13"/>
        <v/>
      </c>
      <c r="V213" s="147"/>
      <c r="W213" s="148" t="str">
        <f t="shared" si="14"/>
        <v/>
      </c>
      <c r="X213" s="143" t="str">
        <f>IFERROR(_xlfn.XLOOKUP($A213,'Raw Data'!$G:$G,'Raw Data'!$AB:$AB),"")</f>
        <v/>
      </c>
      <c r="Y213" s="143" t="str">
        <f>IFERROR(_xlfn.XLOOKUP($A213,'Raw Data'!$G:$G,'Raw Data'!AC:AC),"")</f>
        <v/>
      </c>
      <c r="Z213" s="143" t="str">
        <f>IFERROR(_xlfn.XLOOKUP($A213,'Raw Data'!$G:$G,'Raw Data'!AD:AD),"")</f>
        <v/>
      </c>
      <c r="AA213" s="143" t="str">
        <f>IFERROR(_xlfn.XLOOKUP($A213,'Raw Data'!$G:$G,'Raw Data'!AE:AE)*(1+(_xlfn.XLOOKUP(Table13[[#This Row],[Month Year]],JMR!$A:$A,JMR!$J:$J))),"")</f>
        <v/>
      </c>
      <c r="AB213" s="143" t="str">
        <f>IFERROR(_xlfn.XLOOKUP($A213,'Raw Data'!$G:$G,'Raw Data'!$H:$H),"")</f>
        <v/>
      </c>
      <c r="AC213" s="149">
        <f>IFERROR(_xlfn.XLOOKUP($D213,'Modelling New'!$D:$D,'Modelling New'!$P:$P),"")</f>
        <v>5.6456101129032259</v>
      </c>
      <c r="AD213" s="143">
        <f>IFERROR(_xlfn.XLOOKUP($D213,'Modelling New'!$D:$D,'Modelling New'!$T:$T)*1000,"")</f>
        <v>50360.911058047554</v>
      </c>
      <c r="AE213" s="148">
        <f>IFERROR(_xlfn.XLOOKUP($D213,'Modelling New'!$D:$D,'Modelling New'!$O:$O),"")</f>
        <v>0.76112341749431001</v>
      </c>
      <c r="AF213" s="148">
        <f>IFERROR(_xlfn.XLOOKUP($D213,'Modelling New'!$D:$D,'Modelling New'!$W:$W),"")</f>
        <v>0.17904191929055585</v>
      </c>
      <c r="AG213" s="148">
        <f>IFERROR(_xlfn.XLOOKUP($D213,'Modelling New'!$D:$D,'Modelling New'!AE:AE),"")</f>
        <v>0.995</v>
      </c>
      <c r="AH213" s="148">
        <f>IFERROR(_xlfn.XLOOKUP($D213,'Modelling New'!$D:$D,'Modelling New'!AF:AF),"")</f>
        <v>0.98550000000000004</v>
      </c>
      <c r="AN213" s="145"/>
      <c r="AO213" s="148"/>
      <c r="AP213" s="148"/>
      <c r="AQ213" s="148"/>
      <c r="AR213" s="143">
        <f>IFERROR(_xlfn.XLOOKUP($D213,'Modelling New'!$D:$D,'Modelling New'!$N:$N),"")</f>
        <v>11.72</v>
      </c>
      <c r="AT213" s="143" t="str">
        <f>IFERROR(_xlfn.XLOOKUP(Table13[[#This Row],[Date]],'Raw Data'!$G:$G,'Raw Data'!$AJ:$AJ),"")</f>
        <v/>
      </c>
      <c r="AU213" s="143">
        <f>IFERROR(_xlfn.XLOOKUP(Table13[[#This Row],[Month Year]],'Modelling New'!$D:$D,'Modelling New'!$AO:$AO),"")</f>
        <v>10</v>
      </c>
      <c r="AV213" s="143"/>
    </row>
    <row r="214" spans="1:48">
      <c r="A214" s="142">
        <f t="shared" si="15"/>
        <v>45957</v>
      </c>
      <c r="B214" s="143">
        <f>YEAR(Table13[[#This Row],[Date]])+IF(MONTH(Table13[[#This Row],[Date]])&gt;=4,1,0)</f>
        <v>2026</v>
      </c>
      <c r="C214" s="116">
        <f>YEAR(Table13[[#This Row],[Date]])</f>
        <v>2025</v>
      </c>
      <c r="D214" s="144">
        <f>Table13[[#This Row],[Date]]-DAY(Table13[[#This Row],[Date]])+1</f>
        <v>45931</v>
      </c>
      <c r="E214" s="116">
        <f t="shared" si="16"/>
        <v>31</v>
      </c>
      <c r="F214" s="117" t="str">
        <f>IFERROR(_xlfn.XLOOKUP($A214,'Raw Data'!$G:$G,'Raw Data'!$AH:$AH),"")</f>
        <v/>
      </c>
      <c r="G214" s="118" t="str">
        <f>IFERROR(_xlfn.XLOOKUP($A214,'Raw Data'!$G:$G,'Raw Data'!$S:$S)/1000,"")</f>
        <v/>
      </c>
      <c r="H214" s="118"/>
      <c r="I214" s="118" t="str">
        <f>IFERROR(_xlfn.XLOOKUP($A214,'Raw Data'!$G:$G,'Raw Data'!$AF:$AF)/1000,"")</f>
        <v/>
      </c>
      <c r="J214" s="118"/>
      <c r="K214" s="118" t="str">
        <f>IFERROR(_xlfn.XLOOKUP($A214,'Raw Data'!$G:$G,'Raw Data'!W:W),"")</f>
        <v/>
      </c>
      <c r="L214" s="118" t="str">
        <f>IFERROR(_xlfn.XLOOKUP($A214,'Raw Data'!$G:$G,'Raw Data'!X:X),"")</f>
        <v/>
      </c>
      <c r="M214" s="118" t="str">
        <f>IFERROR(_xlfn.XLOOKUP($A214,'Raw Data'!$G:$G,'Raw Data'!Y:Y),"")</f>
        <v/>
      </c>
      <c r="N214" s="118" t="str">
        <f>IFERROR(_xlfn.XLOOKUP($A214,'Raw Data'!$G:$G,'Raw Data'!Z:Z),"")</f>
        <v/>
      </c>
      <c r="O214" s="145" t="str">
        <f>IFERROR(1-SUMIF('Plant BD'!$B:$B,$A214,'Plant BD'!$AM:$AM)/($AA214+SUMIF('Plant BD'!$B:$B,$A214,'Plant BD'!$AM:$AM)),"")</f>
        <v/>
      </c>
      <c r="P214" s="145"/>
      <c r="Q214" s="146"/>
      <c r="R214" s="145" t="str">
        <f>IFERROR(1-SUMIF('Grid BD'!$B:$B,$A214,'Grid BD'!$AE:$AE)/($AA214+SUMIF('Grid BD'!$B:$B,$A214,'Grid BD'!$AE:$AE)),"")</f>
        <v/>
      </c>
      <c r="T214" s="146" t="str">
        <f>IFERROR(1-SUMIF(Tracker_BD!$H:$H,$A214,Tracker_BD!AI:AI)/$F214,"")</f>
        <v/>
      </c>
      <c r="U214" s="147" t="str">
        <f t="shared" si="13"/>
        <v/>
      </c>
      <c r="V214" s="147"/>
      <c r="W214" s="148" t="str">
        <f t="shared" si="14"/>
        <v/>
      </c>
      <c r="X214" s="143" t="str">
        <f>IFERROR(_xlfn.XLOOKUP($A214,'Raw Data'!$G:$G,'Raw Data'!$AB:$AB),"")</f>
        <v/>
      </c>
      <c r="Y214" s="143" t="str">
        <f>IFERROR(_xlfn.XLOOKUP($A214,'Raw Data'!$G:$G,'Raw Data'!AC:AC),"")</f>
        <v/>
      </c>
      <c r="Z214" s="143" t="str">
        <f>IFERROR(_xlfn.XLOOKUP($A214,'Raw Data'!$G:$G,'Raw Data'!AD:AD),"")</f>
        <v/>
      </c>
      <c r="AA214" s="143" t="str">
        <f>IFERROR(_xlfn.XLOOKUP($A214,'Raw Data'!$G:$G,'Raw Data'!AE:AE)*(1+(_xlfn.XLOOKUP(Table13[[#This Row],[Month Year]],JMR!$A:$A,JMR!$J:$J))),"")</f>
        <v/>
      </c>
      <c r="AB214" s="143" t="str">
        <f>IFERROR(_xlfn.XLOOKUP($A214,'Raw Data'!$G:$G,'Raw Data'!$H:$H),"")</f>
        <v/>
      </c>
      <c r="AC214" s="149">
        <f>IFERROR(_xlfn.XLOOKUP($D214,'Modelling New'!$D:$D,'Modelling New'!$P:$P),"")</f>
        <v>5.6456101129032259</v>
      </c>
      <c r="AD214" s="143">
        <f>IFERROR(_xlfn.XLOOKUP($D214,'Modelling New'!$D:$D,'Modelling New'!$T:$T)*1000,"")</f>
        <v>50360.911058047554</v>
      </c>
      <c r="AE214" s="148">
        <f>IFERROR(_xlfn.XLOOKUP($D214,'Modelling New'!$D:$D,'Modelling New'!$O:$O),"")</f>
        <v>0.76112341749431001</v>
      </c>
      <c r="AF214" s="148">
        <f>IFERROR(_xlfn.XLOOKUP($D214,'Modelling New'!$D:$D,'Modelling New'!$W:$W),"")</f>
        <v>0.17904191929055585</v>
      </c>
      <c r="AG214" s="148">
        <f>IFERROR(_xlfn.XLOOKUP($D214,'Modelling New'!$D:$D,'Modelling New'!AE:AE),"")</f>
        <v>0.995</v>
      </c>
      <c r="AH214" s="148">
        <f>IFERROR(_xlfn.XLOOKUP($D214,'Modelling New'!$D:$D,'Modelling New'!AF:AF),"")</f>
        <v>0.98550000000000004</v>
      </c>
      <c r="AN214" s="145"/>
      <c r="AO214" s="148"/>
      <c r="AP214" s="148"/>
      <c r="AQ214" s="148"/>
      <c r="AR214" s="143">
        <f>IFERROR(_xlfn.XLOOKUP($D214,'Modelling New'!$D:$D,'Modelling New'!$N:$N),"")</f>
        <v>11.72</v>
      </c>
      <c r="AT214" s="143" t="str">
        <f>IFERROR(_xlfn.XLOOKUP(Table13[[#This Row],[Date]],'Raw Data'!$G:$G,'Raw Data'!$AJ:$AJ),"")</f>
        <v/>
      </c>
      <c r="AU214" s="143">
        <f>IFERROR(_xlfn.XLOOKUP(Table13[[#This Row],[Month Year]],'Modelling New'!$D:$D,'Modelling New'!$AO:$AO),"")</f>
        <v>10</v>
      </c>
      <c r="AV214" s="143"/>
    </row>
    <row r="215" spans="1:48">
      <c r="A215" s="142">
        <f t="shared" si="15"/>
        <v>45958</v>
      </c>
      <c r="B215" s="143">
        <f>YEAR(Table13[[#This Row],[Date]])+IF(MONTH(Table13[[#This Row],[Date]])&gt;=4,1,0)</f>
        <v>2026</v>
      </c>
      <c r="C215" s="116">
        <f>YEAR(Table13[[#This Row],[Date]])</f>
        <v>2025</v>
      </c>
      <c r="D215" s="144">
        <f>Table13[[#This Row],[Date]]-DAY(Table13[[#This Row],[Date]])+1</f>
        <v>45931</v>
      </c>
      <c r="E215" s="116">
        <f t="shared" si="16"/>
        <v>31</v>
      </c>
      <c r="F215" s="117" t="str">
        <f>IFERROR(_xlfn.XLOOKUP($A215,'Raw Data'!$G:$G,'Raw Data'!$AH:$AH),"")</f>
        <v/>
      </c>
      <c r="G215" s="118" t="str">
        <f>IFERROR(_xlfn.XLOOKUP($A215,'Raw Data'!$G:$G,'Raw Data'!$S:$S)/1000,"")</f>
        <v/>
      </c>
      <c r="H215" s="118"/>
      <c r="I215" s="118" t="str">
        <f>IFERROR(_xlfn.XLOOKUP($A215,'Raw Data'!$G:$G,'Raw Data'!$AF:$AF)/1000,"")</f>
        <v/>
      </c>
      <c r="J215" s="118"/>
      <c r="K215" s="118" t="str">
        <f>IFERROR(_xlfn.XLOOKUP($A215,'Raw Data'!$G:$G,'Raw Data'!W:W),"")</f>
        <v/>
      </c>
      <c r="L215" s="118" t="str">
        <f>IFERROR(_xlfn.XLOOKUP($A215,'Raw Data'!$G:$G,'Raw Data'!X:X),"")</f>
        <v/>
      </c>
      <c r="M215" s="118" t="str">
        <f>IFERROR(_xlfn.XLOOKUP($A215,'Raw Data'!$G:$G,'Raw Data'!Y:Y),"")</f>
        <v/>
      </c>
      <c r="N215" s="118" t="str">
        <f>IFERROR(_xlfn.XLOOKUP($A215,'Raw Data'!$G:$G,'Raw Data'!Z:Z),"")</f>
        <v/>
      </c>
      <c r="O215" s="145" t="str">
        <f>IFERROR(1-SUMIF('Plant BD'!$B:$B,$A215,'Plant BD'!$AM:$AM)/($AA215+SUMIF('Plant BD'!$B:$B,$A215,'Plant BD'!$AM:$AM)),"")</f>
        <v/>
      </c>
      <c r="P215" s="145"/>
      <c r="Q215" s="146"/>
      <c r="R215" s="145" t="str">
        <f>IFERROR(1-SUMIF('Grid BD'!$B:$B,$A215,'Grid BD'!$AE:$AE)/($AA215+SUMIF('Grid BD'!$B:$B,$A215,'Grid BD'!$AE:$AE)),"")</f>
        <v/>
      </c>
      <c r="T215" s="146" t="str">
        <f>IFERROR(1-SUMIF(Tracker_BD!$H:$H,$A215,Tracker_BD!AI:AI)/$F215,"")</f>
        <v/>
      </c>
      <c r="U215" s="147" t="str">
        <f t="shared" si="13"/>
        <v/>
      </c>
      <c r="V215" s="147"/>
      <c r="W215" s="148" t="str">
        <f t="shared" si="14"/>
        <v/>
      </c>
      <c r="X215" s="143" t="str">
        <f>IFERROR(_xlfn.XLOOKUP($A215,'Raw Data'!$G:$G,'Raw Data'!$AB:$AB),"")</f>
        <v/>
      </c>
      <c r="Y215" s="143" t="str">
        <f>IFERROR(_xlfn.XLOOKUP($A215,'Raw Data'!$G:$G,'Raw Data'!AC:AC),"")</f>
        <v/>
      </c>
      <c r="Z215" s="143" t="str">
        <f>IFERROR(_xlfn.XLOOKUP($A215,'Raw Data'!$G:$G,'Raw Data'!AD:AD),"")</f>
        <v/>
      </c>
      <c r="AA215" s="143" t="str">
        <f>IFERROR(_xlfn.XLOOKUP($A215,'Raw Data'!$G:$G,'Raw Data'!AE:AE)*(1+(_xlfn.XLOOKUP(Table13[[#This Row],[Month Year]],JMR!$A:$A,JMR!$J:$J))),"")</f>
        <v/>
      </c>
      <c r="AB215" s="143" t="str">
        <f>IFERROR(_xlfn.XLOOKUP($A215,'Raw Data'!$G:$G,'Raw Data'!$H:$H),"")</f>
        <v/>
      </c>
      <c r="AC215" s="149">
        <f>IFERROR(_xlfn.XLOOKUP($D215,'Modelling New'!$D:$D,'Modelling New'!$P:$P),"")</f>
        <v>5.6456101129032259</v>
      </c>
      <c r="AD215" s="143">
        <f>IFERROR(_xlfn.XLOOKUP($D215,'Modelling New'!$D:$D,'Modelling New'!$T:$T)*1000,"")</f>
        <v>50360.911058047554</v>
      </c>
      <c r="AE215" s="148">
        <f>IFERROR(_xlfn.XLOOKUP($D215,'Modelling New'!$D:$D,'Modelling New'!$O:$O),"")</f>
        <v>0.76112341749431001</v>
      </c>
      <c r="AF215" s="148">
        <f>IFERROR(_xlfn.XLOOKUP($D215,'Modelling New'!$D:$D,'Modelling New'!$W:$W),"")</f>
        <v>0.17904191929055585</v>
      </c>
      <c r="AG215" s="148">
        <f>IFERROR(_xlfn.XLOOKUP($D215,'Modelling New'!$D:$D,'Modelling New'!AE:AE),"")</f>
        <v>0.995</v>
      </c>
      <c r="AH215" s="148">
        <f>IFERROR(_xlfn.XLOOKUP($D215,'Modelling New'!$D:$D,'Modelling New'!AF:AF),"")</f>
        <v>0.98550000000000004</v>
      </c>
      <c r="AN215" s="145"/>
      <c r="AO215" s="148"/>
      <c r="AP215" s="148"/>
      <c r="AQ215" s="148"/>
      <c r="AR215" s="143">
        <f>IFERROR(_xlfn.XLOOKUP($D215,'Modelling New'!$D:$D,'Modelling New'!$N:$N),"")</f>
        <v>11.72</v>
      </c>
      <c r="AT215" s="143" t="str">
        <f>IFERROR(_xlfn.XLOOKUP(Table13[[#This Row],[Date]],'Raw Data'!$G:$G,'Raw Data'!$AJ:$AJ),"")</f>
        <v/>
      </c>
      <c r="AU215" s="143">
        <f>IFERROR(_xlfn.XLOOKUP(Table13[[#This Row],[Month Year]],'Modelling New'!$D:$D,'Modelling New'!$AO:$AO),"")</f>
        <v>10</v>
      </c>
      <c r="AV215" s="143"/>
    </row>
    <row r="216" spans="1:48">
      <c r="A216" s="142">
        <f t="shared" si="15"/>
        <v>45959</v>
      </c>
      <c r="B216" s="143">
        <f>YEAR(Table13[[#This Row],[Date]])+IF(MONTH(Table13[[#This Row],[Date]])&gt;=4,1,0)</f>
        <v>2026</v>
      </c>
      <c r="C216" s="116">
        <f>YEAR(Table13[[#This Row],[Date]])</f>
        <v>2025</v>
      </c>
      <c r="D216" s="144">
        <f>Table13[[#This Row],[Date]]-DAY(Table13[[#This Row],[Date]])+1</f>
        <v>45931</v>
      </c>
      <c r="E216" s="116">
        <f t="shared" si="16"/>
        <v>31</v>
      </c>
      <c r="F216" s="117" t="str">
        <f>IFERROR(_xlfn.XLOOKUP($A216,'Raw Data'!$G:$G,'Raw Data'!$AH:$AH),"")</f>
        <v/>
      </c>
      <c r="G216" s="118" t="str">
        <f>IFERROR(_xlfn.XLOOKUP($A216,'Raw Data'!$G:$G,'Raw Data'!$S:$S)/1000,"")</f>
        <v/>
      </c>
      <c r="H216" s="118"/>
      <c r="I216" s="118" t="str">
        <f>IFERROR(_xlfn.XLOOKUP($A216,'Raw Data'!$G:$G,'Raw Data'!$AF:$AF)/1000,"")</f>
        <v/>
      </c>
      <c r="J216" s="118"/>
      <c r="K216" s="118" t="str">
        <f>IFERROR(_xlfn.XLOOKUP($A216,'Raw Data'!$G:$G,'Raw Data'!W:W),"")</f>
        <v/>
      </c>
      <c r="L216" s="118" t="str">
        <f>IFERROR(_xlfn.XLOOKUP($A216,'Raw Data'!$G:$G,'Raw Data'!X:X),"")</f>
        <v/>
      </c>
      <c r="M216" s="118" t="str">
        <f>IFERROR(_xlfn.XLOOKUP($A216,'Raw Data'!$G:$G,'Raw Data'!Y:Y),"")</f>
        <v/>
      </c>
      <c r="N216" s="118" t="str">
        <f>IFERROR(_xlfn.XLOOKUP($A216,'Raw Data'!$G:$G,'Raw Data'!Z:Z),"")</f>
        <v/>
      </c>
      <c r="O216" s="145" t="str">
        <f>IFERROR(1-SUMIF('Plant BD'!$B:$B,$A216,'Plant BD'!$AM:$AM)/($AA216+SUMIF('Plant BD'!$B:$B,$A216,'Plant BD'!$AM:$AM)),"")</f>
        <v/>
      </c>
      <c r="P216" s="145"/>
      <c r="Q216" s="146"/>
      <c r="R216" s="145" t="str">
        <f>IFERROR(1-SUMIF('Grid BD'!$B:$B,$A216,'Grid BD'!$AE:$AE)/($AA216+SUMIF('Grid BD'!$B:$B,$A216,'Grid BD'!$AE:$AE)),"")</f>
        <v/>
      </c>
      <c r="T216" s="146" t="str">
        <f>IFERROR(1-SUMIF(Tracker_BD!$H:$H,$A216,Tracker_BD!AI:AI)/$F216,"")</f>
        <v/>
      </c>
      <c r="U216" s="147" t="str">
        <f t="shared" si="13"/>
        <v/>
      </c>
      <c r="V216" s="147"/>
      <c r="W216" s="148" t="str">
        <f t="shared" si="14"/>
        <v/>
      </c>
      <c r="X216" s="143" t="str">
        <f>IFERROR(_xlfn.XLOOKUP($A216,'Raw Data'!$G:$G,'Raw Data'!$AB:$AB),"")</f>
        <v/>
      </c>
      <c r="Y216" s="143" t="str">
        <f>IFERROR(_xlfn.XLOOKUP($A216,'Raw Data'!$G:$G,'Raw Data'!AC:AC),"")</f>
        <v/>
      </c>
      <c r="Z216" s="143" t="str">
        <f>IFERROR(_xlfn.XLOOKUP($A216,'Raw Data'!$G:$G,'Raw Data'!AD:AD),"")</f>
        <v/>
      </c>
      <c r="AA216" s="143" t="str">
        <f>IFERROR(_xlfn.XLOOKUP($A216,'Raw Data'!$G:$G,'Raw Data'!AE:AE)*(1+(_xlfn.XLOOKUP(Table13[[#This Row],[Month Year]],JMR!$A:$A,JMR!$J:$J))),"")</f>
        <v/>
      </c>
      <c r="AB216" s="143" t="str">
        <f>IFERROR(_xlfn.XLOOKUP($A216,'Raw Data'!$G:$G,'Raw Data'!$H:$H),"")</f>
        <v/>
      </c>
      <c r="AC216" s="149">
        <f>IFERROR(_xlfn.XLOOKUP($D216,'Modelling New'!$D:$D,'Modelling New'!$P:$P),"")</f>
        <v>5.6456101129032259</v>
      </c>
      <c r="AD216" s="143">
        <f>IFERROR(_xlfn.XLOOKUP($D216,'Modelling New'!$D:$D,'Modelling New'!$T:$T)*1000,"")</f>
        <v>50360.911058047554</v>
      </c>
      <c r="AE216" s="148">
        <f>IFERROR(_xlfn.XLOOKUP($D216,'Modelling New'!$D:$D,'Modelling New'!$O:$O),"")</f>
        <v>0.76112341749431001</v>
      </c>
      <c r="AF216" s="148">
        <f>IFERROR(_xlfn.XLOOKUP($D216,'Modelling New'!$D:$D,'Modelling New'!$W:$W),"")</f>
        <v>0.17904191929055585</v>
      </c>
      <c r="AG216" s="148">
        <f>IFERROR(_xlfn.XLOOKUP($D216,'Modelling New'!$D:$D,'Modelling New'!AE:AE),"")</f>
        <v>0.995</v>
      </c>
      <c r="AH216" s="148">
        <f>IFERROR(_xlfn.XLOOKUP($D216,'Modelling New'!$D:$D,'Modelling New'!AF:AF),"")</f>
        <v>0.98550000000000004</v>
      </c>
      <c r="AN216" s="145"/>
      <c r="AO216" s="148"/>
      <c r="AP216" s="148"/>
      <c r="AQ216" s="148"/>
      <c r="AR216" s="143">
        <f>IFERROR(_xlfn.XLOOKUP($D216,'Modelling New'!$D:$D,'Modelling New'!$N:$N),"")</f>
        <v>11.72</v>
      </c>
      <c r="AT216" s="143" t="str">
        <f>IFERROR(_xlfn.XLOOKUP(Table13[[#This Row],[Date]],'Raw Data'!$G:$G,'Raw Data'!$AJ:$AJ),"")</f>
        <v/>
      </c>
      <c r="AU216" s="143">
        <f>IFERROR(_xlfn.XLOOKUP(Table13[[#This Row],[Month Year]],'Modelling New'!$D:$D,'Modelling New'!$AO:$AO),"")</f>
        <v>10</v>
      </c>
      <c r="AV216" s="143"/>
    </row>
    <row r="217" spans="1:48">
      <c r="A217" s="142">
        <f t="shared" si="15"/>
        <v>45960</v>
      </c>
      <c r="B217" s="143">
        <f>YEAR(Table13[[#This Row],[Date]])+IF(MONTH(Table13[[#This Row],[Date]])&gt;=4,1,0)</f>
        <v>2026</v>
      </c>
      <c r="C217" s="116">
        <f>YEAR(Table13[[#This Row],[Date]])</f>
        <v>2025</v>
      </c>
      <c r="D217" s="144">
        <f>Table13[[#This Row],[Date]]-DAY(Table13[[#This Row],[Date]])+1</f>
        <v>45931</v>
      </c>
      <c r="E217" s="116">
        <f t="shared" si="16"/>
        <v>31</v>
      </c>
      <c r="F217" s="117" t="str">
        <f>IFERROR(_xlfn.XLOOKUP($A217,'Raw Data'!$G:$G,'Raw Data'!$AH:$AH),"")</f>
        <v/>
      </c>
      <c r="G217" s="118" t="str">
        <f>IFERROR(_xlfn.XLOOKUP($A217,'Raw Data'!$G:$G,'Raw Data'!$S:$S)/1000,"")</f>
        <v/>
      </c>
      <c r="H217" s="118"/>
      <c r="I217" s="118" t="str">
        <f>IFERROR(_xlfn.XLOOKUP($A217,'Raw Data'!$G:$G,'Raw Data'!$AF:$AF)/1000,"")</f>
        <v/>
      </c>
      <c r="J217" s="118"/>
      <c r="K217" s="118" t="str">
        <f>IFERROR(_xlfn.XLOOKUP($A217,'Raw Data'!$G:$G,'Raw Data'!W:W),"")</f>
        <v/>
      </c>
      <c r="L217" s="118" t="str">
        <f>IFERROR(_xlfn.XLOOKUP($A217,'Raw Data'!$G:$G,'Raw Data'!X:X),"")</f>
        <v/>
      </c>
      <c r="M217" s="118" t="str">
        <f>IFERROR(_xlfn.XLOOKUP($A217,'Raw Data'!$G:$G,'Raw Data'!Y:Y),"")</f>
        <v/>
      </c>
      <c r="N217" s="118" t="str">
        <f>IFERROR(_xlfn.XLOOKUP($A217,'Raw Data'!$G:$G,'Raw Data'!Z:Z),"")</f>
        <v/>
      </c>
      <c r="O217" s="145" t="str">
        <f>IFERROR(1-SUMIF('Plant BD'!$B:$B,$A217,'Plant BD'!$AM:$AM)/($AA217+SUMIF('Plant BD'!$B:$B,$A217,'Plant BD'!$AM:$AM)),"")</f>
        <v/>
      </c>
      <c r="P217" s="145"/>
      <c r="Q217" s="146"/>
      <c r="R217" s="145" t="str">
        <f>IFERROR(1-SUMIF('Grid BD'!$B:$B,$A217,'Grid BD'!$AE:$AE)/($AA217+SUMIF('Grid BD'!$B:$B,$A217,'Grid BD'!$AE:$AE)),"")</f>
        <v/>
      </c>
      <c r="T217" s="146" t="str">
        <f>IFERROR(1-SUMIF(Tracker_BD!$H:$H,$A217,Tracker_BD!AI:AI)/$F217,"")</f>
        <v/>
      </c>
      <c r="U217" s="147" t="str">
        <f t="shared" si="13"/>
        <v/>
      </c>
      <c r="V217" s="147"/>
      <c r="W217" s="148" t="str">
        <f t="shared" si="14"/>
        <v/>
      </c>
      <c r="X217" s="143" t="str">
        <f>IFERROR(_xlfn.XLOOKUP($A217,'Raw Data'!$G:$G,'Raw Data'!$AB:$AB),"")</f>
        <v/>
      </c>
      <c r="Y217" s="143" t="str">
        <f>IFERROR(_xlfn.XLOOKUP($A217,'Raw Data'!$G:$G,'Raw Data'!AC:AC),"")</f>
        <v/>
      </c>
      <c r="Z217" s="143" t="str">
        <f>IFERROR(_xlfn.XLOOKUP($A217,'Raw Data'!$G:$G,'Raw Data'!AD:AD),"")</f>
        <v/>
      </c>
      <c r="AA217" s="143" t="str">
        <f>IFERROR(_xlfn.XLOOKUP($A217,'Raw Data'!$G:$G,'Raw Data'!AE:AE)*(1+(_xlfn.XLOOKUP(Table13[[#This Row],[Month Year]],JMR!$A:$A,JMR!$J:$J))),"")</f>
        <v/>
      </c>
      <c r="AB217" s="143" t="str">
        <f>IFERROR(_xlfn.XLOOKUP($A217,'Raw Data'!$G:$G,'Raw Data'!$H:$H),"")</f>
        <v/>
      </c>
      <c r="AC217" s="149">
        <f>IFERROR(_xlfn.XLOOKUP($D217,'Modelling New'!$D:$D,'Modelling New'!$P:$P),"")</f>
        <v>5.6456101129032259</v>
      </c>
      <c r="AD217" s="143">
        <f>IFERROR(_xlfn.XLOOKUP($D217,'Modelling New'!$D:$D,'Modelling New'!$T:$T)*1000,"")</f>
        <v>50360.911058047554</v>
      </c>
      <c r="AE217" s="148">
        <f>IFERROR(_xlfn.XLOOKUP($D217,'Modelling New'!$D:$D,'Modelling New'!$O:$O),"")</f>
        <v>0.76112341749431001</v>
      </c>
      <c r="AF217" s="148">
        <f>IFERROR(_xlfn.XLOOKUP($D217,'Modelling New'!$D:$D,'Modelling New'!$W:$W),"")</f>
        <v>0.17904191929055585</v>
      </c>
      <c r="AG217" s="148">
        <f>IFERROR(_xlfn.XLOOKUP($D217,'Modelling New'!$D:$D,'Modelling New'!AE:AE),"")</f>
        <v>0.995</v>
      </c>
      <c r="AH217" s="148">
        <f>IFERROR(_xlfn.XLOOKUP($D217,'Modelling New'!$D:$D,'Modelling New'!AF:AF),"")</f>
        <v>0.98550000000000004</v>
      </c>
      <c r="AN217" s="145"/>
      <c r="AO217" s="148"/>
      <c r="AP217" s="148"/>
      <c r="AQ217" s="148"/>
      <c r="AR217" s="143">
        <f>IFERROR(_xlfn.XLOOKUP($D217,'Modelling New'!$D:$D,'Modelling New'!$N:$N),"")</f>
        <v>11.72</v>
      </c>
      <c r="AT217" s="143" t="str">
        <f>IFERROR(_xlfn.XLOOKUP(Table13[[#This Row],[Date]],'Raw Data'!$G:$G,'Raw Data'!$AJ:$AJ),"")</f>
        <v/>
      </c>
      <c r="AU217" s="143">
        <f>IFERROR(_xlfn.XLOOKUP(Table13[[#This Row],[Month Year]],'Modelling New'!$D:$D,'Modelling New'!$AO:$AO),"")</f>
        <v>10</v>
      </c>
      <c r="AV217" s="143"/>
    </row>
    <row r="218" spans="1:48">
      <c r="A218" s="142">
        <f t="shared" si="15"/>
        <v>45961</v>
      </c>
      <c r="B218" s="143">
        <f>YEAR(Table13[[#This Row],[Date]])+IF(MONTH(Table13[[#This Row],[Date]])&gt;=4,1,0)</f>
        <v>2026</v>
      </c>
      <c r="C218" s="116">
        <f>YEAR(Table13[[#This Row],[Date]])</f>
        <v>2025</v>
      </c>
      <c r="D218" s="144">
        <f>Table13[[#This Row],[Date]]-DAY(Table13[[#This Row],[Date]])+1</f>
        <v>45931</v>
      </c>
      <c r="E218" s="116">
        <f t="shared" si="16"/>
        <v>31</v>
      </c>
      <c r="F218" s="117" t="str">
        <f>IFERROR(_xlfn.XLOOKUP($A218,'Raw Data'!$G:$G,'Raw Data'!$AH:$AH),"")</f>
        <v/>
      </c>
      <c r="G218" s="118" t="str">
        <f>IFERROR(_xlfn.XLOOKUP($A218,'Raw Data'!$G:$G,'Raw Data'!$S:$S)/1000,"")</f>
        <v/>
      </c>
      <c r="H218" s="118"/>
      <c r="I218" s="118" t="str">
        <f>IFERROR(_xlfn.XLOOKUP($A218,'Raw Data'!$G:$G,'Raw Data'!$AF:$AF)/1000,"")</f>
        <v/>
      </c>
      <c r="J218" s="118"/>
      <c r="K218" s="118" t="str">
        <f>IFERROR(_xlfn.XLOOKUP($A218,'Raw Data'!$G:$G,'Raw Data'!W:W),"")</f>
        <v/>
      </c>
      <c r="L218" s="118" t="str">
        <f>IFERROR(_xlfn.XLOOKUP($A218,'Raw Data'!$G:$G,'Raw Data'!X:X),"")</f>
        <v/>
      </c>
      <c r="M218" s="118" t="str">
        <f>IFERROR(_xlfn.XLOOKUP($A218,'Raw Data'!$G:$G,'Raw Data'!Y:Y),"")</f>
        <v/>
      </c>
      <c r="N218" s="118" t="str">
        <f>IFERROR(_xlfn.XLOOKUP($A218,'Raw Data'!$G:$G,'Raw Data'!Z:Z),"")</f>
        <v/>
      </c>
      <c r="O218" s="145" t="str">
        <f>IFERROR(1-SUMIF('Plant BD'!$B:$B,$A218,'Plant BD'!$AM:$AM)/($AA218+SUMIF('Plant BD'!$B:$B,$A218,'Plant BD'!$AM:$AM)),"")</f>
        <v/>
      </c>
      <c r="P218" s="145"/>
      <c r="Q218" s="146"/>
      <c r="R218" s="145" t="str">
        <f>IFERROR(1-SUMIF('Grid BD'!$B:$B,$A218,'Grid BD'!$AE:$AE)/($AA218+SUMIF('Grid BD'!$B:$B,$A218,'Grid BD'!$AE:$AE)),"")</f>
        <v/>
      </c>
      <c r="T218" s="146" t="str">
        <f>IFERROR(1-SUMIF(Tracker_BD!$H:$H,$A218,Tracker_BD!AI:AI)/$F218,"")</f>
        <v/>
      </c>
      <c r="U218" s="147" t="str">
        <f t="shared" si="13"/>
        <v/>
      </c>
      <c r="V218" s="147"/>
      <c r="W218" s="148" t="str">
        <f t="shared" si="14"/>
        <v/>
      </c>
      <c r="X218" s="143" t="str">
        <f>IFERROR(_xlfn.XLOOKUP($A218,'Raw Data'!$G:$G,'Raw Data'!$AB:$AB),"")</f>
        <v/>
      </c>
      <c r="Y218" s="143" t="str">
        <f>IFERROR(_xlfn.XLOOKUP($A218,'Raw Data'!$G:$G,'Raw Data'!AC:AC),"")</f>
        <v/>
      </c>
      <c r="Z218" s="143" t="str">
        <f>IFERROR(_xlfn.XLOOKUP($A218,'Raw Data'!$G:$G,'Raw Data'!AD:AD),"")</f>
        <v/>
      </c>
      <c r="AA218" s="143" t="str">
        <f>IFERROR(_xlfn.XLOOKUP($A218,'Raw Data'!$G:$G,'Raw Data'!AE:AE)*(1+(_xlfn.XLOOKUP(Table13[[#This Row],[Month Year]],JMR!$A:$A,JMR!$J:$J))),"")</f>
        <v/>
      </c>
      <c r="AB218" s="143" t="str">
        <f>IFERROR(_xlfn.XLOOKUP($A218,'Raw Data'!$G:$G,'Raw Data'!$H:$H),"")</f>
        <v/>
      </c>
      <c r="AC218" s="149">
        <f>IFERROR(_xlfn.XLOOKUP($D218,'Modelling New'!$D:$D,'Modelling New'!$P:$P),"")</f>
        <v>5.6456101129032259</v>
      </c>
      <c r="AD218" s="143">
        <f>IFERROR(_xlfn.XLOOKUP($D218,'Modelling New'!$D:$D,'Modelling New'!$T:$T)*1000,"")</f>
        <v>50360.911058047554</v>
      </c>
      <c r="AE218" s="148">
        <f>IFERROR(_xlfn.XLOOKUP($D218,'Modelling New'!$D:$D,'Modelling New'!$O:$O),"")</f>
        <v>0.76112341749431001</v>
      </c>
      <c r="AF218" s="148">
        <f>IFERROR(_xlfn.XLOOKUP($D218,'Modelling New'!$D:$D,'Modelling New'!$W:$W),"")</f>
        <v>0.17904191929055585</v>
      </c>
      <c r="AG218" s="148">
        <f>IFERROR(_xlfn.XLOOKUP($D218,'Modelling New'!$D:$D,'Modelling New'!AE:AE),"")</f>
        <v>0.995</v>
      </c>
      <c r="AH218" s="148">
        <f>IFERROR(_xlfn.XLOOKUP($D218,'Modelling New'!$D:$D,'Modelling New'!AF:AF),"")</f>
        <v>0.98550000000000004</v>
      </c>
      <c r="AN218" s="145"/>
      <c r="AO218" s="148"/>
      <c r="AP218" s="148"/>
      <c r="AQ218" s="148"/>
      <c r="AR218" s="143">
        <f>IFERROR(_xlfn.XLOOKUP($D218,'Modelling New'!$D:$D,'Modelling New'!$N:$N),"")</f>
        <v>11.72</v>
      </c>
      <c r="AT218" s="143" t="str">
        <f>IFERROR(_xlfn.XLOOKUP(Table13[[#This Row],[Date]],'Raw Data'!$G:$G,'Raw Data'!$AJ:$AJ),"")</f>
        <v/>
      </c>
      <c r="AU218" s="143">
        <f>IFERROR(_xlfn.XLOOKUP(Table13[[#This Row],[Month Year]],'Modelling New'!$D:$D,'Modelling New'!$AO:$AO),"")</f>
        <v>10</v>
      </c>
      <c r="AV218" s="143"/>
    </row>
    <row r="219" spans="1:48">
      <c r="A219" s="142">
        <f t="shared" si="15"/>
        <v>45962</v>
      </c>
      <c r="B219" s="143">
        <f>YEAR(Table13[[#This Row],[Date]])+IF(MONTH(Table13[[#This Row],[Date]])&gt;=4,1,0)</f>
        <v>2026</v>
      </c>
      <c r="C219" s="116">
        <f>YEAR(Table13[[#This Row],[Date]])</f>
        <v>2025</v>
      </c>
      <c r="D219" s="144">
        <f>Table13[[#This Row],[Date]]-DAY(Table13[[#This Row],[Date]])+1</f>
        <v>45962</v>
      </c>
      <c r="E219" s="116">
        <f t="shared" si="16"/>
        <v>30</v>
      </c>
      <c r="F219" s="117" t="str">
        <f>IFERROR(_xlfn.XLOOKUP($A219,'Raw Data'!$G:$G,'Raw Data'!$AH:$AH),"")</f>
        <v/>
      </c>
      <c r="G219" s="118" t="str">
        <f>IFERROR(_xlfn.XLOOKUP($A219,'Raw Data'!$G:$G,'Raw Data'!$S:$S)/1000,"")</f>
        <v/>
      </c>
      <c r="H219" s="118"/>
      <c r="I219" s="118" t="str">
        <f>IFERROR(_xlfn.XLOOKUP($A219,'Raw Data'!$G:$G,'Raw Data'!$AF:$AF)/1000,"")</f>
        <v/>
      </c>
      <c r="J219" s="118"/>
      <c r="K219" s="118" t="str">
        <f>IFERROR(_xlfn.XLOOKUP($A219,'Raw Data'!$G:$G,'Raw Data'!W:W),"")</f>
        <v/>
      </c>
      <c r="L219" s="118" t="str">
        <f>IFERROR(_xlfn.XLOOKUP($A219,'Raw Data'!$G:$G,'Raw Data'!X:X),"")</f>
        <v/>
      </c>
      <c r="M219" s="118" t="str">
        <f>IFERROR(_xlfn.XLOOKUP($A219,'Raw Data'!$G:$G,'Raw Data'!Y:Y),"")</f>
        <v/>
      </c>
      <c r="N219" s="118" t="str">
        <f>IFERROR(_xlfn.XLOOKUP($A219,'Raw Data'!$G:$G,'Raw Data'!Z:Z),"")</f>
        <v/>
      </c>
      <c r="O219" s="145" t="str">
        <f>IFERROR(1-SUMIF('Plant BD'!$B:$B,$A219,'Plant BD'!$AM:$AM)/($AA219+SUMIF('Plant BD'!$B:$B,$A219,'Plant BD'!$AM:$AM)),"")</f>
        <v/>
      </c>
      <c r="P219" s="145"/>
      <c r="Q219" s="146"/>
      <c r="R219" s="145" t="str">
        <f>IFERROR(1-SUMIF('Grid BD'!$B:$B,$A219,'Grid BD'!$AE:$AE)/($AA219+SUMIF('Grid BD'!$B:$B,$A219,'Grid BD'!$AE:$AE)),"")</f>
        <v/>
      </c>
      <c r="T219" s="146" t="str">
        <f>IFERROR(1-SUMIF(Tracker_BD!$H:$H,$A219,Tracker_BD!AI:AI)/$F219,"")</f>
        <v/>
      </c>
      <c r="U219" s="147" t="str">
        <f t="shared" si="13"/>
        <v/>
      </c>
      <c r="V219" s="147"/>
      <c r="W219" s="148" t="str">
        <f t="shared" si="14"/>
        <v/>
      </c>
      <c r="X219" s="143" t="str">
        <f>IFERROR(_xlfn.XLOOKUP($A219,'Raw Data'!$G:$G,'Raw Data'!$AB:$AB),"")</f>
        <v/>
      </c>
      <c r="Y219" s="143" t="str">
        <f>IFERROR(_xlfn.XLOOKUP($A219,'Raw Data'!$G:$G,'Raw Data'!AC:AC),"")</f>
        <v/>
      </c>
      <c r="Z219" s="143" t="str">
        <f>IFERROR(_xlfn.XLOOKUP($A219,'Raw Data'!$G:$G,'Raw Data'!AD:AD),"")</f>
        <v/>
      </c>
      <c r="AA219" s="143" t="str">
        <f>IFERROR(_xlfn.XLOOKUP($A219,'Raw Data'!$G:$G,'Raw Data'!AE:AE)*(1+(_xlfn.XLOOKUP(Table13[[#This Row],[Month Year]],JMR!$A:$A,JMR!$J:$J))),"")</f>
        <v/>
      </c>
      <c r="AB219" s="143" t="str">
        <f>IFERROR(_xlfn.XLOOKUP($A219,'Raw Data'!$G:$G,'Raw Data'!$H:$H),"")</f>
        <v/>
      </c>
      <c r="AC219" s="149">
        <f>IFERROR(_xlfn.XLOOKUP($D219,'Modelling New'!$D:$D,'Modelling New'!$P:$P),"")</f>
        <v>5.6270663033333346</v>
      </c>
      <c r="AD219" s="143">
        <f>IFERROR(_xlfn.XLOOKUP($D219,'Modelling New'!$D:$D,'Modelling New'!$T:$T)*1000,"")</f>
        <v>49196.002720215052</v>
      </c>
      <c r="AE219" s="148">
        <f>IFERROR(_xlfn.XLOOKUP($D219,'Modelling New'!$D:$D,'Modelling New'!$O:$O),"")</f>
        <v>0.7459679568935248</v>
      </c>
      <c r="AF219" s="148">
        <f>IFERROR(_xlfn.XLOOKUP($D219,'Modelling New'!$D:$D,'Modelling New'!$W:$W),"")</f>
        <v>0.17490046473341528</v>
      </c>
      <c r="AG219" s="148">
        <f>IFERROR(_xlfn.XLOOKUP($D219,'Modelling New'!$D:$D,'Modelling New'!AE:AE),"")</f>
        <v>0.995</v>
      </c>
      <c r="AH219" s="148">
        <f>IFERROR(_xlfn.XLOOKUP($D219,'Modelling New'!$D:$D,'Modelling New'!AF:AF),"")</f>
        <v>0.98550000000000004</v>
      </c>
      <c r="AN219" s="145"/>
      <c r="AO219" s="148"/>
      <c r="AP219" s="148"/>
      <c r="AQ219" s="148"/>
      <c r="AR219" s="143">
        <f>IFERROR(_xlfn.XLOOKUP($D219,'Modelling New'!$D:$D,'Modelling New'!$N:$N),"")</f>
        <v>11.72</v>
      </c>
      <c r="AT219" s="143" t="str">
        <f>IFERROR(_xlfn.XLOOKUP(Table13[[#This Row],[Date]],'Raw Data'!$G:$G,'Raw Data'!$AJ:$AJ),"")</f>
        <v/>
      </c>
      <c r="AU219" s="143">
        <f>IFERROR(_xlfn.XLOOKUP(Table13[[#This Row],[Month Year]],'Modelling New'!$D:$D,'Modelling New'!$AO:$AO),"")</f>
        <v>10</v>
      </c>
      <c r="AV219" s="143"/>
    </row>
    <row r="220" spans="1:48">
      <c r="A220" s="142">
        <f t="shared" si="15"/>
        <v>45963</v>
      </c>
      <c r="B220" s="143">
        <f>YEAR(Table13[[#This Row],[Date]])+IF(MONTH(Table13[[#This Row],[Date]])&gt;=4,1,0)</f>
        <v>2026</v>
      </c>
      <c r="C220" s="116">
        <f>YEAR(Table13[[#This Row],[Date]])</f>
        <v>2025</v>
      </c>
      <c r="D220" s="144">
        <f>Table13[[#This Row],[Date]]-DAY(Table13[[#This Row],[Date]])+1</f>
        <v>45962</v>
      </c>
      <c r="E220" s="116">
        <f t="shared" si="16"/>
        <v>30</v>
      </c>
      <c r="F220" s="117" t="str">
        <f>IFERROR(_xlfn.XLOOKUP($A220,'Raw Data'!$G:$G,'Raw Data'!$AH:$AH),"")</f>
        <v/>
      </c>
      <c r="G220" s="118" t="str">
        <f>IFERROR(_xlfn.XLOOKUP($A220,'Raw Data'!$G:$G,'Raw Data'!$S:$S)/1000,"")</f>
        <v/>
      </c>
      <c r="H220" s="118"/>
      <c r="I220" s="118" t="str">
        <f>IFERROR(_xlfn.XLOOKUP($A220,'Raw Data'!$G:$G,'Raw Data'!$AF:$AF)/1000,"")</f>
        <v/>
      </c>
      <c r="J220" s="118"/>
      <c r="K220" s="118" t="str">
        <f>IFERROR(_xlfn.XLOOKUP($A220,'Raw Data'!$G:$G,'Raw Data'!W:W),"")</f>
        <v/>
      </c>
      <c r="L220" s="118" t="str">
        <f>IFERROR(_xlfn.XLOOKUP($A220,'Raw Data'!$G:$G,'Raw Data'!X:X),"")</f>
        <v/>
      </c>
      <c r="M220" s="118" t="str">
        <f>IFERROR(_xlfn.XLOOKUP($A220,'Raw Data'!$G:$G,'Raw Data'!Y:Y),"")</f>
        <v/>
      </c>
      <c r="N220" s="118" t="str">
        <f>IFERROR(_xlfn.XLOOKUP($A220,'Raw Data'!$G:$G,'Raw Data'!Z:Z),"")</f>
        <v/>
      </c>
      <c r="O220" s="145" t="str">
        <f>IFERROR(1-SUMIF('Plant BD'!$B:$B,$A220,'Plant BD'!$AM:$AM)/($AA220+SUMIF('Plant BD'!$B:$B,$A220,'Plant BD'!$AM:$AM)),"")</f>
        <v/>
      </c>
      <c r="P220" s="145"/>
      <c r="Q220" s="146"/>
      <c r="R220" s="145" t="str">
        <f>IFERROR(1-SUMIF('Grid BD'!$B:$B,$A220,'Grid BD'!$AE:$AE)/($AA220+SUMIF('Grid BD'!$B:$B,$A220,'Grid BD'!$AE:$AE)),"")</f>
        <v/>
      </c>
      <c r="T220" s="146" t="str">
        <f>IFERROR(1-SUMIF(Tracker_BD!$H:$H,$A220,Tracker_BD!AI:AI)/$F220,"")</f>
        <v/>
      </c>
      <c r="U220" s="147" t="str">
        <f t="shared" si="13"/>
        <v/>
      </c>
      <c r="V220" s="147"/>
      <c r="W220" s="148" t="str">
        <f t="shared" si="14"/>
        <v/>
      </c>
      <c r="X220" s="143" t="str">
        <f>IFERROR(_xlfn.XLOOKUP($A220,'Raw Data'!$G:$G,'Raw Data'!$AB:$AB),"")</f>
        <v/>
      </c>
      <c r="Y220" s="143" t="str">
        <f>IFERROR(_xlfn.XLOOKUP($A220,'Raw Data'!$G:$G,'Raw Data'!AC:AC),"")</f>
        <v/>
      </c>
      <c r="Z220" s="143" t="str">
        <f>IFERROR(_xlfn.XLOOKUP($A220,'Raw Data'!$G:$G,'Raw Data'!AD:AD),"")</f>
        <v/>
      </c>
      <c r="AA220" s="143" t="str">
        <f>IFERROR(_xlfn.XLOOKUP($A220,'Raw Data'!$G:$G,'Raw Data'!AE:AE)*(1+(_xlfn.XLOOKUP(Table13[[#This Row],[Month Year]],JMR!$A:$A,JMR!$J:$J))),"")</f>
        <v/>
      </c>
      <c r="AB220" s="143" t="str">
        <f>IFERROR(_xlfn.XLOOKUP($A220,'Raw Data'!$G:$G,'Raw Data'!$H:$H),"")</f>
        <v/>
      </c>
      <c r="AC220" s="149">
        <f>IFERROR(_xlfn.XLOOKUP($D220,'Modelling New'!$D:$D,'Modelling New'!$P:$P),"")</f>
        <v>5.6270663033333346</v>
      </c>
      <c r="AD220" s="143">
        <f>IFERROR(_xlfn.XLOOKUP($D220,'Modelling New'!$D:$D,'Modelling New'!$T:$T)*1000,"")</f>
        <v>49196.002720215052</v>
      </c>
      <c r="AE220" s="148">
        <f>IFERROR(_xlfn.XLOOKUP($D220,'Modelling New'!$D:$D,'Modelling New'!$O:$O),"")</f>
        <v>0.7459679568935248</v>
      </c>
      <c r="AF220" s="148">
        <f>IFERROR(_xlfn.XLOOKUP($D220,'Modelling New'!$D:$D,'Modelling New'!$W:$W),"")</f>
        <v>0.17490046473341528</v>
      </c>
      <c r="AG220" s="148">
        <f>IFERROR(_xlfn.XLOOKUP($D220,'Modelling New'!$D:$D,'Modelling New'!AE:AE),"")</f>
        <v>0.995</v>
      </c>
      <c r="AH220" s="148">
        <f>IFERROR(_xlfn.XLOOKUP($D220,'Modelling New'!$D:$D,'Modelling New'!AF:AF),"")</f>
        <v>0.98550000000000004</v>
      </c>
      <c r="AN220" s="145"/>
      <c r="AO220" s="148"/>
      <c r="AP220" s="148"/>
      <c r="AQ220" s="148"/>
      <c r="AR220" s="143">
        <f>IFERROR(_xlfn.XLOOKUP($D220,'Modelling New'!$D:$D,'Modelling New'!$N:$N),"")</f>
        <v>11.72</v>
      </c>
      <c r="AT220" s="143" t="str">
        <f>IFERROR(_xlfn.XLOOKUP(Table13[[#This Row],[Date]],'Raw Data'!$G:$G,'Raw Data'!$AJ:$AJ),"")</f>
        <v/>
      </c>
      <c r="AU220" s="143">
        <f>IFERROR(_xlfn.XLOOKUP(Table13[[#This Row],[Month Year]],'Modelling New'!$D:$D,'Modelling New'!$AO:$AO),"")</f>
        <v>10</v>
      </c>
      <c r="AV220" s="143"/>
    </row>
    <row r="221" spans="1:48">
      <c r="A221" s="142">
        <f t="shared" si="15"/>
        <v>45964</v>
      </c>
      <c r="B221" s="143">
        <f>YEAR(Table13[[#This Row],[Date]])+IF(MONTH(Table13[[#This Row],[Date]])&gt;=4,1,0)</f>
        <v>2026</v>
      </c>
      <c r="C221" s="116">
        <f>YEAR(Table13[[#This Row],[Date]])</f>
        <v>2025</v>
      </c>
      <c r="D221" s="144">
        <f>Table13[[#This Row],[Date]]-DAY(Table13[[#This Row],[Date]])+1</f>
        <v>45962</v>
      </c>
      <c r="E221" s="116">
        <f t="shared" si="16"/>
        <v>30</v>
      </c>
      <c r="F221" s="117" t="str">
        <f>IFERROR(_xlfn.XLOOKUP($A221,'Raw Data'!$G:$G,'Raw Data'!$AH:$AH),"")</f>
        <v/>
      </c>
      <c r="G221" s="118" t="str">
        <f>IFERROR(_xlfn.XLOOKUP($A221,'Raw Data'!$G:$G,'Raw Data'!$S:$S)/1000,"")</f>
        <v/>
      </c>
      <c r="H221" s="118"/>
      <c r="I221" s="118" t="str">
        <f>IFERROR(_xlfn.XLOOKUP($A221,'Raw Data'!$G:$G,'Raw Data'!$AF:$AF)/1000,"")</f>
        <v/>
      </c>
      <c r="J221" s="118"/>
      <c r="K221" s="118" t="str">
        <f>IFERROR(_xlfn.XLOOKUP($A221,'Raw Data'!$G:$G,'Raw Data'!W:W),"")</f>
        <v/>
      </c>
      <c r="L221" s="118" t="str">
        <f>IFERROR(_xlfn.XLOOKUP($A221,'Raw Data'!$G:$G,'Raw Data'!X:X),"")</f>
        <v/>
      </c>
      <c r="M221" s="118" t="str">
        <f>IFERROR(_xlfn.XLOOKUP($A221,'Raw Data'!$G:$G,'Raw Data'!Y:Y),"")</f>
        <v/>
      </c>
      <c r="N221" s="118" t="str">
        <f>IFERROR(_xlfn.XLOOKUP($A221,'Raw Data'!$G:$G,'Raw Data'!Z:Z),"")</f>
        <v/>
      </c>
      <c r="O221" s="145" t="str">
        <f>IFERROR(1-SUMIF('Plant BD'!$B:$B,$A221,'Plant BD'!$AM:$AM)/($AA221+SUMIF('Plant BD'!$B:$B,$A221,'Plant BD'!$AM:$AM)),"")</f>
        <v/>
      </c>
      <c r="P221" s="145"/>
      <c r="Q221" s="146"/>
      <c r="R221" s="145" t="str">
        <f>IFERROR(1-SUMIF('Grid BD'!$B:$B,$A221,'Grid BD'!$AE:$AE)/($AA221+SUMIF('Grid BD'!$B:$B,$A221,'Grid BD'!$AE:$AE)),"")</f>
        <v/>
      </c>
      <c r="T221" s="146" t="str">
        <f>IFERROR(1-SUMIF(Tracker_BD!$H:$H,$A221,Tracker_BD!AI:AI)/$F221,"")</f>
        <v/>
      </c>
      <c r="U221" s="147" t="str">
        <f t="shared" si="13"/>
        <v/>
      </c>
      <c r="V221" s="147"/>
      <c r="W221" s="148" t="str">
        <f t="shared" si="14"/>
        <v/>
      </c>
      <c r="X221" s="143" t="str">
        <f>IFERROR(_xlfn.XLOOKUP($A221,'Raw Data'!$G:$G,'Raw Data'!$AB:$AB),"")</f>
        <v/>
      </c>
      <c r="Y221" s="143" t="str">
        <f>IFERROR(_xlfn.XLOOKUP($A221,'Raw Data'!$G:$G,'Raw Data'!AC:AC),"")</f>
        <v/>
      </c>
      <c r="Z221" s="143" t="str">
        <f>IFERROR(_xlfn.XLOOKUP($A221,'Raw Data'!$G:$G,'Raw Data'!AD:AD),"")</f>
        <v/>
      </c>
      <c r="AA221" s="143" t="str">
        <f>IFERROR(_xlfn.XLOOKUP($A221,'Raw Data'!$G:$G,'Raw Data'!AE:AE)*(1+(_xlfn.XLOOKUP(Table13[[#This Row],[Month Year]],JMR!$A:$A,JMR!$J:$J))),"")</f>
        <v/>
      </c>
      <c r="AB221" s="143" t="str">
        <f>IFERROR(_xlfn.XLOOKUP($A221,'Raw Data'!$G:$G,'Raw Data'!$H:$H),"")</f>
        <v/>
      </c>
      <c r="AC221" s="149">
        <f>IFERROR(_xlfn.XLOOKUP($D221,'Modelling New'!$D:$D,'Modelling New'!$P:$P),"")</f>
        <v>5.6270663033333346</v>
      </c>
      <c r="AD221" s="143">
        <f>IFERROR(_xlfn.XLOOKUP($D221,'Modelling New'!$D:$D,'Modelling New'!$T:$T)*1000,"")</f>
        <v>49196.002720215052</v>
      </c>
      <c r="AE221" s="148">
        <f>IFERROR(_xlfn.XLOOKUP($D221,'Modelling New'!$D:$D,'Modelling New'!$O:$O),"")</f>
        <v>0.7459679568935248</v>
      </c>
      <c r="AF221" s="148">
        <f>IFERROR(_xlfn.XLOOKUP($D221,'Modelling New'!$D:$D,'Modelling New'!$W:$W),"")</f>
        <v>0.17490046473341528</v>
      </c>
      <c r="AG221" s="148">
        <f>IFERROR(_xlfn.XLOOKUP($D221,'Modelling New'!$D:$D,'Modelling New'!AE:AE),"")</f>
        <v>0.995</v>
      </c>
      <c r="AH221" s="148">
        <f>IFERROR(_xlfn.XLOOKUP($D221,'Modelling New'!$D:$D,'Modelling New'!AF:AF),"")</f>
        <v>0.98550000000000004</v>
      </c>
      <c r="AN221" s="145"/>
      <c r="AO221" s="148"/>
      <c r="AP221" s="148"/>
      <c r="AQ221" s="148"/>
      <c r="AR221" s="143">
        <f>IFERROR(_xlfn.XLOOKUP($D221,'Modelling New'!$D:$D,'Modelling New'!$N:$N),"")</f>
        <v>11.72</v>
      </c>
      <c r="AT221" s="143" t="str">
        <f>IFERROR(_xlfn.XLOOKUP(Table13[[#This Row],[Date]],'Raw Data'!$G:$G,'Raw Data'!$AJ:$AJ),"")</f>
        <v/>
      </c>
      <c r="AU221" s="143">
        <f>IFERROR(_xlfn.XLOOKUP(Table13[[#This Row],[Month Year]],'Modelling New'!$D:$D,'Modelling New'!$AO:$AO),"")</f>
        <v>10</v>
      </c>
      <c r="AV221" s="143"/>
    </row>
    <row r="222" spans="1:48">
      <c r="A222" s="142">
        <f t="shared" si="15"/>
        <v>45965</v>
      </c>
      <c r="B222" s="143">
        <f>YEAR(Table13[[#This Row],[Date]])+IF(MONTH(Table13[[#This Row],[Date]])&gt;=4,1,0)</f>
        <v>2026</v>
      </c>
      <c r="C222" s="116">
        <f>YEAR(Table13[[#This Row],[Date]])</f>
        <v>2025</v>
      </c>
      <c r="D222" s="144">
        <f>Table13[[#This Row],[Date]]-DAY(Table13[[#This Row],[Date]])+1</f>
        <v>45962</v>
      </c>
      <c r="E222" s="116">
        <f t="shared" si="16"/>
        <v>30</v>
      </c>
      <c r="F222" s="117" t="str">
        <f>IFERROR(_xlfn.XLOOKUP($A222,'Raw Data'!$G:$G,'Raw Data'!$AH:$AH),"")</f>
        <v/>
      </c>
      <c r="G222" s="118" t="str">
        <f>IFERROR(_xlfn.XLOOKUP($A222,'Raw Data'!$G:$G,'Raw Data'!$S:$S)/1000,"")</f>
        <v/>
      </c>
      <c r="H222" s="118"/>
      <c r="I222" s="118" t="str">
        <f>IFERROR(_xlfn.XLOOKUP($A222,'Raw Data'!$G:$G,'Raw Data'!$AF:$AF)/1000,"")</f>
        <v/>
      </c>
      <c r="J222" s="118"/>
      <c r="K222" s="118" t="str">
        <f>IFERROR(_xlfn.XLOOKUP($A222,'Raw Data'!$G:$G,'Raw Data'!W:W),"")</f>
        <v/>
      </c>
      <c r="L222" s="118" t="str">
        <f>IFERROR(_xlfn.XLOOKUP($A222,'Raw Data'!$G:$G,'Raw Data'!X:X),"")</f>
        <v/>
      </c>
      <c r="M222" s="118" t="str">
        <f>IFERROR(_xlfn.XLOOKUP($A222,'Raw Data'!$G:$G,'Raw Data'!Y:Y),"")</f>
        <v/>
      </c>
      <c r="N222" s="118" t="str">
        <f>IFERROR(_xlfn.XLOOKUP($A222,'Raw Data'!$G:$G,'Raw Data'!Z:Z),"")</f>
        <v/>
      </c>
      <c r="O222" s="145" t="str">
        <f>IFERROR(1-SUMIF('Plant BD'!$B:$B,$A222,'Plant BD'!$AM:$AM)/($AA222+SUMIF('Plant BD'!$B:$B,$A222,'Plant BD'!$AM:$AM)),"")</f>
        <v/>
      </c>
      <c r="P222" s="145"/>
      <c r="Q222" s="146"/>
      <c r="R222" s="145" t="str">
        <f>IFERROR(1-SUMIF('Grid BD'!$B:$B,$A222,'Grid BD'!$AE:$AE)/($AA222+SUMIF('Grid BD'!$B:$B,$A222,'Grid BD'!$AE:$AE)),"")</f>
        <v/>
      </c>
      <c r="T222" s="146" t="str">
        <f>IFERROR(1-SUMIF(Tracker_BD!$H:$H,$A222,Tracker_BD!AI:AI)/$F222,"")</f>
        <v/>
      </c>
      <c r="U222" s="147" t="str">
        <f t="shared" si="13"/>
        <v/>
      </c>
      <c r="V222" s="147"/>
      <c r="W222" s="148" t="str">
        <f t="shared" si="14"/>
        <v/>
      </c>
      <c r="X222" s="143" t="str">
        <f>IFERROR(_xlfn.XLOOKUP($A222,'Raw Data'!$G:$G,'Raw Data'!$AB:$AB),"")</f>
        <v/>
      </c>
      <c r="Y222" s="143" t="str">
        <f>IFERROR(_xlfn.XLOOKUP($A222,'Raw Data'!$G:$G,'Raw Data'!AC:AC),"")</f>
        <v/>
      </c>
      <c r="Z222" s="143" t="str">
        <f>IFERROR(_xlfn.XLOOKUP($A222,'Raw Data'!$G:$G,'Raw Data'!AD:AD),"")</f>
        <v/>
      </c>
      <c r="AA222" s="143" t="str">
        <f>IFERROR(_xlfn.XLOOKUP($A222,'Raw Data'!$G:$G,'Raw Data'!AE:AE)*(1+(_xlfn.XLOOKUP(Table13[[#This Row],[Month Year]],JMR!$A:$A,JMR!$J:$J))),"")</f>
        <v/>
      </c>
      <c r="AB222" s="143" t="str">
        <f>IFERROR(_xlfn.XLOOKUP($A222,'Raw Data'!$G:$G,'Raw Data'!$H:$H),"")</f>
        <v/>
      </c>
      <c r="AC222" s="149">
        <f>IFERROR(_xlfn.XLOOKUP($D222,'Modelling New'!$D:$D,'Modelling New'!$P:$P),"")</f>
        <v>5.6270663033333346</v>
      </c>
      <c r="AD222" s="143">
        <f>IFERROR(_xlfn.XLOOKUP($D222,'Modelling New'!$D:$D,'Modelling New'!$T:$T)*1000,"")</f>
        <v>49196.002720215052</v>
      </c>
      <c r="AE222" s="148">
        <f>IFERROR(_xlfn.XLOOKUP($D222,'Modelling New'!$D:$D,'Modelling New'!$O:$O),"")</f>
        <v>0.7459679568935248</v>
      </c>
      <c r="AF222" s="148">
        <f>IFERROR(_xlfn.XLOOKUP($D222,'Modelling New'!$D:$D,'Modelling New'!$W:$W),"")</f>
        <v>0.17490046473341528</v>
      </c>
      <c r="AG222" s="148">
        <f>IFERROR(_xlfn.XLOOKUP($D222,'Modelling New'!$D:$D,'Modelling New'!AE:AE),"")</f>
        <v>0.995</v>
      </c>
      <c r="AH222" s="148">
        <f>IFERROR(_xlfn.XLOOKUP($D222,'Modelling New'!$D:$D,'Modelling New'!AF:AF),"")</f>
        <v>0.98550000000000004</v>
      </c>
      <c r="AN222" s="145"/>
      <c r="AO222" s="148"/>
      <c r="AP222" s="148"/>
      <c r="AQ222" s="148"/>
      <c r="AR222" s="143">
        <f>IFERROR(_xlfn.XLOOKUP($D222,'Modelling New'!$D:$D,'Modelling New'!$N:$N),"")</f>
        <v>11.72</v>
      </c>
      <c r="AT222" s="143" t="str">
        <f>IFERROR(_xlfn.XLOOKUP(Table13[[#This Row],[Date]],'Raw Data'!$G:$G,'Raw Data'!$AJ:$AJ),"")</f>
        <v/>
      </c>
      <c r="AU222" s="143">
        <f>IFERROR(_xlfn.XLOOKUP(Table13[[#This Row],[Month Year]],'Modelling New'!$D:$D,'Modelling New'!$AO:$AO),"")</f>
        <v>10</v>
      </c>
      <c r="AV222" s="143"/>
    </row>
    <row r="223" spans="1:48">
      <c r="A223" s="142">
        <f t="shared" si="15"/>
        <v>45966</v>
      </c>
      <c r="B223" s="143">
        <f>YEAR(Table13[[#This Row],[Date]])+IF(MONTH(Table13[[#This Row],[Date]])&gt;=4,1,0)</f>
        <v>2026</v>
      </c>
      <c r="C223" s="116">
        <f>YEAR(Table13[[#This Row],[Date]])</f>
        <v>2025</v>
      </c>
      <c r="D223" s="144">
        <f>Table13[[#This Row],[Date]]-DAY(Table13[[#This Row],[Date]])+1</f>
        <v>45962</v>
      </c>
      <c r="E223" s="116">
        <f t="shared" si="16"/>
        <v>30</v>
      </c>
      <c r="F223" s="117" t="str">
        <f>IFERROR(_xlfn.XLOOKUP($A223,'Raw Data'!$G:$G,'Raw Data'!$AH:$AH),"")</f>
        <v/>
      </c>
      <c r="G223" s="118" t="str">
        <f>IFERROR(_xlfn.XLOOKUP($A223,'Raw Data'!$G:$G,'Raw Data'!$S:$S)/1000,"")</f>
        <v/>
      </c>
      <c r="H223" s="118"/>
      <c r="I223" s="118" t="str">
        <f>IFERROR(_xlfn.XLOOKUP($A223,'Raw Data'!$G:$G,'Raw Data'!$AF:$AF)/1000,"")</f>
        <v/>
      </c>
      <c r="J223" s="118"/>
      <c r="K223" s="118" t="str">
        <f>IFERROR(_xlfn.XLOOKUP($A223,'Raw Data'!$G:$G,'Raw Data'!W:W),"")</f>
        <v/>
      </c>
      <c r="L223" s="118" t="str">
        <f>IFERROR(_xlfn.XLOOKUP($A223,'Raw Data'!$G:$G,'Raw Data'!X:X),"")</f>
        <v/>
      </c>
      <c r="M223" s="118" t="str">
        <f>IFERROR(_xlfn.XLOOKUP($A223,'Raw Data'!$G:$G,'Raw Data'!Y:Y),"")</f>
        <v/>
      </c>
      <c r="N223" s="118" t="str">
        <f>IFERROR(_xlfn.XLOOKUP($A223,'Raw Data'!$G:$G,'Raw Data'!Z:Z),"")</f>
        <v/>
      </c>
      <c r="O223" s="145" t="str">
        <f>IFERROR(1-SUMIF('Plant BD'!$B:$B,$A223,'Plant BD'!$AM:$AM)/($AA223+SUMIF('Plant BD'!$B:$B,$A223,'Plant BD'!$AM:$AM)),"")</f>
        <v/>
      </c>
      <c r="P223" s="145"/>
      <c r="Q223" s="146"/>
      <c r="R223" s="145" t="str">
        <f>IFERROR(1-SUMIF('Grid BD'!$B:$B,$A223,'Grid BD'!$AE:$AE)/($AA223+SUMIF('Grid BD'!$B:$B,$A223,'Grid BD'!$AE:$AE)),"")</f>
        <v/>
      </c>
      <c r="T223" s="146" t="str">
        <f>IFERROR(1-SUMIF(Tracker_BD!$H:$H,$A223,Tracker_BD!AI:AI)/$F223,"")</f>
        <v/>
      </c>
      <c r="U223" s="147" t="str">
        <f t="shared" si="13"/>
        <v/>
      </c>
      <c r="V223" s="147"/>
      <c r="W223" s="148" t="str">
        <f t="shared" si="14"/>
        <v/>
      </c>
      <c r="X223" s="143" t="str">
        <f>IFERROR(_xlfn.XLOOKUP($A223,'Raw Data'!$G:$G,'Raw Data'!$AB:$AB),"")</f>
        <v/>
      </c>
      <c r="Y223" s="143" t="str">
        <f>IFERROR(_xlfn.XLOOKUP($A223,'Raw Data'!$G:$G,'Raw Data'!AC:AC),"")</f>
        <v/>
      </c>
      <c r="Z223" s="143" t="str">
        <f>IFERROR(_xlfn.XLOOKUP($A223,'Raw Data'!$G:$G,'Raw Data'!AD:AD),"")</f>
        <v/>
      </c>
      <c r="AA223" s="143" t="str">
        <f>IFERROR(_xlfn.XLOOKUP($A223,'Raw Data'!$G:$G,'Raw Data'!AE:AE)*(1+(_xlfn.XLOOKUP(Table13[[#This Row],[Month Year]],JMR!$A:$A,JMR!$J:$J))),"")</f>
        <v/>
      </c>
      <c r="AB223" s="143" t="str">
        <f>IFERROR(_xlfn.XLOOKUP($A223,'Raw Data'!$G:$G,'Raw Data'!$H:$H),"")</f>
        <v/>
      </c>
      <c r="AC223" s="149">
        <f>IFERROR(_xlfn.XLOOKUP($D223,'Modelling New'!$D:$D,'Modelling New'!$P:$P),"")</f>
        <v>5.6270663033333346</v>
      </c>
      <c r="AD223" s="143">
        <f>IFERROR(_xlfn.XLOOKUP($D223,'Modelling New'!$D:$D,'Modelling New'!$T:$T)*1000,"")</f>
        <v>49196.002720215052</v>
      </c>
      <c r="AE223" s="148">
        <f>IFERROR(_xlfn.XLOOKUP($D223,'Modelling New'!$D:$D,'Modelling New'!$O:$O),"")</f>
        <v>0.7459679568935248</v>
      </c>
      <c r="AF223" s="148">
        <f>IFERROR(_xlfn.XLOOKUP($D223,'Modelling New'!$D:$D,'Modelling New'!$W:$W),"")</f>
        <v>0.17490046473341528</v>
      </c>
      <c r="AG223" s="148">
        <f>IFERROR(_xlfn.XLOOKUP($D223,'Modelling New'!$D:$D,'Modelling New'!AE:AE),"")</f>
        <v>0.995</v>
      </c>
      <c r="AH223" s="148">
        <f>IFERROR(_xlfn.XLOOKUP($D223,'Modelling New'!$D:$D,'Modelling New'!AF:AF),"")</f>
        <v>0.98550000000000004</v>
      </c>
      <c r="AN223" s="145"/>
      <c r="AO223" s="148"/>
      <c r="AP223" s="148"/>
      <c r="AQ223" s="148"/>
      <c r="AR223" s="143">
        <f>IFERROR(_xlfn.XLOOKUP($D223,'Modelling New'!$D:$D,'Modelling New'!$N:$N),"")</f>
        <v>11.72</v>
      </c>
      <c r="AT223" s="143" t="str">
        <f>IFERROR(_xlfn.XLOOKUP(Table13[[#This Row],[Date]],'Raw Data'!$G:$G,'Raw Data'!$AJ:$AJ),"")</f>
        <v/>
      </c>
      <c r="AU223" s="143">
        <f>IFERROR(_xlfn.XLOOKUP(Table13[[#This Row],[Month Year]],'Modelling New'!$D:$D,'Modelling New'!$AO:$AO),"")</f>
        <v>10</v>
      </c>
      <c r="AV223" s="143"/>
    </row>
    <row r="224" spans="1:48">
      <c r="A224" s="142">
        <f t="shared" si="15"/>
        <v>45967</v>
      </c>
      <c r="B224" s="143">
        <f>YEAR(Table13[[#This Row],[Date]])+IF(MONTH(Table13[[#This Row],[Date]])&gt;=4,1,0)</f>
        <v>2026</v>
      </c>
      <c r="C224" s="116">
        <f>YEAR(Table13[[#This Row],[Date]])</f>
        <v>2025</v>
      </c>
      <c r="D224" s="144">
        <f>Table13[[#This Row],[Date]]-DAY(Table13[[#This Row],[Date]])+1</f>
        <v>45962</v>
      </c>
      <c r="E224" s="116">
        <f t="shared" si="16"/>
        <v>30</v>
      </c>
      <c r="F224" s="117" t="str">
        <f>IFERROR(_xlfn.XLOOKUP($A224,'Raw Data'!$G:$G,'Raw Data'!$AH:$AH),"")</f>
        <v/>
      </c>
      <c r="G224" s="118" t="str">
        <f>IFERROR(_xlfn.XLOOKUP($A224,'Raw Data'!$G:$G,'Raw Data'!$S:$S)/1000,"")</f>
        <v/>
      </c>
      <c r="H224" s="118"/>
      <c r="I224" s="118" t="str">
        <f>IFERROR(_xlfn.XLOOKUP($A224,'Raw Data'!$G:$G,'Raw Data'!$AF:$AF)/1000,"")</f>
        <v/>
      </c>
      <c r="J224" s="118"/>
      <c r="K224" s="118" t="str">
        <f>IFERROR(_xlfn.XLOOKUP($A224,'Raw Data'!$G:$G,'Raw Data'!W:W),"")</f>
        <v/>
      </c>
      <c r="L224" s="118" t="str">
        <f>IFERROR(_xlfn.XLOOKUP($A224,'Raw Data'!$G:$G,'Raw Data'!X:X),"")</f>
        <v/>
      </c>
      <c r="M224" s="118" t="str">
        <f>IFERROR(_xlfn.XLOOKUP($A224,'Raw Data'!$G:$G,'Raw Data'!Y:Y),"")</f>
        <v/>
      </c>
      <c r="N224" s="118" t="str">
        <f>IFERROR(_xlfn.XLOOKUP($A224,'Raw Data'!$G:$G,'Raw Data'!Z:Z),"")</f>
        <v/>
      </c>
      <c r="O224" s="145" t="str">
        <f>IFERROR(1-SUMIF('Plant BD'!$B:$B,$A224,'Plant BD'!$AM:$AM)/($AA224+SUMIF('Plant BD'!$B:$B,$A224,'Plant BD'!$AM:$AM)),"")</f>
        <v/>
      </c>
      <c r="P224" s="145"/>
      <c r="Q224" s="146"/>
      <c r="R224" s="145" t="str">
        <f>IFERROR(1-SUMIF('Grid BD'!$B:$B,$A224,'Grid BD'!$AE:$AE)/($AA224+SUMIF('Grid BD'!$B:$B,$A224,'Grid BD'!$AE:$AE)),"")</f>
        <v/>
      </c>
      <c r="T224" s="146" t="str">
        <f>IFERROR(1-SUMIF(Tracker_BD!$H:$H,$A224,Tracker_BD!AI:AI)/$F224,"")</f>
        <v/>
      </c>
      <c r="U224" s="147" t="str">
        <f t="shared" si="13"/>
        <v/>
      </c>
      <c r="V224" s="147"/>
      <c r="W224" s="148" t="str">
        <f t="shared" si="14"/>
        <v/>
      </c>
      <c r="X224" s="143" t="str">
        <f>IFERROR(_xlfn.XLOOKUP($A224,'Raw Data'!$G:$G,'Raw Data'!$AB:$AB),"")</f>
        <v/>
      </c>
      <c r="Y224" s="143" t="str">
        <f>IFERROR(_xlfn.XLOOKUP($A224,'Raw Data'!$G:$G,'Raw Data'!AC:AC),"")</f>
        <v/>
      </c>
      <c r="Z224" s="143" t="str">
        <f>IFERROR(_xlfn.XLOOKUP($A224,'Raw Data'!$G:$G,'Raw Data'!AD:AD),"")</f>
        <v/>
      </c>
      <c r="AA224" s="143" t="str">
        <f>IFERROR(_xlfn.XLOOKUP($A224,'Raw Data'!$G:$G,'Raw Data'!AE:AE)*(1+(_xlfn.XLOOKUP(Table13[[#This Row],[Month Year]],JMR!$A:$A,JMR!$J:$J))),"")</f>
        <v/>
      </c>
      <c r="AB224" s="143" t="str">
        <f>IFERROR(_xlfn.XLOOKUP($A224,'Raw Data'!$G:$G,'Raw Data'!$H:$H),"")</f>
        <v/>
      </c>
      <c r="AC224" s="149">
        <f>IFERROR(_xlfn.XLOOKUP($D224,'Modelling New'!$D:$D,'Modelling New'!$P:$P),"")</f>
        <v>5.6270663033333346</v>
      </c>
      <c r="AD224" s="143">
        <f>IFERROR(_xlfn.XLOOKUP($D224,'Modelling New'!$D:$D,'Modelling New'!$T:$T)*1000,"")</f>
        <v>49196.002720215052</v>
      </c>
      <c r="AE224" s="148">
        <f>IFERROR(_xlfn.XLOOKUP($D224,'Modelling New'!$D:$D,'Modelling New'!$O:$O),"")</f>
        <v>0.7459679568935248</v>
      </c>
      <c r="AF224" s="148">
        <f>IFERROR(_xlfn.XLOOKUP($D224,'Modelling New'!$D:$D,'Modelling New'!$W:$W),"")</f>
        <v>0.17490046473341528</v>
      </c>
      <c r="AG224" s="148">
        <f>IFERROR(_xlfn.XLOOKUP($D224,'Modelling New'!$D:$D,'Modelling New'!AE:AE),"")</f>
        <v>0.995</v>
      </c>
      <c r="AH224" s="148">
        <f>IFERROR(_xlfn.XLOOKUP($D224,'Modelling New'!$D:$D,'Modelling New'!AF:AF),"")</f>
        <v>0.98550000000000004</v>
      </c>
      <c r="AN224" s="145"/>
      <c r="AO224" s="148"/>
      <c r="AP224" s="148"/>
      <c r="AQ224" s="148"/>
      <c r="AR224" s="143">
        <f>IFERROR(_xlfn.XLOOKUP($D224,'Modelling New'!$D:$D,'Modelling New'!$N:$N),"")</f>
        <v>11.72</v>
      </c>
      <c r="AT224" s="143" t="str">
        <f>IFERROR(_xlfn.XLOOKUP(Table13[[#This Row],[Date]],'Raw Data'!$G:$G,'Raw Data'!$AJ:$AJ),"")</f>
        <v/>
      </c>
      <c r="AU224" s="143">
        <f>IFERROR(_xlfn.XLOOKUP(Table13[[#This Row],[Month Year]],'Modelling New'!$D:$D,'Modelling New'!$AO:$AO),"")</f>
        <v>10</v>
      </c>
      <c r="AV224" s="143"/>
    </row>
    <row r="225" spans="1:48">
      <c r="A225" s="142">
        <f t="shared" si="15"/>
        <v>45968</v>
      </c>
      <c r="B225" s="143">
        <f>YEAR(Table13[[#This Row],[Date]])+IF(MONTH(Table13[[#This Row],[Date]])&gt;=4,1,0)</f>
        <v>2026</v>
      </c>
      <c r="C225" s="116">
        <f>YEAR(Table13[[#This Row],[Date]])</f>
        <v>2025</v>
      </c>
      <c r="D225" s="144">
        <f>Table13[[#This Row],[Date]]-DAY(Table13[[#This Row],[Date]])+1</f>
        <v>45962</v>
      </c>
      <c r="E225" s="116">
        <f t="shared" si="16"/>
        <v>30</v>
      </c>
      <c r="F225" s="117" t="str">
        <f>IFERROR(_xlfn.XLOOKUP($A225,'Raw Data'!$G:$G,'Raw Data'!$AH:$AH),"")</f>
        <v/>
      </c>
      <c r="G225" s="118" t="str">
        <f>IFERROR(_xlfn.XLOOKUP($A225,'Raw Data'!$G:$G,'Raw Data'!$S:$S)/1000,"")</f>
        <v/>
      </c>
      <c r="H225" s="118"/>
      <c r="I225" s="118" t="str">
        <f>IFERROR(_xlfn.XLOOKUP($A225,'Raw Data'!$G:$G,'Raw Data'!$AF:$AF)/1000,"")</f>
        <v/>
      </c>
      <c r="J225" s="118"/>
      <c r="K225" s="118" t="str">
        <f>IFERROR(_xlfn.XLOOKUP($A225,'Raw Data'!$G:$G,'Raw Data'!W:W),"")</f>
        <v/>
      </c>
      <c r="L225" s="118" t="str">
        <f>IFERROR(_xlfn.XLOOKUP($A225,'Raw Data'!$G:$G,'Raw Data'!X:X),"")</f>
        <v/>
      </c>
      <c r="M225" s="118" t="str">
        <f>IFERROR(_xlfn.XLOOKUP($A225,'Raw Data'!$G:$G,'Raw Data'!Y:Y),"")</f>
        <v/>
      </c>
      <c r="N225" s="118" t="str">
        <f>IFERROR(_xlfn.XLOOKUP($A225,'Raw Data'!$G:$G,'Raw Data'!Z:Z),"")</f>
        <v/>
      </c>
      <c r="O225" s="145" t="str">
        <f>IFERROR(1-SUMIF('Plant BD'!$B:$B,$A225,'Plant BD'!$AM:$AM)/($AA225+SUMIF('Plant BD'!$B:$B,$A225,'Plant BD'!$AM:$AM)),"")</f>
        <v/>
      </c>
      <c r="P225" s="145"/>
      <c r="Q225" s="146"/>
      <c r="R225" s="145" t="str">
        <f>IFERROR(1-SUMIF('Grid BD'!$B:$B,$A225,'Grid BD'!$AE:$AE)/($AA225+SUMIF('Grid BD'!$B:$B,$A225,'Grid BD'!$AE:$AE)),"")</f>
        <v/>
      </c>
      <c r="T225" s="146" t="str">
        <f>IFERROR(1-SUMIF(Tracker_BD!$H:$H,$A225,Tracker_BD!AI:AI)/$F225,"")</f>
        <v/>
      </c>
      <c r="U225" s="147" t="str">
        <f t="shared" si="13"/>
        <v/>
      </c>
      <c r="V225" s="147"/>
      <c r="W225" s="148" t="str">
        <f t="shared" si="14"/>
        <v/>
      </c>
      <c r="X225" s="143" t="str">
        <f>IFERROR(_xlfn.XLOOKUP($A225,'Raw Data'!$G:$G,'Raw Data'!$AB:$AB),"")</f>
        <v/>
      </c>
      <c r="Y225" s="143" t="str">
        <f>IFERROR(_xlfn.XLOOKUP($A225,'Raw Data'!$G:$G,'Raw Data'!AC:AC),"")</f>
        <v/>
      </c>
      <c r="Z225" s="143" t="str">
        <f>IFERROR(_xlfn.XLOOKUP($A225,'Raw Data'!$G:$G,'Raw Data'!AD:AD),"")</f>
        <v/>
      </c>
      <c r="AA225" s="143" t="str">
        <f>IFERROR(_xlfn.XLOOKUP($A225,'Raw Data'!$G:$G,'Raw Data'!AE:AE)*(1+(_xlfn.XLOOKUP(Table13[[#This Row],[Month Year]],JMR!$A:$A,JMR!$J:$J))),"")</f>
        <v/>
      </c>
      <c r="AB225" s="143" t="str">
        <f>IFERROR(_xlfn.XLOOKUP($A225,'Raw Data'!$G:$G,'Raw Data'!$H:$H),"")</f>
        <v/>
      </c>
      <c r="AC225" s="149">
        <f>IFERROR(_xlfn.XLOOKUP($D225,'Modelling New'!$D:$D,'Modelling New'!$P:$P),"")</f>
        <v>5.6270663033333346</v>
      </c>
      <c r="AD225" s="143">
        <f>IFERROR(_xlfn.XLOOKUP($D225,'Modelling New'!$D:$D,'Modelling New'!$T:$T)*1000,"")</f>
        <v>49196.002720215052</v>
      </c>
      <c r="AE225" s="148">
        <f>IFERROR(_xlfn.XLOOKUP($D225,'Modelling New'!$D:$D,'Modelling New'!$O:$O),"")</f>
        <v>0.7459679568935248</v>
      </c>
      <c r="AF225" s="148">
        <f>IFERROR(_xlfn.XLOOKUP($D225,'Modelling New'!$D:$D,'Modelling New'!$W:$W),"")</f>
        <v>0.17490046473341528</v>
      </c>
      <c r="AG225" s="148">
        <f>IFERROR(_xlfn.XLOOKUP($D225,'Modelling New'!$D:$D,'Modelling New'!AE:AE),"")</f>
        <v>0.995</v>
      </c>
      <c r="AH225" s="148">
        <f>IFERROR(_xlfn.XLOOKUP($D225,'Modelling New'!$D:$D,'Modelling New'!AF:AF),"")</f>
        <v>0.98550000000000004</v>
      </c>
      <c r="AN225" s="145"/>
      <c r="AO225" s="148"/>
      <c r="AP225" s="148"/>
      <c r="AQ225" s="148"/>
      <c r="AR225" s="143">
        <f>IFERROR(_xlfn.XLOOKUP($D225,'Modelling New'!$D:$D,'Modelling New'!$N:$N),"")</f>
        <v>11.72</v>
      </c>
      <c r="AT225" s="143" t="str">
        <f>IFERROR(_xlfn.XLOOKUP(Table13[[#This Row],[Date]],'Raw Data'!$G:$G,'Raw Data'!$AJ:$AJ),"")</f>
        <v/>
      </c>
      <c r="AU225" s="143">
        <f>IFERROR(_xlfn.XLOOKUP(Table13[[#This Row],[Month Year]],'Modelling New'!$D:$D,'Modelling New'!$AO:$AO),"")</f>
        <v>10</v>
      </c>
      <c r="AV225" s="143"/>
    </row>
    <row r="226" spans="1:48">
      <c r="A226" s="142">
        <f t="shared" si="15"/>
        <v>45969</v>
      </c>
      <c r="B226" s="143">
        <f>YEAR(Table13[[#This Row],[Date]])+IF(MONTH(Table13[[#This Row],[Date]])&gt;=4,1,0)</f>
        <v>2026</v>
      </c>
      <c r="C226" s="116">
        <f>YEAR(Table13[[#This Row],[Date]])</f>
        <v>2025</v>
      </c>
      <c r="D226" s="144">
        <f>Table13[[#This Row],[Date]]-DAY(Table13[[#This Row],[Date]])+1</f>
        <v>45962</v>
      </c>
      <c r="E226" s="116">
        <f t="shared" si="16"/>
        <v>30</v>
      </c>
      <c r="F226" s="117" t="str">
        <f>IFERROR(_xlfn.XLOOKUP($A226,'Raw Data'!$G:$G,'Raw Data'!$AH:$AH),"")</f>
        <v/>
      </c>
      <c r="G226" s="118" t="str">
        <f>IFERROR(_xlfn.XLOOKUP($A226,'Raw Data'!$G:$G,'Raw Data'!$S:$S)/1000,"")</f>
        <v/>
      </c>
      <c r="H226" s="118"/>
      <c r="I226" s="118" t="str">
        <f>IFERROR(_xlfn.XLOOKUP($A226,'Raw Data'!$G:$G,'Raw Data'!$AF:$AF)/1000,"")</f>
        <v/>
      </c>
      <c r="J226" s="118"/>
      <c r="K226" s="118" t="str">
        <f>IFERROR(_xlfn.XLOOKUP($A226,'Raw Data'!$G:$G,'Raw Data'!W:W),"")</f>
        <v/>
      </c>
      <c r="L226" s="118" t="str">
        <f>IFERROR(_xlfn.XLOOKUP($A226,'Raw Data'!$G:$G,'Raw Data'!X:X),"")</f>
        <v/>
      </c>
      <c r="M226" s="118" t="str">
        <f>IFERROR(_xlfn.XLOOKUP($A226,'Raw Data'!$G:$G,'Raw Data'!Y:Y),"")</f>
        <v/>
      </c>
      <c r="N226" s="118" t="str">
        <f>IFERROR(_xlfn.XLOOKUP($A226,'Raw Data'!$G:$G,'Raw Data'!Z:Z),"")</f>
        <v/>
      </c>
      <c r="O226" s="145" t="str">
        <f>IFERROR(1-SUMIF('Plant BD'!$B:$B,$A226,'Plant BD'!$AM:$AM)/($AA226+SUMIF('Plant BD'!$B:$B,$A226,'Plant BD'!$AM:$AM)),"")</f>
        <v/>
      </c>
      <c r="P226" s="145"/>
      <c r="Q226" s="146"/>
      <c r="R226" s="145" t="str">
        <f>IFERROR(1-SUMIF('Grid BD'!$B:$B,$A226,'Grid BD'!$AE:$AE)/($AA226+SUMIF('Grid BD'!$B:$B,$A226,'Grid BD'!$AE:$AE)),"")</f>
        <v/>
      </c>
      <c r="T226" s="146" t="str">
        <f>IFERROR(1-SUMIF(Tracker_BD!$H:$H,$A226,Tracker_BD!AI:AI)/$F226,"")</f>
        <v/>
      </c>
      <c r="U226" s="147" t="str">
        <f t="shared" si="13"/>
        <v/>
      </c>
      <c r="V226" s="147"/>
      <c r="W226" s="148" t="str">
        <f t="shared" si="14"/>
        <v/>
      </c>
      <c r="X226" s="143" t="str">
        <f>IFERROR(_xlfn.XLOOKUP($A226,'Raw Data'!$G:$G,'Raw Data'!$AB:$AB),"")</f>
        <v/>
      </c>
      <c r="Y226" s="143" t="str">
        <f>IFERROR(_xlfn.XLOOKUP($A226,'Raw Data'!$G:$G,'Raw Data'!AC:AC),"")</f>
        <v/>
      </c>
      <c r="Z226" s="143" t="str">
        <f>IFERROR(_xlfn.XLOOKUP($A226,'Raw Data'!$G:$G,'Raw Data'!AD:AD),"")</f>
        <v/>
      </c>
      <c r="AA226" s="143" t="str">
        <f>IFERROR(_xlfn.XLOOKUP($A226,'Raw Data'!$G:$G,'Raw Data'!AE:AE)*(1+(_xlfn.XLOOKUP(Table13[[#This Row],[Month Year]],JMR!$A:$A,JMR!$J:$J))),"")</f>
        <v/>
      </c>
      <c r="AB226" s="143" t="str">
        <f>IFERROR(_xlfn.XLOOKUP($A226,'Raw Data'!$G:$G,'Raw Data'!$H:$H),"")</f>
        <v/>
      </c>
      <c r="AC226" s="149">
        <f>IFERROR(_xlfn.XLOOKUP($D226,'Modelling New'!$D:$D,'Modelling New'!$P:$P),"")</f>
        <v>5.6270663033333346</v>
      </c>
      <c r="AD226" s="143">
        <f>IFERROR(_xlfn.XLOOKUP($D226,'Modelling New'!$D:$D,'Modelling New'!$T:$T)*1000,"")</f>
        <v>49196.002720215052</v>
      </c>
      <c r="AE226" s="148">
        <f>IFERROR(_xlfn.XLOOKUP($D226,'Modelling New'!$D:$D,'Modelling New'!$O:$O),"")</f>
        <v>0.7459679568935248</v>
      </c>
      <c r="AF226" s="148">
        <f>IFERROR(_xlfn.XLOOKUP($D226,'Modelling New'!$D:$D,'Modelling New'!$W:$W),"")</f>
        <v>0.17490046473341528</v>
      </c>
      <c r="AG226" s="148">
        <f>IFERROR(_xlfn.XLOOKUP($D226,'Modelling New'!$D:$D,'Modelling New'!AE:AE),"")</f>
        <v>0.995</v>
      </c>
      <c r="AH226" s="148">
        <f>IFERROR(_xlfn.XLOOKUP($D226,'Modelling New'!$D:$D,'Modelling New'!AF:AF),"")</f>
        <v>0.98550000000000004</v>
      </c>
      <c r="AN226" s="145"/>
      <c r="AO226" s="148"/>
      <c r="AP226" s="148"/>
      <c r="AQ226" s="148"/>
      <c r="AR226" s="143">
        <f>IFERROR(_xlfn.XLOOKUP($D226,'Modelling New'!$D:$D,'Modelling New'!$N:$N),"")</f>
        <v>11.72</v>
      </c>
      <c r="AT226" s="143" t="str">
        <f>IFERROR(_xlfn.XLOOKUP(Table13[[#This Row],[Date]],'Raw Data'!$G:$G,'Raw Data'!$AJ:$AJ),"")</f>
        <v/>
      </c>
      <c r="AU226" s="143">
        <f>IFERROR(_xlfn.XLOOKUP(Table13[[#This Row],[Month Year]],'Modelling New'!$D:$D,'Modelling New'!$AO:$AO),"")</f>
        <v>10</v>
      </c>
      <c r="AV226" s="143"/>
    </row>
    <row r="227" spans="1:48">
      <c r="A227" s="142">
        <f t="shared" si="15"/>
        <v>45970</v>
      </c>
      <c r="B227" s="143">
        <f>YEAR(Table13[[#This Row],[Date]])+IF(MONTH(Table13[[#This Row],[Date]])&gt;=4,1,0)</f>
        <v>2026</v>
      </c>
      <c r="C227" s="116">
        <f>YEAR(Table13[[#This Row],[Date]])</f>
        <v>2025</v>
      </c>
      <c r="D227" s="144">
        <f>Table13[[#This Row],[Date]]-DAY(Table13[[#This Row],[Date]])+1</f>
        <v>45962</v>
      </c>
      <c r="E227" s="116">
        <f t="shared" si="16"/>
        <v>30</v>
      </c>
      <c r="F227" s="117" t="str">
        <f>IFERROR(_xlfn.XLOOKUP($A227,'Raw Data'!$G:$G,'Raw Data'!$AH:$AH),"")</f>
        <v/>
      </c>
      <c r="G227" s="118" t="str">
        <f>IFERROR(_xlfn.XLOOKUP($A227,'Raw Data'!$G:$G,'Raw Data'!$S:$S)/1000,"")</f>
        <v/>
      </c>
      <c r="H227" s="118"/>
      <c r="I227" s="118" t="str">
        <f>IFERROR(_xlfn.XLOOKUP($A227,'Raw Data'!$G:$G,'Raw Data'!$AF:$AF)/1000,"")</f>
        <v/>
      </c>
      <c r="J227" s="118"/>
      <c r="K227" s="118" t="str">
        <f>IFERROR(_xlfn.XLOOKUP($A227,'Raw Data'!$G:$G,'Raw Data'!W:W),"")</f>
        <v/>
      </c>
      <c r="L227" s="118" t="str">
        <f>IFERROR(_xlfn.XLOOKUP($A227,'Raw Data'!$G:$G,'Raw Data'!X:X),"")</f>
        <v/>
      </c>
      <c r="M227" s="118" t="str">
        <f>IFERROR(_xlfn.XLOOKUP($A227,'Raw Data'!$G:$G,'Raw Data'!Y:Y),"")</f>
        <v/>
      </c>
      <c r="N227" s="118" t="str">
        <f>IFERROR(_xlfn.XLOOKUP($A227,'Raw Data'!$G:$G,'Raw Data'!Z:Z),"")</f>
        <v/>
      </c>
      <c r="O227" s="145" t="str">
        <f>IFERROR(1-SUMIF('Plant BD'!$B:$B,$A227,'Plant BD'!$AM:$AM)/($AA227+SUMIF('Plant BD'!$B:$B,$A227,'Plant BD'!$AM:$AM)),"")</f>
        <v/>
      </c>
      <c r="P227" s="145"/>
      <c r="Q227" s="146"/>
      <c r="R227" s="145" t="str">
        <f>IFERROR(1-SUMIF('Grid BD'!$B:$B,$A227,'Grid BD'!$AE:$AE)/($AA227+SUMIF('Grid BD'!$B:$B,$A227,'Grid BD'!$AE:$AE)),"")</f>
        <v/>
      </c>
      <c r="T227" s="146" t="str">
        <f>IFERROR(1-SUMIF(Tracker_BD!$H:$H,$A227,Tracker_BD!AI:AI)/$F227,"")</f>
        <v/>
      </c>
      <c r="U227" s="147" t="str">
        <f t="shared" si="13"/>
        <v/>
      </c>
      <c r="V227" s="147"/>
      <c r="W227" s="148" t="str">
        <f t="shared" si="14"/>
        <v/>
      </c>
      <c r="X227" s="143" t="str">
        <f>IFERROR(_xlfn.XLOOKUP($A227,'Raw Data'!$G:$G,'Raw Data'!$AB:$AB),"")</f>
        <v/>
      </c>
      <c r="Y227" s="143" t="str">
        <f>IFERROR(_xlfn.XLOOKUP($A227,'Raw Data'!$G:$G,'Raw Data'!AC:AC),"")</f>
        <v/>
      </c>
      <c r="Z227" s="143" t="str">
        <f>IFERROR(_xlfn.XLOOKUP($A227,'Raw Data'!$G:$G,'Raw Data'!AD:AD),"")</f>
        <v/>
      </c>
      <c r="AA227" s="143" t="str">
        <f>IFERROR(_xlfn.XLOOKUP($A227,'Raw Data'!$G:$G,'Raw Data'!AE:AE)*(1+(_xlfn.XLOOKUP(Table13[[#This Row],[Month Year]],JMR!$A:$A,JMR!$J:$J))),"")</f>
        <v/>
      </c>
      <c r="AB227" s="143" t="str">
        <f>IFERROR(_xlfn.XLOOKUP($A227,'Raw Data'!$G:$G,'Raw Data'!$H:$H),"")</f>
        <v/>
      </c>
      <c r="AC227" s="149">
        <f>IFERROR(_xlfn.XLOOKUP($D227,'Modelling New'!$D:$D,'Modelling New'!$P:$P),"")</f>
        <v>5.6270663033333346</v>
      </c>
      <c r="AD227" s="143">
        <f>IFERROR(_xlfn.XLOOKUP($D227,'Modelling New'!$D:$D,'Modelling New'!$T:$T)*1000,"")</f>
        <v>49196.002720215052</v>
      </c>
      <c r="AE227" s="148">
        <f>IFERROR(_xlfn.XLOOKUP($D227,'Modelling New'!$D:$D,'Modelling New'!$O:$O),"")</f>
        <v>0.7459679568935248</v>
      </c>
      <c r="AF227" s="148">
        <f>IFERROR(_xlfn.XLOOKUP($D227,'Modelling New'!$D:$D,'Modelling New'!$W:$W),"")</f>
        <v>0.17490046473341528</v>
      </c>
      <c r="AG227" s="148">
        <f>IFERROR(_xlfn.XLOOKUP($D227,'Modelling New'!$D:$D,'Modelling New'!AE:AE),"")</f>
        <v>0.995</v>
      </c>
      <c r="AH227" s="148">
        <f>IFERROR(_xlfn.XLOOKUP($D227,'Modelling New'!$D:$D,'Modelling New'!AF:AF),"")</f>
        <v>0.98550000000000004</v>
      </c>
      <c r="AN227" s="145"/>
      <c r="AO227" s="148"/>
      <c r="AP227" s="148"/>
      <c r="AQ227" s="148"/>
      <c r="AR227" s="143">
        <f>IFERROR(_xlfn.XLOOKUP($D227,'Modelling New'!$D:$D,'Modelling New'!$N:$N),"")</f>
        <v>11.72</v>
      </c>
      <c r="AT227" s="143" t="str">
        <f>IFERROR(_xlfn.XLOOKUP(Table13[[#This Row],[Date]],'Raw Data'!$G:$G,'Raw Data'!$AJ:$AJ),"")</f>
        <v/>
      </c>
      <c r="AU227" s="143">
        <f>IFERROR(_xlfn.XLOOKUP(Table13[[#This Row],[Month Year]],'Modelling New'!$D:$D,'Modelling New'!$AO:$AO),"")</f>
        <v>10</v>
      </c>
      <c r="AV227" s="143"/>
    </row>
    <row r="228" spans="1:48">
      <c r="A228" s="142">
        <f t="shared" si="15"/>
        <v>45971</v>
      </c>
      <c r="B228" s="143">
        <f>YEAR(Table13[[#This Row],[Date]])+IF(MONTH(Table13[[#This Row],[Date]])&gt;=4,1,0)</f>
        <v>2026</v>
      </c>
      <c r="C228" s="116">
        <f>YEAR(Table13[[#This Row],[Date]])</f>
        <v>2025</v>
      </c>
      <c r="D228" s="144">
        <f>Table13[[#This Row],[Date]]-DAY(Table13[[#This Row],[Date]])+1</f>
        <v>45962</v>
      </c>
      <c r="E228" s="116">
        <f t="shared" si="16"/>
        <v>30</v>
      </c>
      <c r="F228" s="117" t="str">
        <f>IFERROR(_xlfn.XLOOKUP($A228,'Raw Data'!$G:$G,'Raw Data'!$AH:$AH),"")</f>
        <v/>
      </c>
      <c r="G228" s="118" t="str">
        <f>IFERROR(_xlfn.XLOOKUP($A228,'Raw Data'!$G:$G,'Raw Data'!$S:$S)/1000,"")</f>
        <v/>
      </c>
      <c r="H228" s="118"/>
      <c r="I228" s="118" t="str">
        <f>IFERROR(_xlfn.XLOOKUP($A228,'Raw Data'!$G:$G,'Raw Data'!$AF:$AF)/1000,"")</f>
        <v/>
      </c>
      <c r="J228" s="118"/>
      <c r="K228" s="118" t="str">
        <f>IFERROR(_xlfn.XLOOKUP($A228,'Raw Data'!$G:$G,'Raw Data'!W:W),"")</f>
        <v/>
      </c>
      <c r="L228" s="118" t="str">
        <f>IFERROR(_xlfn.XLOOKUP($A228,'Raw Data'!$G:$G,'Raw Data'!X:X),"")</f>
        <v/>
      </c>
      <c r="M228" s="118" t="str">
        <f>IFERROR(_xlfn.XLOOKUP($A228,'Raw Data'!$G:$G,'Raw Data'!Y:Y),"")</f>
        <v/>
      </c>
      <c r="N228" s="118" t="str">
        <f>IFERROR(_xlfn.XLOOKUP($A228,'Raw Data'!$G:$G,'Raw Data'!Z:Z),"")</f>
        <v/>
      </c>
      <c r="O228" s="145" t="str">
        <f>IFERROR(1-SUMIF('Plant BD'!$B:$B,$A228,'Plant BD'!$AM:$AM)/($AA228+SUMIF('Plant BD'!$B:$B,$A228,'Plant BD'!$AM:$AM)),"")</f>
        <v/>
      </c>
      <c r="P228" s="145"/>
      <c r="Q228" s="146"/>
      <c r="R228" s="145" t="str">
        <f>IFERROR(1-SUMIF('Grid BD'!$B:$B,$A228,'Grid BD'!$AE:$AE)/($AA228+SUMIF('Grid BD'!$B:$B,$A228,'Grid BD'!$AE:$AE)),"")</f>
        <v/>
      </c>
      <c r="T228" s="146" t="str">
        <f>IFERROR(1-SUMIF(Tracker_BD!$H:$H,$A228,Tracker_BD!AI:AI)/$F228,"")</f>
        <v/>
      </c>
      <c r="U228" s="147" t="str">
        <f t="shared" si="13"/>
        <v/>
      </c>
      <c r="V228" s="147"/>
      <c r="W228" s="148" t="str">
        <f t="shared" si="14"/>
        <v/>
      </c>
      <c r="X228" s="143" t="str">
        <f>IFERROR(_xlfn.XLOOKUP($A228,'Raw Data'!$G:$G,'Raw Data'!$AB:$AB),"")</f>
        <v/>
      </c>
      <c r="Y228" s="143" t="str">
        <f>IFERROR(_xlfn.XLOOKUP($A228,'Raw Data'!$G:$G,'Raw Data'!AC:AC),"")</f>
        <v/>
      </c>
      <c r="Z228" s="143" t="str">
        <f>IFERROR(_xlfn.XLOOKUP($A228,'Raw Data'!$G:$G,'Raw Data'!AD:AD),"")</f>
        <v/>
      </c>
      <c r="AA228" s="143" t="str">
        <f>IFERROR(_xlfn.XLOOKUP($A228,'Raw Data'!$G:$G,'Raw Data'!AE:AE)*(1+(_xlfn.XLOOKUP(Table13[[#This Row],[Month Year]],JMR!$A:$A,JMR!$J:$J))),"")</f>
        <v/>
      </c>
      <c r="AB228" s="143" t="str">
        <f>IFERROR(_xlfn.XLOOKUP($A228,'Raw Data'!$G:$G,'Raw Data'!$H:$H),"")</f>
        <v/>
      </c>
      <c r="AC228" s="149">
        <f>IFERROR(_xlfn.XLOOKUP($D228,'Modelling New'!$D:$D,'Modelling New'!$P:$P),"")</f>
        <v>5.6270663033333346</v>
      </c>
      <c r="AD228" s="143">
        <f>IFERROR(_xlfn.XLOOKUP($D228,'Modelling New'!$D:$D,'Modelling New'!$T:$T)*1000,"")</f>
        <v>49196.002720215052</v>
      </c>
      <c r="AE228" s="148">
        <f>IFERROR(_xlfn.XLOOKUP($D228,'Modelling New'!$D:$D,'Modelling New'!$O:$O),"")</f>
        <v>0.7459679568935248</v>
      </c>
      <c r="AF228" s="148">
        <f>IFERROR(_xlfn.XLOOKUP($D228,'Modelling New'!$D:$D,'Modelling New'!$W:$W),"")</f>
        <v>0.17490046473341528</v>
      </c>
      <c r="AG228" s="148">
        <f>IFERROR(_xlfn.XLOOKUP($D228,'Modelling New'!$D:$D,'Modelling New'!AE:AE),"")</f>
        <v>0.995</v>
      </c>
      <c r="AH228" s="148">
        <f>IFERROR(_xlfn.XLOOKUP($D228,'Modelling New'!$D:$D,'Modelling New'!AF:AF),"")</f>
        <v>0.98550000000000004</v>
      </c>
      <c r="AN228" s="145"/>
      <c r="AO228" s="148"/>
      <c r="AP228" s="148"/>
      <c r="AQ228" s="148"/>
      <c r="AR228" s="143">
        <f>IFERROR(_xlfn.XLOOKUP($D228,'Modelling New'!$D:$D,'Modelling New'!$N:$N),"")</f>
        <v>11.72</v>
      </c>
      <c r="AT228" s="143" t="str">
        <f>IFERROR(_xlfn.XLOOKUP(Table13[[#This Row],[Date]],'Raw Data'!$G:$G,'Raw Data'!$AJ:$AJ),"")</f>
        <v/>
      </c>
      <c r="AU228" s="143">
        <f>IFERROR(_xlfn.XLOOKUP(Table13[[#This Row],[Month Year]],'Modelling New'!$D:$D,'Modelling New'!$AO:$AO),"")</f>
        <v>10</v>
      </c>
      <c r="AV228" s="143"/>
    </row>
    <row r="229" spans="1:48">
      <c r="A229" s="142">
        <f t="shared" si="15"/>
        <v>45972</v>
      </c>
      <c r="B229" s="143">
        <f>YEAR(Table13[[#This Row],[Date]])+IF(MONTH(Table13[[#This Row],[Date]])&gt;=4,1,0)</f>
        <v>2026</v>
      </c>
      <c r="C229" s="116">
        <f>YEAR(Table13[[#This Row],[Date]])</f>
        <v>2025</v>
      </c>
      <c r="D229" s="144">
        <f>Table13[[#This Row],[Date]]-DAY(Table13[[#This Row],[Date]])+1</f>
        <v>45962</v>
      </c>
      <c r="E229" s="116">
        <f t="shared" si="16"/>
        <v>30</v>
      </c>
      <c r="F229" s="117" t="str">
        <f>IFERROR(_xlfn.XLOOKUP($A229,'Raw Data'!$G:$G,'Raw Data'!$AH:$AH),"")</f>
        <v/>
      </c>
      <c r="G229" s="118" t="str">
        <f>IFERROR(_xlfn.XLOOKUP($A229,'Raw Data'!$G:$G,'Raw Data'!$S:$S)/1000,"")</f>
        <v/>
      </c>
      <c r="H229" s="118"/>
      <c r="I229" s="118" t="str">
        <f>IFERROR(_xlfn.XLOOKUP($A229,'Raw Data'!$G:$G,'Raw Data'!$AF:$AF)/1000,"")</f>
        <v/>
      </c>
      <c r="J229" s="118"/>
      <c r="K229" s="118" t="str">
        <f>IFERROR(_xlfn.XLOOKUP($A229,'Raw Data'!$G:$G,'Raw Data'!W:W),"")</f>
        <v/>
      </c>
      <c r="L229" s="118" t="str">
        <f>IFERROR(_xlfn.XLOOKUP($A229,'Raw Data'!$G:$G,'Raw Data'!X:X),"")</f>
        <v/>
      </c>
      <c r="M229" s="118" t="str">
        <f>IFERROR(_xlfn.XLOOKUP($A229,'Raw Data'!$G:$G,'Raw Data'!Y:Y),"")</f>
        <v/>
      </c>
      <c r="N229" s="118" t="str">
        <f>IFERROR(_xlfn.XLOOKUP($A229,'Raw Data'!$G:$G,'Raw Data'!Z:Z),"")</f>
        <v/>
      </c>
      <c r="O229" s="145" t="str">
        <f>IFERROR(1-SUMIF('Plant BD'!$B:$B,$A229,'Plant BD'!$AM:$AM)/($AA229+SUMIF('Plant BD'!$B:$B,$A229,'Plant BD'!$AM:$AM)),"")</f>
        <v/>
      </c>
      <c r="P229" s="145"/>
      <c r="Q229" s="146"/>
      <c r="R229" s="145" t="str">
        <f>IFERROR(1-SUMIF('Grid BD'!$B:$B,$A229,'Grid BD'!$AE:$AE)/($AA229+SUMIF('Grid BD'!$B:$B,$A229,'Grid BD'!$AE:$AE)),"")</f>
        <v/>
      </c>
      <c r="T229" s="146" t="str">
        <f>IFERROR(1-SUMIF(Tracker_BD!$H:$H,$A229,Tracker_BD!AI:AI)/$F229,"")</f>
        <v/>
      </c>
      <c r="U229" s="147" t="str">
        <f t="shared" si="13"/>
        <v/>
      </c>
      <c r="V229" s="147"/>
      <c r="W229" s="148" t="str">
        <f t="shared" si="14"/>
        <v/>
      </c>
      <c r="X229" s="143" t="str">
        <f>IFERROR(_xlfn.XLOOKUP($A229,'Raw Data'!$G:$G,'Raw Data'!$AB:$AB),"")</f>
        <v/>
      </c>
      <c r="Y229" s="143" t="str">
        <f>IFERROR(_xlfn.XLOOKUP($A229,'Raw Data'!$G:$G,'Raw Data'!AC:AC),"")</f>
        <v/>
      </c>
      <c r="Z229" s="143" t="str">
        <f>IFERROR(_xlfn.XLOOKUP($A229,'Raw Data'!$G:$G,'Raw Data'!AD:AD),"")</f>
        <v/>
      </c>
      <c r="AA229" s="143" t="str">
        <f>IFERROR(_xlfn.XLOOKUP($A229,'Raw Data'!$G:$G,'Raw Data'!AE:AE)*(1+(_xlfn.XLOOKUP(Table13[[#This Row],[Month Year]],JMR!$A:$A,JMR!$J:$J))),"")</f>
        <v/>
      </c>
      <c r="AB229" s="143" t="str">
        <f>IFERROR(_xlfn.XLOOKUP($A229,'Raw Data'!$G:$G,'Raw Data'!$H:$H),"")</f>
        <v/>
      </c>
      <c r="AC229" s="149">
        <f>IFERROR(_xlfn.XLOOKUP($D229,'Modelling New'!$D:$D,'Modelling New'!$P:$P),"")</f>
        <v>5.6270663033333346</v>
      </c>
      <c r="AD229" s="143">
        <f>IFERROR(_xlfn.XLOOKUP($D229,'Modelling New'!$D:$D,'Modelling New'!$T:$T)*1000,"")</f>
        <v>49196.002720215052</v>
      </c>
      <c r="AE229" s="148">
        <f>IFERROR(_xlfn.XLOOKUP($D229,'Modelling New'!$D:$D,'Modelling New'!$O:$O),"")</f>
        <v>0.7459679568935248</v>
      </c>
      <c r="AF229" s="148">
        <f>IFERROR(_xlfn.XLOOKUP($D229,'Modelling New'!$D:$D,'Modelling New'!$W:$W),"")</f>
        <v>0.17490046473341528</v>
      </c>
      <c r="AG229" s="148">
        <f>IFERROR(_xlfn.XLOOKUP($D229,'Modelling New'!$D:$D,'Modelling New'!AE:AE),"")</f>
        <v>0.995</v>
      </c>
      <c r="AH229" s="148">
        <f>IFERROR(_xlfn.XLOOKUP($D229,'Modelling New'!$D:$D,'Modelling New'!AF:AF),"")</f>
        <v>0.98550000000000004</v>
      </c>
      <c r="AN229" s="145"/>
      <c r="AO229" s="148"/>
      <c r="AP229" s="148"/>
      <c r="AQ229" s="148"/>
      <c r="AR229" s="143">
        <f>IFERROR(_xlfn.XLOOKUP($D229,'Modelling New'!$D:$D,'Modelling New'!$N:$N),"")</f>
        <v>11.72</v>
      </c>
      <c r="AT229" s="143" t="str">
        <f>IFERROR(_xlfn.XLOOKUP(Table13[[#This Row],[Date]],'Raw Data'!$G:$G,'Raw Data'!$AJ:$AJ),"")</f>
        <v/>
      </c>
      <c r="AU229" s="143">
        <f>IFERROR(_xlfn.XLOOKUP(Table13[[#This Row],[Month Year]],'Modelling New'!$D:$D,'Modelling New'!$AO:$AO),"")</f>
        <v>10</v>
      </c>
      <c r="AV229" s="143"/>
    </row>
    <row r="230" spans="1:48">
      <c r="A230" s="142">
        <f t="shared" si="15"/>
        <v>45973</v>
      </c>
      <c r="B230" s="143">
        <f>YEAR(Table13[[#This Row],[Date]])+IF(MONTH(Table13[[#This Row],[Date]])&gt;=4,1,0)</f>
        <v>2026</v>
      </c>
      <c r="C230" s="116">
        <f>YEAR(Table13[[#This Row],[Date]])</f>
        <v>2025</v>
      </c>
      <c r="D230" s="144">
        <f>Table13[[#This Row],[Date]]-DAY(Table13[[#This Row],[Date]])+1</f>
        <v>45962</v>
      </c>
      <c r="E230" s="116">
        <f t="shared" si="16"/>
        <v>30</v>
      </c>
      <c r="F230" s="117" t="str">
        <f>IFERROR(_xlfn.XLOOKUP($A230,'Raw Data'!$G:$G,'Raw Data'!$AH:$AH),"")</f>
        <v/>
      </c>
      <c r="G230" s="118" t="str">
        <f>IFERROR(_xlfn.XLOOKUP($A230,'Raw Data'!$G:$G,'Raw Data'!$S:$S)/1000,"")</f>
        <v/>
      </c>
      <c r="H230" s="118"/>
      <c r="I230" s="118" t="str">
        <f>IFERROR(_xlfn.XLOOKUP($A230,'Raw Data'!$G:$G,'Raw Data'!$AF:$AF)/1000,"")</f>
        <v/>
      </c>
      <c r="J230" s="118"/>
      <c r="K230" s="118" t="str">
        <f>IFERROR(_xlfn.XLOOKUP($A230,'Raw Data'!$G:$G,'Raw Data'!W:W),"")</f>
        <v/>
      </c>
      <c r="L230" s="118" t="str">
        <f>IFERROR(_xlfn.XLOOKUP($A230,'Raw Data'!$G:$G,'Raw Data'!X:X),"")</f>
        <v/>
      </c>
      <c r="M230" s="118" t="str">
        <f>IFERROR(_xlfn.XLOOKUP($A230,'Raw Data'!$G:$G,'Raw Data'!Y:Y),"")</f>
        <v/>
      </c>
      <c r="N230" s="118" t="str">
        <f>IFERROR(_xlfn.XLOOKUP($A230,'Raw Data'!$G:$G,'Raw Data'!Z:Z),"")</f>
        <v/>
      </c>
      <c r="O230" s="145" t="str">
        <f>IFERROR(1-SUMIF('Plant BD'!$B:$B,$A230,'Plant BD'!$AM:$AM)/($AA230+SUMIF('Plant BD'!$B:$B,$A230,'Plant BD'!$AM:$AM)),"")</f>
        <v/>
      </c>
      <c r="P230" s="145"/>
      <c r="Q230" s="146"/>
      <c r="R230" s="145" t="str">
        <f>IFERROR(1-SUMIF('Grid BD'!$B:$B,$A230,'Grid BD'!$AE:$AE)/($AA230+SUMIF('Grid BD'!$B:$B,$A230,'Grid BD'!$AE:$AE)),"")</f>
        <v/>
      </c>
      <c r="T230" s="146" t="str">
        <f>IFERROR(1-SUMIF(Tracker_BD!$H:$H,$A230,Tracker_BD!AI:AI)/$F230,"")</f>
        <v/>
      </c>
      <c r="U230" s="147" t="str">
        <f t="shared" si="13"/>
        <v/>
      </c>
      <c r="V230" s="147"/>
      <c r="W230" s="148" t="str">
        <f t="shared" si="14"/>
        <v/>
      </c>
      <c r="X230" s="143" t="str">
        <f>IFERROR(_xlfn.XLOOKUP($A230,'Raw Data'!$G:$G,'Raw Data'!$AB:$AB),"")</f>
        <v/>
      </c>
      <c r="Y230" s="143" t="str">
        <f>IFERROR(_xlfn.XLOOKUP($A230,'Raw Data'!$G:$G,'Raw Data'!AC:AC),"")</f>
        <v/>
      </c>
      <c r="Z230" s="143" t="str">
        <f>IFERROR(_xlfn.XLOOKUP($A230,'Raw Data'!$G:$G,'Raw Data'!AD:AD),"")</f>
        <v/>
      </c>
      <c r="AA230" s="143" t="str">
        <f>IFERROR(_xlfn.XLOOKUP($A230,'Raw Data'!$G:$G,'Raw Data'!AE:AE)*(1+(_xlfn.XLOOKUP(Table13[[#This Row],[Month Year]],JMR!$A:$A,JMR!$J:$J))),"")</f>
        <v/>
      </c>
      <c r="AB230" s="143" t="str">
        <f>IFERROR(_xlfn.XLOOKUP($A230,'Raw Data'!$G:$G,'Raw Data'!$H:$H),"")</f>
        <v/>
      </c>
      <c r="AC230" s="149">
        <f>IFERROR(_xlfn.XLOOKUP($D230,'Modelling New'!$D:$D,'Modelling New'!$P:$P),"")</f>
        <v>5.6270663033333346</v>
      </c>
      <c r="AD230" s="143">
        <f>IFERROR(_xlfn.XLOOKUP($D230,'Modelling New'!$D:$D,'Modelling New'!$T:$T)*1000,"")</f>
        <v>49196.002720215052</v>
      </c>
      <c r="AE230" s="148">
        <f>IFERROR(_xlfn.XLOOKUP($D230,'Modelling New'!$D:$D,'Modelling New'!$O:$O),"")</f>
        <v>0.7459679568935248</v>
      </c>
      <c r="AF230" s="148">
        <f>IFERROR(_xlfn.XLOOKUP($D230,'Modelling New'!$D:$D,'Modelling New'!$W:$W),"")</f>
        <v>0.17490046473341528</v>
      </c>
      <c r="AG230" s="148">
        <f>IFERROR(_xlfn.XLOOKUP($D230,'Modelling New'!$D:$D,'Modelling New'!AE:AE),"")</f>
        <v>0.995</v>
      </c>
      <c r="AH230" s="148">
        <f>IFERROR(_xlfn.XLOOKUP($D230,'Modelling New'!$D:$D,'Modelling New'!AF:AF),"")</f>
        <v>0.98550000000000004</v>
      </c>
      <c r="AN230" s="145"/>
      <c r="AO230" s="148"/>
      <c r="AP230" s="148"/>
      <c r="AQ230" s="148"/>
      <c r="AR230" s="143">
        <f>IFERROR(_xlfn.XLOOKUP($D230,'Modelling New'!$D:$D,'Modelling New'!$N:$N),"")</f>
        <v>11.72</v>
      </c>
      <c r="AT230" s="143" t="str">
        <f>IFERROR(_xlfn.XLOOKUP(Table13[[#This Row],[Date]],'Raw Data'!$G:$G,'Raw Data'!$AJ:$AJ),"")</f>
        <v/>
      </c>
      <c r="AU230" s="143">
        <f>IFERROR(_xlfn.XLOOKUP(Table13[[#This Row],[Month Year]],'Modelling New'!$D:$D,'Modelling New'!$AO:$AO),"")</f>
        <v>10</v>
      </c>
      <c r="AV230" s="143"/>
    </row>
    <row r="231" spans="1:48">
      <c r="A231" s="142">
        <f t="shared" si="15"/>
        <v>45974</v>
      </c>
      <c r="B231" s="143">
        <f>YEAR(Table13[[#This Row],[Date]])+IF(MONTH(Table13[[#This Row],[Date]])&gt;=4,1,0)</f>
        <v>2026</v>
      </c>
      <c r="C231" s="116">
        <f>YEAR(Table13[[#This Row],[Date]])</f>
        <v>2025</v>
      </c>
      <c r="D231" s="144">
        <f>Table13[[#This Row],[Date]]-DAY(Table13[[#This Row],[Date]])+1</f>
        <v>45962</v>
      </c>
      <c r="E231" s="116">
        <f t="shared" si="16"/>
        <v>30</v>
      </c>
      <c r="F231" s="117" t="str">
        <f>IFERROR(_xlfn.XLOOKUP($A231,'Raw Data'!$G:$G,'Raw Data'!$AH:$AH),"")</f>
        <v/>
      </c>
      <c r="G231" s="118" t="str">
        <f>IFERROR(_xlfn.XLOOKUP($A231,'Raw Data'!$G:$G,'Raw Data'!$S:$S)/1000,"")</f>
        <v/>
      </c>
      <c r="H231" s="118"/>
      <c r="I231" s="118" t="str">
        <f>IFERROR(_xlfn.XLOOKUP($A231,'Raw Data'!$G:$G,'Raw Data'!$AF:$AF)/1000,"")</f>
        <v/>
      </c>
      <c r="J231" s="118"/>
      <c r="K231" s="118" t="str">
        <f>IFERROR(_xlfn.XLOOKUP($A231,'Raw Data'!$G:$G,'Raw Data'!W:W),"")</f>
        <v/>
      </c>
      <c r="L231" s="118" t="str">
        <f>IFERROR(_xlfn.XLOOKUP($A231,'Raw Data'!$G:$G,'Raw Data'!X:X),"")</f>
        <v/>
      </c>
      <c r="M231" s="118" t="str">
        <f>IFERROR(_xlfn.XLOOKUP($A231,'Raw Data'!$G:$G,'Raw Data'!Y:Y),"")</f>
        <v/>
      </c>
      <c r="N231" s="118" t="str">
        <f>IFERROR(_xlfn.XLOOKUP($A231,'Raw Data'!$G:$G,'Raw Data'!Z:Z),"")</f>
        <v/>
      </c>
      <c r="O231" s="145" t="str">
        <f>IFERROR(1-SUMIF('Plant BD'!$B:$B,$A231,'Plant BD'!$AM:$AM)/($AA231+SUMIF('Plant BD'!$B:$B,$A231,'Plant BD'!$AM:$AM)),"")</f>
        <v/>
      </c>
      <c r="P231" s="145"/>
      <c r="Q231" s="146"/>
      <c r="R231" s="145" t="str">
        <f>IFERROR(1-SUMIF('Grid BD'!$B:$B,$A231,'Grid BD'!$AE:$AE)/($AA231+SUMIF('Grid BD'!$B:$B,$A231,'Grid BD'!$AE:$AE)),"")</f>
        <v/>
      </c>
      <c r="T231" s="146" t="str">
        <f>IFERROR(1-SUMIF(Tracker_BD!$H:$H,$A231,Tracker_BD!AI:AI)/$F231,"")</f>
        <v/>
      </c>
      <c r="U231" s="147" t="str">
        <f t="shared" si="13"/>
        <v/>
      </c>
      <c r="V231" s="147"/>
      <c r="W231" s="148" t="str">
        <f t="shared" si="14"/>
        <v/>
      </c>
      <c r="X231" s="143" t="str">
        <f>IFERROR(_xlfn.XLOOKUP($A231,'Raw Data'!$G:$G,'Raw Data'!$AB:$AB),"")</f>
        <v/>
      </c>
      <c r="Y231" s="143" t="str">
        <f>IFERROR(_xlfn.XLOOKUP($A231,'Raw Data'!$G:$G,'Raw Data'!AC:AC),"")</f>
        <v/>
      </c>
      <c r="Z231" s="143" t="str">
        <f>IFERROR(_xlfn.XLOOKUP($A231,'Raw Data'!$G:$G,'Raw Data'!AD:AD),"")</f>
        <v/>
      </c>
      <c r="AA231" s="143" t="str">
        <f>IFERROR(_xlfn.XLOOKUP($A231,'Raw Data'!$G:$G,'Raw Data'!AE:AE)*(1+(_xlfn.XLOOKUP(Table13[[#This Row],[Month Year]],JMR!$A:$A,JMR!$J:$J))),"")</f>
        <v/>
      </c>
      <c r="AB231" s="143" t="str">
        <f>IFERROR(_xlfn.XLOOKUP($A231,'Raw Data'!$G:$G,'Raw Data'!$H:$H),"")</f>
        <v/>
      </c>
      <c r="AC231" s="149">
        <f>IFERROR(_xlfn.XLOOKUP($D231,'Modelling New'!$D:$D,'Modelling New'!$P:$P),"")</f>
        <v>5.6270663033333346</v>
      </c>
      <c r="AD231" s="143">
        <f>IFERROR(_xlfn.XLOOKUP($D231,'Modelling New'!$D:$D,'Modelling New'!$T:$T)*1000,"")</f>
        <v>49196.002720215052</v>
      </c>
      <c r="AE231" s="148">
        <f>IFERROR(_xlfn.XLOOKUP($D231,'Modelling New'!$D:$D,'Modelling New'!$O:$O),"")</f>
        <v>0.7459679568935248</v>
      </c>
      <c r="AF231" s="148">
        <f>IFERROR(_xlfn.XLOOKUP($D231,'Modelling New'!$D:$D,'Modelling New'!$W:$W),"")</f>
        <v>0.17490046473341528</v>
      </c>
      <c r="AG231" s="148">
        <f>IFERROR(_xlfn.XLOOKUP($D231,'Modelling New'!$D:$D,'Modelling New'!AE:AE),"")</f>
        <v>0.995</v>
      </c>
      <c r="AH231" s="148">
        <f>IFERROR(_xlfn.XLOOKUP($D231,'Modelling New'!$D:$D,'Modelling New'!AF:AF),"")</f>
        <v>0.98550000000000004</v>
      </c>
      <c r="AN231" s="145"/>
      <c r="AO231" s="148"/>
      <c r="AP231" s="148"/>
      <c r="AQ231" s="148"/>
      <c r="AR231" s="143">
        <f>IFERROR(_xlfn.XLOOKUP($D231,'Modelling New'!$D:$D,'Modelling New'!$N:$N),"")</f>
        <v>11.72</v>
      </c>
      <c r="AT231" s="143" t="str">
        <f>IFERROR(_xlfn.XLOOKUP(Table13[[#This Row],[Date]],'Raw Data'!$G:$G,'Raw Data'!$AJ:$AJ),"")</f>
        <v/>
      </c>
      <c r="AU231" s="143">
        <f>IFERROR(_xlfn.XLOOKUP(Table13[[#This Row],[Month Year]],'Modelling New'!$D:$D,'Modelling New'!$AO:$AO),"")</f>
        <v>10</v>
      </c>
      <c r="AV231" s="143"/>
    </row>
    <row r="232" spans="1:48">
      <c r="A232" s="142">
        <f t="shared" si="15"/>
        <v>45975</v>
      </c>
      <c r="B232" s="143">
        <f>YEAR(Table13[[#This Row],[Date]])+IF(MONTH(Table13[[#This Row],[Date]])&gt;=4,1,0)</f>
        <v>2026</v>
      </c>
      <c r="C232" s="116">
        <f>YEAR(Table13[[#This Row],[Date]])</f>
        <v>2025</v>
      </c>
      <c r="D232" s="144">
        <f>Table13[[#This Row],[Date]]-DAY(Table13[[#This Row],[Date]])+1</f>
        <v>45962</v>
      </c>
      <c r="E232" s="116">
        <f t="shared" si="16"/>
        <v>30</v>
      </c>
      <c r="F232" s="117" t="str">
        <f>IFERROR(_xlfn.XLOOKUP($A232,'Raw Data'!$G:$G,'Raw Data'!$AH:$AH),"")</f>
        <v/>
      </c>
      <c r="G232" s="118" t="str">
        <f>IFERROR(_xlfn.XLOOKUP($A232,'Raw Data'!$G:$G,'Raw Data'!$S:$S)/1000,"")</f>
        <v/>
      </c>
      <c r="H232" s="118"/>
      <c r="I232" s="118" t="str">
        <f>IFERROR(_xlfn.XLOOKUP($A232,'Raw Data'!$G:$G,'Raw Data'!$AF:$AF)/1000,"")</f>
        <v/>
      </c>
      <c r="J232" s="118"/>
      <c r="K232" s="118" t="str">
        <f>IFERROR(_xlfn.XLOOKUP($A232,'Raw Data'!$G:$G,'Raw Data'!W:W),"")</f>
        <v/>
      </c>
      <c r="L232" s="118" t="str">
        <f>IFERROR(_xlfn.XLOOKUP($A232,'Raw Data'!$G:$G,'Raw Data'!X:X),"")</f>
        <v/>
      </c>
      <c r="M232" s="118" t="str">
        <f>IFERROR(_xlfn.XLOOKUP($A232,'Raw Data'!$G:$G,'Raw Data'!Y:Y),"")</f>
        <v/>
      </c>
      <c r="N232" s="118" t="str">
        <f>IFERROR(_xlfn.XLOOKUP($A232,'Raw Data'!$G:$G,'Raw Data'!Z:Z),"")</f>
        <v/>
      </c>
      <c r="O232" s="145" t="str">
        <f>IFERROR(1-SUMIF('Plant BD'!$B:$B,$A232,'Plant BD'!$AM:$AM)/($AA232+SUMIF('Plant BD'!$B:$B,$A232,'Plant BD'!$AM:$AM)),"")</f>
        <v/>
      </c>
      <c r="P232" s="145"/>
      <c r="Q232" s="146"/>
      <c r="R232" s="145" t="str">
        <f>IFERROR(1-SUMIF('Grid BD'!$B:$B,$A232,'Grid BD'!$AE:$AE)/($AA232+SUMIF('Grid BD'!$B:$B,$A232,'Grid BD'!$AE:$AE)),"")</f>
        <v/>
      </c>
      <c r="T232" s="146" t="str">
        <f>IFERROR(1-SUMIF(Tracker_BD!$H:$H,$A232,Tracker_BD!AI:AI)/$F232,"")</f>
        <v/>
      </c>
      <c r="U232" s="147" t="str">
        <f t="shared" si="13"/>
        <v/>
      </c>
      <c r="V232" s="147"/>
      <c r="W232" s="148" t="str">
        <f t="shared" si="14"/>
        <v/>
      </c>
      <c r="X232" s="143" t="str">
        <f>IFERROR(_xlfn.XLOOKUP($A232,'Raw Data'!$G:$G,'Raw Data'!$AB:$AB),"")</f>
        <v/>
      </c>
      <c r="Y232" s="143" t="str">
        <f>IFERROR(_xlfn.XLOOKUP($A232,'Raw Data'!$G:$G,'Raw Data'!AC:AC),"")</f>
        <v/>
      </c>
      <c r="Z232" s="143" t="str">
        <f>IFERROR(_xlfn.XLOOKUP($A232,'Raw Data'!$G:$G,'Raw Data'!AD:AD),"")</f>
        <v/>
      </c>
      <c r="AA232" s="143" t="str">
        <f>IFERROR(_xlfn.XLOOKUP($A232,'Raw Data'!$G:$G,'Raw Data'!AE:AE)*(1+(_xlfn.XLOOKUP(Table13[[#This Row],[Month Year]],JMR!$A:$A,JMR!$J:$J))),"")</f>
        <v/>
      </c>
      <c r="AB232" s="143" t="str">
        <f>IFERROR(_xlfn.XLOOKUP($A232,'Raw Data'!$G:$G,'Raw Data'!$H:$H),"")</f>
        <v/>
      </c>
      <c r="AC232" s="149">
        <f>IFERROR(_xlfn.XLOOKUP($D232,'Modelling New'!$D:$D,'Modelling New'!$P:$P),"")</f>
        <v>5.6270663033333346</v>
      </c>
      <c r="AD232" s="143">
        <f>IFERROR(_xlfn.XLOOKUP($D232,'Modelling New'!$D:$D,'Modelling New'!$T:$T)*1000,"")</f>
        <v>49196.002720215052</v>
      </c>
      <c r="AE232" s="148">
        <f>IFERROR(_xlfn.XLOOKUP($D232,'Modelling New'!$D:$D,'Modelling New'!$O:$O),"")</f>
        <v>0.7459679568935248</v>
      </c>
      <c r="AF232" s="148">
        <f>IFERROR(_xlfn.XLOOKUP($D232,'Modelling New'!$D:$D,'Modelling New'!$W:$W),"")</f>
        <v>0.17490046473341528</v>
      </c>
      <c r="AG232" s="148">
        <f>IFERROR(_xlfn.XLOOKUP($D232,'Modelling New'!$D:$D,'Modelling New'!AE:AE),"")</f>
        <v>0.995</v>
      </c>
      <c r="AH232" s="148">
        <f>IFERROR(_xlfn.XLOOKUP($D232,'Modelling New'!$D:$D,'Modelling New'!AF:AF),"")</f>
        <v>0.98550000000000004</v>
      </c>
      <c r="AN232" s="145"/>
      <c r="AO232" s="148"/>
      <c r="AP232" s="148"/>
      <c r="AQ232" s="148"/>
      <c r="AR232" s="143">
        <f>IFERROR(_xlfn.XLOOKUP($D232,'Modelling New'!$D:$D,'Modelling New'!$N:$N),"")</f>
        <v>11.72</v>
      </c>
      <c r="AT232" s="143" t="str">
        <f>IFERROR(_xlfn.XLOOKUP(Table13[[#This Row],[Date]],'Raw Data'!$G:$G,'Raw Data'!$AJ:$AJ),"")</f>
        <v/>
      </c>
      <c r="AU232" s="143">
        <f>IFERROR(_xlfn.XLOOKUP(Table13[[#This Row],[Month Year]],'Modelling New'!$D:$D,'Modelling New'!$AO:$AO),"")</f>
        <v>10</v>
      </c>
      <c r="AV232" s="143"/>
    </row>
    <row r="233" spans="1:48">
      <c r="A233" s="142">
        <f t="shared" si="15"/>
        <v>45976</v>
      </c>
      <c r="B233" s="143">
        <f>YEAR(Table13[[#This Row],[Date]])+IF(MONTH(Table13[[#This Row],[Date]])&gt;=4,1,0)</f>
        <v>2026</v>
      </c>
      <c r="C233" s="116">
        <f>YEAR(Table13[[#This Row],[Date]])</f>
        <v>2025</v>
      </c>
      <c r="D233" s="144">
        <f>Table13[[#This Row],[Date]]-DAY(Table13[[#This Row],[Date]])+1</f>
        <v>45962</v>
      </c>
      <c r="E233" s="116">
        <f t="shared" si="16"/>
        <v>30</v>
      </c>
      <c r="F233" s="117" t="str">
        <f>IFERROR(_xlfn.XLOOKUP($A233,'Raw Data'!$G:$G,'Raw Data'!$AH:$AH),"")</f>
        <v/>
      </c>
      <c r="G233" s="118" t="str">
        <f>IFERROR(_xlfn.XLOOKUP($A233,'Raw Data'!$G:$G,'Raw Data'!$S:$S)/1000,"")</f>
        <v/>
      </c>
      <c r="H233" s="118"/>
      <c r="I233" s="118" t="str">
        <f>IFERROR(_xlfn.XLOOKUP($A233,'Raw Data'!$G:$G,'Raw Data'!$AF:$AF)/1000,"")</f>
        <v/>
      </c>
      <c r="J233" s="118"/>
      <c r="K233" s="118" t="str">
        <f>IFERROR(_xlfn.XLOOKUP($A233,'Raw Data'!$G:$G,'Raw Data'!W:W),"")</f>
        <v/>
      </c>
      <c r="L233" s="118" t="str">
        <f>IFERROR(_xlfn.XLOOKUP($A233,'Raw Data'!$G:$G,'Raw Data'!X:X),"")</f>
        <v/>
      </c>
      <c r="M233" s="118" t="str">
        <f>IFERROR(_xlfn.XLOOKUP($A233,'Raw Data'!$G:$G,'Raw Data'!Y:Y),"")</f>
        <v/>
      </c>
      <c r="N233" s="118" t="str">
        <f>IFERROR(_xlfn.XLOOKUP($A233,'Raw Data'!$G:$G,'Raw Data'!Z:Z),"")</f>
        <v/>
      </c>
      <c r="O233" s="145" t="str">
        <f>IFERROR(1-SUMIF('Plant BD'!$B:$B,$A233,'Plant BD'!$AM:$AM)/($AA233+SUMIF('Plant BD'!$B:$B,$A233,'Plant BD'!$AM:$AM)),"")</f>
        <v/>
      </c>
      <c r="P233" s="145"/>
      <c r="Q233" s="146"/>
      <c r="R233" s="145" t="str">
        <f>IFERROR(1-SUMIF('Grid BD'!$B:$B,$A233,'Grid BD'!$AE:$AE)/($AA233+SUMIF('Grid BD'!$B:$B,$A233,'Grid BD'!$AE:$AE)),"")</f>
        <v/>
      </c>
      <c r="T233" s="146" t="str">
        <f>IFERROR(1-SUMIF(Tracker_BD!$H:$H,$A233,Tracker_BD!AI:AI)/$F233,"")</f>
        <v/>
      </c>
      <c r="U233" s="147" t="str">
        <f t="shared" si="13"/>
        <v/>
      </c>
      <c r="V233" s="147"/>
      <c r="W233" s="148" t="str">
        <f t="shared" si="14"/>
        <v/>
      </c>
      <c r="X233" s="143" t="str">
        <f>IFERROR(_xlfn.XLOOKUP($A233,'Raw Data'!$G:$G,'Raw Data'!$AB:$AB),"")</f>
        <v/>
      </c>
      <c r="Y233" s="143" t="str">
        <f>IFERROR(_xlfn.XLOOKUP($A233,'Raw Data'!$G:$G,'Raw Data'!AC:AC),"")</f>
        <v/>
      </c>
      <c r="Z233" s="143" t="str">
        <f>IFERROR(_xlfn.XLOOKUP($A233,'Raw Data'!$G:$G,'Raw Data'!AD:AD),"")</f>
        <v/>
      </c>
      <c r="AA233" s="143" t="str">
        <f>IFERROR(_xlfn.XLOOKUP($A233,'Raw Data'!$G:$G,'Raw Data'!AE:AE)*(1+(_xlfn.XLOOKUP(Table13[[#This Row],[Month Year]],JMR!$A:$A,JMR!$J:$J))),"")</f>
        <v/>
      </c>
      <c r="AB233" s="143" t="str">
        <f>IFERROR(_xlfn.XLOOKUP($A233,'Raw Data'!$G:$G,'Raw Data'!$H:$H),"")</f>
        <v/>
      </c>
      <c r="AC233" s="149">
        <f>IFERROR(_xlfn.XLOOKUP($D233,'Modelling New'!$D:$D,'Modelling New'!$P:$P),"")</f>
        <v>5.6270663033333346</v>
      </c>
      <c r="AD233" s="143">
        <f>IFERROR(_xlfn.XLOOKUP($D233,'Modelling New'!$D:$D,'Modelling New'!$T:$T)*1000,"")</f>
        <v>49196.002720215052</v>
      </c>
      <c r="AE233" s="148">
        <f>IFERROR(_xlfn.XLOOKUP($D233,'Modelling New'!$D:$D,'Modelling New'!$O:$O),"")</f>
        <v>0.7459679568935248</v>
      </c>
      <c r="AF233" s="148">
        <f>IFERROR(_xlfn.XLOOKUP($D233,'Modelling New'!$D:$D,'Modelling New'!$W:$W),"")</f>
        <v>0.17490046473341528</v>
      </c>
      <c r="AG233" s="148">
        <f>IFERROR(_xlfn.XLOOKUP($D233,'Modelling New'!$D:$D,'Modelling New'!AE:AE),"")</f>
        <v>0.995</v>
      </c>
      <c r="AH233" s="148">
        <f>IFERROR(_xlfn.XLOOKUP($D233,'Modelling New'!$D:$D,'Modelling New'!AF:AF),"")</f>
        <v>0.98550000000000004</v>
      </c>
      <c r="AN233" s="145"/>
      <c r="AO233" s="148"/>
      <c r="AP233" s="148"/>
      <c r="AQ233" s="148"/>
      <c r="AR233" s="143">
        <f>IFERROR(_xlfn.XLOOKUP($D233,'Modelling New'!$D:$D,'Modelling New'!$N:$N),"")</f>
        <v>11.72</v>
      </c>
      <c r="AT233" s="143" t="str">
        <f>IFERROR(_xlfn.XLOOKUP(Table13[[#This Row],[Date]],'Raw Data'!$G:$G,'Raw Data'!$AJ:$AJ),"")</f>
        <v/>
      </c>
      <c r="AU233" s="143">
        <f>IFERROR(_xlfn.XLOOKUP(Table13[[#This Row],[Month Year]],'Modelling New'!$D:$D,'Modelling New'!$AO:$AO),"")</f>
        <v>10</v>
      </c>
      <c r="AV233" s="143"/>
    </row>
    <row r="234" spans="1:48">
      <c r="A234" s="142">
        <f t="shared" si="15"/>
        <v>45977</v>
      </c>
      <c r="B234" s="143">
        <f>YEAR(Table13[[#This Row],[Date]])+IF(MONTH(Table13[[#This Row],[Date]])&gt;=4,1,0)</f>
        <v>2026</v>
      </c>
      <c r="C234" s="116">
        <f>YEAR(Table13[[#This Row],[Date]])</f>
        <v>2025</v>
      </c>
      <c r="D234" s="144">
        <f>Table13[[#This Row],[Date]]-DAY(Table13[[#This Row],[Date]])+1</f>
        <v>45962</v>
      </c>
      <c r="E234" s="116">
        <f t="shared" si="16"/>
        <v>30</v>
      </c>
      <c r="F234" s="117" t="str">
        <f>IFERROR(_xlfn.XLOOKUP($A234,'Raw Data'!$G:$G,'Raw Data'!$AH:$AH),"")</f>
        <v/>
      </c>
      <c r="G234" s="118" t="str">
        <f>IFERROR(_xlfn.XLOOKUP($A234,'Raw Data'!$G:$G,'Raw Data'!$S:$S)/1000,"")</f>
        <v/>
      </c>
      <c r="H234" s="118"/>
      <c r="I234" s="118" t="str">
        <f>IFERROR(_xlfn.XLOOKUP($A234,'Raw Data'!$G:$G,'Raw Data'!$AF:$AF)/1000,"")</f>
        <v/>
      </c>
      <c r="J234" s="118"/>
      <c r="K234" s="118" t="str">
        <f>IFERROR(_xlfn.XLOOKUP($A234,'Raw Data'!$G:$G,'Raw Data'!W:W),"")</f>
        <v/>
      </c>
      <c r="L234" s="118" t="str">
        <f>IFERROR(_xlfn.XLOOKUP($A234,'Raw Data'!$G:$G,'Raw Data'!X:X),"")</f>
        <v/>
      </c>
      <c r="M234" s="118" t="str">
        <f>IFERROR(_xlfn.XLOOKUP($A234,'Raw Data'!$G:$G,'Raw Data'!Y:Y),"")</f>
        <v/>
      </c>
      <c r="N234" s="118" t="str">
        <f>IFERROR(_xlfn.XLOOKUP($A234,'Raw Data'!$G:$G,'Raw Data'!Z:Z),"")</f>
        <v/>
      </c>
      <c r="O234" s="145" t="str">
        <f>IFERROR(1-SUMIF('Plant BD'!$B:$B,$A234,'Plant BD'!$AM:$AM)/($AA234+SUMIF('Plant BD'!$B:$B,$A234,'Plant BD'!$AM:$AM)),"")</f>
        <v/>
      </c>
      <c r="P234" s="145"/>
      <c r="Q234" s="146"/>
      <c r="R234" s="145" t="str">
        <f>IFERROR(1-SUMIF('Grid BD'!$B:$B,$A234,'Grid BD'!$AE:$AE)/($AA234+SUMIF('Grid BD'!$B:$B,$A234,'Grid BD'!$AE:$AE)),"")</f>
        <v/>
      </c>
      <c r="T234" s="146" t="str">
        <f>IFERROR(1-SUMIF(Tracker_BD!$H:$H,$A234,Tracker_BD!AI:AI)/$F234,"")</f>
        <v/>
      </c>
      <c r="U234" s="147" t="str">
        <f t="shared" si="13"/>
        <v/>
      </c>
      <c r="V234" s="147"/>
      <c r="W234" s="148" t="str">
        <f t="shared" si="14"/>
        <v/>
      </c>
      <c r="X234" s="143" t="str">
        <f>IFERROR(_xlfn.XLOOKUP($A234,'Raw Data'!$G:$G,'Raw Data'!$AB:$AB),"")</f>
        <v/>
      </c>
      <c r="Y234" s="143" t="str">
        <f>IFERROR(_xlfn.XLOOKUP($A234,'Raw Data'!$G:$G,'Raw Data'!AC:AC),"")</f>
        <v/>
      </c>
      <c r="Z234" s="143" t="str">
        <f>IFERROR(_xlfn.XLOOKUP($A234,'Raw Data'!$G:$G,'Raw Data'!AD:AD),"")</f>
        <v/>
      </c>
      <c r="AA234" s="143" t="str">
        <f>IFERROR(_xlfn.XLOOKUP($A234,'Raw Data'!$G:$G,'Raw Data'!AE:AE)*(1+(_xlfn.XLOOKUP(Table13[[#This Row],[Month Year]],JMR!$A:$A,JMR!$J:$J))),"")</f>
        <v/>
      </c>
      <c r="AB234" s="143" t="str">
        <f>IFERROR(_xlfn.XLOOKUP($A234,'Raw Data'!$G:$G,'Raw Data'!$H:$H),"")</f>
        <v/>
      </c>
      <c r="AC234" s="149">
        <f>IFERROR(_xlfn.XLOOKUP($D234,'Modelling New'!$D:$D,'Modelling New'!$P:$P),"")</f>
        <v>5.6270663033333346</v>
      </c>
      <c r="AD234" s="143">
        <f>IFERROR(_xlfn.XLOOKUP($D234,'Modelling New'!$D:$D,'Modelling New'!$T:$T)*1000,"")</f>
        <v>49196.002720215052</v>
      </c>
      <c r="AE234" s="148">
        <f>IFERROR(_xlfn.XLOOKUP($D234,'Modelling New'!$D:$D,'Modelling New'!$O:$O),"")</f>
        <v>0.7459679568935248</v>
      </c>
      <c r="AF234" s="148">
        <f>IFERROR(_xlfn.XLOOKUP($D234,'Modelling New'!$D:$D,'Modelling New'!$W:$W),"")</f>
        <v>0.17490046473341528</v>
      </c>
      <c r="AG234" s="148">
        <f>IFERROR(_xlfn.XLOOKUP($D234,'Modelling New'!$D:$D,'Modelling New'!AE:AE),"")</f>
        <v>0.995</v>
      </c>
      <c r="AH234" s="148">
        <f>IFERROR(_xlfn.XLOOKUP($D234,'Modelling New'!$D:$D,'Modelling New'!AF:AF),"")</f>
        <v>0.98550000000000004</v>
      </c>
      <c r="AN234" s="145"/>
      <c r="AO234" s="148"/>
      <c r="AP234" s="148"/>
      <c r="AQ234" s="148"/>
      <c r="AR234" s="143">
        <f>IFERROR(_xlfn.XLOOKUP($D234,'Modelling New'!$D:$D,'Modelling New'!$N:$N),"")</f>
        <v>11.72</v>
      </c>
      <c r="AT234" s="143" t="str">
        <f>IFERROR(_xlfn.XLOOKUP(Table13[[#This Row],[Date]],'Raw Data'!$G:$G,'Raw Data'!$AJ:$AJ),"")</f>
        <v/>
      </c>
      <c r="AU234" s="143">
        <f>IFERROR(_xlfn.XLOOKUP(Table13[[#This Row],[Month Year]],'Modelling New'!$D:$D,'Modelling New'!$AO:$AO),"")</f>
        <v>10</v>
      </c>
      <c r="AV234" s="143"/>
    </row>
    <row r="235" spans="1:48">
      <c r="A235" s="142">
        <f t="shared" si="15"/>
        <v>45978</v>
      </c>
      <c r="B235" s="143">
        <f>YEAR(Table13[[#This Row],[Date]])+IF(MONTH(Table13[[#This Row],[Date]])&gt;=4,1,0)</f>
        <v>2026</v>
      </c>
      <c r="C235" s="116">
        <f>YEAR(Table13[[#This Row],[Date]])</f>
        <v>2025</v>
      </c>
      <c r="D235" s="144">
        <f>Table13[[#This Row],[Date]]-DAY(Table13[[#This Row],[Date]])+1</f>
        <v>45962</v>
      </c>
      <c r="E235" s="116">
        <f t="shared" si="16"/>
        <v>30</v>
      </c>
      <c r="F235" s="117" t="str">
        <f>IFERROR(_xlfn.XLOOKUP($A235,'Raw Data'!$G:$G,'Raw Data'!$AH:$AH),"")</f>
        <v/>
      </c>
      <c r="G235" s="118" t="str">
        <f>IFERROR(_xlfn.XLOOKUP($A235,'Raw Data'!$G:$G,'Raw Data'!$S:$S)/1000,"")</f>
        <v/>
      </c>
      <c r="H235" s="118"/>
      <c r="I235" s="118" t="str">
        <f>IFERROR(_xlfn.XLOOKUP($A235,'Raw Data'!$G:$G,'Raw Data'!$AF:$AF)/1000,"")</f>
        <v/>
      </c>
      <c r="J235" s="118"/>
      <c r="K235" s="118" t="str">
        <f>IFERROR(_xlfn.XLOOKUP($A235,'Raw Data'!$G:$G,'Raw Data'!W:W),"")</f>
        <v/>
      </c>
      <c r="L235" s="118" t="str">
        <f>IFERROR(_xlfn.XLOOKUP($A235,'Raw Data'!$G:$G,'Raw Data'!X:X),"")</f>
        <v/>
      </c>
      <c r="M235" s="118" t="str">
        <f>IFERROR(_xlfn.XLOOKUP($A235,'Raw Data'!$G:$G,'Raw Data'!Y:Y),"")</f>
        <v/>
      </c>
      <c r="N235" s="118" t="str">
        <f>IFERROR(_xlfn.XLOOKUP($A235,'Raw Data'!$G:$G,'Raw Data'!Z:Z),"")</f>
        <v/>
      </c>
      <c r="O235" s="145" t="str">
        <f>IFERROR(1-SUMIF('Plant BD'!$B:$B,$A235,'Plant BD'!$AM:$AM)/($AA235+SUMIF('Plant BD'!$B:$B,$A235,'Plant BD'!$AM:$AM)),"")</f>
        <v/>
      </c>
      <c r="P235" s="145"/>
      <c r="Q235" s="146"/>
      <c r="R235" s="145" t="str">
        <f>IFERROR(1-SUMIF('Grid BD'!$B:$B,$A235,'Grid BD'!$AE:$AE)/($AA235+SUMIF('Grid BD'!$B:$B,$A235,'Grid BD'!$AE:$AE)),"")</f>
        <v/>
      </c>
      <c r="T235" s="146" t="str">
        <f>IFERROR(1-SUMIF(Tracker_BD!$H:$H,$A235,Tracker_BD!AI:AI)/$F235,"")</f>
        <v/>
      </c>
      <c r="U235" s="147" t="str">
        <f t="shared" si="13"/>
        <v/>
      </c>
      <c r="V235" s="147"/>
      <c r="W235" s="148" t="str">
        <f t="shared" si="14"/>
        <v/>
      </c>
      <c r="X235" s="143" t="str">
        <f>IFERROR(_xlfn.XLOOKUP($A235,'Raw Data'!$G:$G,'Raw Data'!$AB:$AB),"")</f>
        <v/>
      </c>
      <c r="Y235" s="143" t="str">
        <f>IFERROR(_xlfn.XLOOKUP($A235,'Raw Data'!$G:$G,'Raw Data'!AC:AC),"")</f>
        <v/>
      </c>
      <c r="Z235" s="143" t="str">
        <f>IFERROR(_xlfn.XLOOKUP($A235,'Raw Data'!$G:$G,'Raw Data'!AD:AD),"")</f>
        <v/>
      </c>
      <c r="AA235" s="143" t="str">
        <f>IFERROR(_xlfn.XLOOKUP($A235,'Raw Data'!$G:$G,'Raw Data'!AE:AE)*(1+(_xlfn.XLOOKUP(Table13[[#This Row],[Month Year]],JMR!$A:$A,JMR!$J:$J))),"")</f>
        <v/>
      </c>
      <c r="AB235" s="143" t="str">
        <f>IFERROR(_xlfn.XLOOKUP($A235,'Raw Data'!$G:$G,'Raw Data'!$H:$H),"")</f>
        <v/>
      </c>
      <c r="AC235" s="149">
        <f>IFERROR(_xlfn.XLOOKUP($D235,'Modelling New'!$D:$D,'Modelling New'!$P:$P),"")</f>
        <v>5.6270663033333346</v>
      </c>
      <c r="AD235" s="143">
        <f>IFERROR(_xlfn.XLOOKUP($D235,'Modelling New'!$D:$D,'Modelling New'!$T:$T)*1000,"")</f>
        <v>49196.002720215052</v>
      </c>
      <c r="AE235" s="148">
        <f>IFERROR(_xlfn.XLOOKUP($D235,'Modelling New'!$D:$D,'Modelling New'!$O:$O),"")</f>
        <v>0.7459679568935248</v>
      </c>
      <c r="AF235" s="148">
        <f>IFERROR(_xlfn.XLOOKUP($D235,'Modelling New'!$D:$D,'Modelling New'!$W:$W),"")</f>
        <v>0.17490046473341528</v>
      </c>
      <c r="AG235" s="148">
        <f>IFERROR(_xlfn.XLOOKUP($D235,'Modelling New'!$D:$D,'Modelling New'!AE:AE),"")</f>
        <v>0.995</v>
      </c>
      <c r="AH235" s="148">
        <f>IFERROR(_xlfn.XLOOKUP($D235,'Modelling New'!$D:$D,'Modelling New'!AF:AF),"")</f>
        <v>0.98550000000000004</v>
      </c>
      <c r="AN235" s="145"/>
      <c r="AO235" s="148"/>
      <c r="AP235" s="148"/>
      <c r="AQ235" s="148"/>
      <c r="AR235" s="143">
        <f>IFERROR(_xlfn.XLOOKUP($D235,'Modelling New'!$D:$D,'Modelling New'!$N:$N),"")</f>
        <v>11.72</v>
      </c>
      <c r="AT235" s="143" t="str">
        <f>IFERROR(_xlfn.XLOOKUP(Table13[[#This Row],[Date]],'Raw Data'!$G:$G,'Raw Data'!$AJ:$AJ),"")</f>
        <v/>
      </c>
      <c r="AU235" s="143">
        <f>IFERROR(_xlfn.XLOOKUP(Table13[[#This Row],[Month Year]],'Modelling New'!$D:$D,'Modelling New'!$AO:$AO),"")</f>
        <v>10</v>
      </c>
      <c r="AV235" s="143"/>
    </row>
    <row r="236" spans="1:48">
      <c r="A236" s="142">
        <f t="shared" si="15"/>
        <v>45979</v>
      </c>
      <c r="B236" s="143">
        <f>YEAR(Table13[[#This Row],[Date]])+IF(MONTH(Table13[[#This Row],[Date]])&gt;=4,1,0)</f>
        <v>2026</v>
      </c>
      <c r="C236" s="116">
        <f>YEAR(Table13[[#This Row],[Date]])</f>
        <v>2025</v>
      </c>
      <c r="D236" s="144">
        <f>Table13[[#This Row],[Date]]-DAY(Table13[[#This Row],[Date]])+1</f>
        <v>45962</v>
      </c>
      <c r="E236" s="116">
        <f t="shared" si="16"/>
        <v>30</v>
      </c>
      <c r="F236" s="117" t="str">
        <f>IFERROR(_xlfn.XLOOKUP($A236,'Raw Data'!$G:$G,'Raw Data'!$AH:$AH),"")</f>
        <v/>
      </c>
      <c r="G236" s="118" t="str">
        <f>IFERROR(_xlfn.XLOOKUP($A236,'Raw Data'!$G:$G,'Raw Data'!$S:$S)/1000,"")</f>
        <v/>
      </c>
      <c r="H236" s="118"/>
      <c r="I236" s="118" t="str">
        <f>IFERROR(_xlfn.XLOOKUP($A236,'Raw Data'!$G:$G,'Raw Data'!$AF:$AF)/1000,"")</f>
        <v/>
      </c>
      <c r="J236" s="118"/>
      <c r="K236" s="118" t="str">
        <f>IFERROR(_xlfn.XLOOKUP($A236,'Raw Data'!$G:$G,'Raw Data'!W:W),"")</f>
        <v/>
      </c>
      <c r="L236" s="118" t="str">
        <f>IFERROR(_xlfn.XLOOKUP($A236,'Raw Data'!$G:$G,'Raw Data'!X:X),"")</f>
        <v/>
      </c>
      <c r="M236" s="118" t="str">
        <f>IFERROR(_xlfn.XLOOKUP($A236,'Raw Data'!$G:$G,'Raw Data'!Y:Y),"")</f>
        <v/>
      </c>
      <c r="N236" s="118" t="str">
        <f>IFERROR(_xlfn.XLOOKUP($A236,'Raw Data'!$G:$G,'Raw Data'!Z:Z),"")</f>
        <v/>
      </c>
      <c r="O236" s="145" t="str">
        <f>IFERROR(1-SUMIF('Plant BD'!$B:$B,$A236,'Plant BD'!$AM:$AM)/($AA236+SUMIF('Plant BD'!$B:$B,$A236,'Plant BD'!$AM:$AM)),"")</f>
        <v/>
      </c>
      <c r="P236" s="145"/>
      <c r="Q236" s="146"/>
      <c r="R236" s="145" t="str">
        <f>IFERROR(1-SUMIF('Grid BD'!$B:$B,$A236,'Grid BD'!$AE:$AE)/($AA236+SUMIF('Grid BD'!$B:$B,$A236,'Grid BD'!$AE:$AE)),"")</f>
        <v/>
      </c>
      <c r="T236" s="146" t="str">
        <f>IFERROR(1-SUMIF(Tracker_BD!$H:$H,$A236,Tracker_BD!AI:AI)/$F236,"")</f>
        <v/>
      </c>
      <c r="U236" s="147" t="str">
        <f t="shared" si="13"/>
        <v/>
      </c>
      <c r="V236" s="147"/>
      <c r="W236" s="148" t="str">
        <f t="shared" si="14"/>
        <v/>
      </c>
      <c r="X236" s="143" t="str">
        <f>IFERROR(_xlfn.XLOOKUP($A236,'Raw Data'!$G:$G,'Raw Data'!$AB:$AB),"")</f>
        <v/>
      </c>
      <c r="Y236" s="143" t="str">
        <f>IFERROR(_xlfn.XLOOKUP($A236,'Raw Data'!$G:$G,'Raw Data'!AC:AC),"")</f>
        <v/>
      </c>
      <c r="Z236" s="143" t="str">
        <f>IFERROR(_xlfn.XLOOKUP($A236,'Raw Data'!$G:$G,'Raw Data'!AD:AD),"")</f>
        <v/>
      </c>
      <c r="AA236" s="143" t="str">
        <f>IFERROR(_xlfn.XLOOKUP($A236,'Raw Data'!$G:$G,'Raw Data'!AE:AE)*(1+(_xlfn.XLOOKUP(Table13[[#This Row],[Month Year]],JMR!$A:$A,JMR!$J:$J))),"")</f>
        <v/>
      </c>
      <c r="AB236" s="143" t="str">
        <f>IFERROR(_xlfn.XLOOKUP($A236,'Raw Data'!$G:$G,'Raw Data'!$H:$H),"")</f>
        <v/>
      </c>
      <c r="AC236" s="149">
        <f>IFERROR(_xlfn.XLOOKUP($D236,'Modelling New'!$D:$D,'Modelling New'!$P:$P),"")</f>
        <v>5.6270663033333346</v>
      </c>
      <c r="AD236" s="143">
        <f>IFERROR(_xlfn.XLOOKUP($D236,'Modelling New'!$D:$D,'Modelling New'!$T:$T)*1000,"")</f>
        <v>49196.002720215052</v>
      </c>
      <c r="AE236" s="148">
        <f>IFERROR(_xlfn.XLOOKUP($D236,'Modelling New'!$D:$D,'Modelling New'!$O:$O),"")</f>
        <v>0.7459679568935248</v>
      </c>
      <c r="AF236" s="148">
        <f>IFERROR(_xlfn.XLOOKUP($D236,'Modelling New'!$D:$D,'Modelling New'!$W:$W),"")</f>
        <v>0.17490046473341528</v>
      </c>
      <c r="AG236" s="148">
        <f>IFERROR(_xlfn.XLOOKUP($D236,'Modelling New'!$D:$D,'Modelling New'!AE:AE),"")</f>
        <v>0.995</v>
      </c>
      <c r="AH236" s="148">
        <f>IFERROR(_xlfn.XLOOKUP($D236,'Modelling New'!$D:$D,'Modelling New'!AF:AF),"")</f>
        <v>0.98550000000000004</v>
      </c>
      <c r="AN236" s="145"/>
      <c r="AO236" s="148"/>
      <c r="AP236" s="148"/>
      <c r="AQ236" s="148"/>
      <c r="AR236" s="143">
        <f>IFERROR(_xlfn.XLOOKUP($D236,'Modelling New'!$D:$D,'Modelling New'!$N:$N),"")</f>
        <v>11.72</v>
      </c>
      <c r="AT236" s="143" t="str">
        <f>IFERROR(_xlfn.XLOOKUP(Table13[[#This Row],[Date]],'Raw Data'!$G:$G,'Raw Data'!$AJ:$AJ),"")</f>
        <v/>
      </c>
      <c r="AU236" s="143">
        <f>IFERROR(_xlfn.XLOOKUP(Table13[[#This Row],[Month Year]],'Modelling New'!$D:$D,'Modelling New'!$AO:$AO),"")</f>
        <v>10</v>
      </c>
      <c r="AV236" s="143"/>
    </row>
    <row r="237" spans="1:48">
      <c r="A237" s="142">
        <f t="shared" si="15"/>
        <v>45980</v>
      </c>
      <c r="B237" s="143">
        <f>YEAR(Table13[[#This Row],[Date]])+IF(MONTH(Table13[[#This Row],[Date]])&gt;=4,1,0)</f>
        <v>2026</v>
      </c>
      <c r="C237" s="116">
        <f>YEAR(Table13[[#This Row],[Date]])</f>
        <v>2025</v>
      </c>
      <c r="D237" s="144">
        <f>Table13[[#This Row],[Date]]-DAY(Table13[[#This Row],[Date]])+1</f>
        <v>45962</v>
      </c>
      <c r="E237" s="116">
        <f t="shared" si="16"/>
        <v>30</v>
      </c>
      <c r="F237" s="117" t="str">
        <f>IFERROR(_xlfn.XLOOKUP($A237,'Raw Data'!$G:$G,'Raw Data'!$AH:$AH),"")</f>
        <v/>
      </c>
      <c r="G237" s="118" t="str">
        <f>IFERROR(_xlfn.XLOOKUP($A237,'Raw Data'!$G:$G,'Raw Data'!$S:$S)/1000,"")</f>
        <v/>
      </c>
      <c r="H237" s="118"/>
      <c r="I237" s="118" t="str">
        <f>IFERROR(_xlfn.XLOOKUP($A237,'Raw Data'!$G:$G,'Raw Data'!$AF:$AF)/1000,"")</f>
        <v/>
      </c>
      <c r="J237" s="118"/>
      <c r="K237" s="118" t="str">
        <f>IFERROR(_xlfn.XLOOKUP($A237,'Raw Data'!$G:$G,'Raw Data'!W:W),"")</f>
        <v/>
      </c>
      <c r="L237" s="118" t="str">
        <f>IFERROR(_xlfn.XLOOKUP($A237,'Raw Data'!$G:$G,'Raw Data'!X:X),"")</f>
        <v/>
      </c>
      <c r="M237" s="118" t="str">
        <f>IFERROR(_xlfn.XLOOKUP($A237,'Raw Data'!$G:$G,'Raw Data'!Y:Y),"")</f>
        <v/>
      </c>
      <c r="N237" s="118" t="str">
        <f>IFERROR(_xlfn.XLOOKUP($A237,'Raw Data'!$G:$G,'Raw Data'!Z:Z),"")</f>
        <v/>
      </c>
      <c r="O237" s="145" t="str">
        <f>IFERROR(1-SUMIF('Plant BD'!$B:$B,$A237,'Plant BD'!$AM:$AM)/($AA237+SUMIF('Plant BD'!$B:$B,$A237,'Plant BD'!$AM:$AM)),"")</f>
        <v/>
      </c>
      <c r="P237" s="145"/>
      <c r="Q237" s="146"/>
      <c r="R237" s="145" t="str">
        <f>IFERROR(1-SUMIF('Grid BD'!$B:$B,$A237,'Grid BD'!$AE:$AE)/($AA237+SUMIF('Grid BD'!$B:$B,$A237,'Grid BD'!$AE:$AE)),"")</f>
        <v/>
      </c>
      <c r="T237" s="146" t="str">
        <f>IFERROR(1-SUMIF(Tracker_BD!$H:$H,$A237,Tracker_BD!AI:AI)/$F237,"")</f>
        <v/>
      </c>
      <c r="U237" s="147" t="str">
        <f t="shared" si="13"/>
        <v/>
      </c>
      <c r="V237" s="147"/>
      <c r="W237" s="148" t="str">
        <f t="shared" si="14"/>
        <v/>
      </c>
      <c r="X237" s="143" t="str">
        <f>IFERROR(_xlfn.XLOOKUP($A237,'Raw Data'!$G:$G,'Raw Data'!$AB:$AB),"")</f>
        <v/>
      </c>
      <c r="Y237" s="143" t="str">
        <f>IFERROR(_xlfn.XLOOKUP($A237,'Raw Data'!$G:$G,'Raw Data'!AC:AC),"")</f>
        <v/>
      </c>
      <c r="Z237" s="143" t="str">
        <f>IFERROR(_xlfn.XLOOKUP($A237,'Raw Data'!$G:$G,'Raw Data'!AD:AD),"")</f>
        <v/>
      </c>
      <c r="AA237" s="143" t="str">
        <f>IFERROR(_xlfn.XLOOKUP($A237,'Raw Data'!$G:$G,'Raw Data'!AE:AE)*(1+(_xlfn.XLOOKUP(Table13[[#This Row],[Month Year]],JMR!$A:$A,JMR!$J:$J))),"")</f>
        <v/>
      </c>
      <c r="AB237" s="143" t="str">
        <f>IFERROR(_xlfn.XLOOKUP($A237,'Raw Data'!$G:$G,'Raw Data'!$H:$H),"")</f>
        <v/>
      </c>
      <c r="AC237" s="149">
        <f>IFERROR(_xlfn.XLOOKUP($D237,'Modelling New'!$D:$D,'Modelling New'!$P:$P),"")</f>
        <v>5.6270663033333346</v>
      </c>
      <c r="AD237" s="143">
        <f>IFERROR(_xlfn.XLOOKUP($D237,'Modelling New'!$D:$D,'Modelling New'!$T:$T)*1000,"")</f>
        <v>49196.002720215052</v>
      </c>
      <c r="AE237" s="148">
        <f>IFERROR(_xlfn.XLOOKUP($D237,'Modelling New'!$D:$D,'Modelling New'!$O:$O),"")</f>
        <v>0.7459679568935248</v>
      </c>
      <c r="AF237" s="148">
        <f>IFERROR(_xlfn.XLOOKUP($D237,'Modelling New'!$D:$D,'Modelling New'!$W:$W),"")</f>
        <v>0.17490046473341528</v>
      </c>
      <c r="AG237" s="148">
        <f>IFERROR(_xlfn.XLOOKUP($D237,'Modelling New'!$D:$D,'Modelling New'!AE:AE),"")</f>
        <v>0.995</v>
      </c>
      <c r="AH237" s="148">
        <f>IFERROR(_xlfn.XLOOKUP($D237,'Modelling New'!$D:$D,'Modelling New'!AF:AF),"")</f>
        <v>0.98550000000000004</v>
      </c>
      <c r="AN237" s="145"/>
      <c r="AO237" s="148"/>
      <c r="AP237" s="148"/>
      <c r="AQ237" s="148"/>
      <c r="AR237" s="143">
        <f>IFERROR(_xlfn.XLOOKUP($D237,'Modelling New'!$D:$D,'Modelling New'!$N:$N),"")</f>
        <v>11.72</v>
      </c>
      <c r="AT237" s="143" t="str">
        <f>IFERROR(_xlfn.XLOOKUP(Table13[[#This Row],[Date]],'Raw Data'!$G:$G,'Raw Data'!$AJ:$AJ),"")</f>
        <v/>
      </c>
      <c r="AU237" s="143">
        <f>IFERROR(_xlfn.XLOOKUP(Table13[[#This Row],[Month Year]],'Modelling New'!$D:$D,'Modelling New'!$AO:$AO),"")</f>
        <v>10</v>
      </c>
      <c r="AV237" s="143"/>
    </row>
    <row r="238" spans="1:48">
      <c r="A238" s="142">
        <f t="shared" si="15"/>
        <v>45981</v>
      </c>
      <c r="B238" s="143">
        <f>YEAR(Table13[[#This Row],[Date]])+IF(MONTH(Table13[[#This Row],[Date]])&gt;=4,1,0)</f>
        <v>2026</v>
      </c>
      <c r="C238" s="116">
        <f>YEAR(Table13[[#This Row],[Date]])</f>
        <v>2025</v>
      </c>
      <c r="D238" s="144">
        <f>Table13[[#This Row],[Date]]-DAY(Table13[[#This Row],[Date]])+1</f>
        <v>45962</v>
      </c>
      <c r="E238" s="116">
        <f t="shared" si="16"/>
        <v>30</v>
      </c>
      <c r="F238" s="117" t="str">
        <f>IFERROR(_xlfn.XLOOKUP($A238,'Raw Data'!$G:$G,'Raw Data'!$AH:$AH),"")</f>
        <v/>
      </c>
      <c r="G238" s="118" t="str">
        <f>IFERROR(_xlfn.XLOOKUP($A238,'Raw Data'!$G:$G,'Raw Data'!$S:$S)/1000,"")</f>
        <v/>
      </c>
      <c r="H238" s="118"/>
      <c r="I238" s="118" t="str">
        <f>IFERROR(_xlfn.XLOOKUP($A238,'Raw Data'!$G:$G,'Raw Data'!$AF:$AF)/1000,"")</f>
        <v/>
      </c>
      <c r="J238" s="118"/>
      <c r="K238" s="118" t="str">
        <f>IFERROR(_xlfn.XLOOKUP($A238,'Raw Data'!$G:$G,'Raw Data'!W:W),"")</f>
        <v/>
      </c>
      <c r="L238" s="118" t="str">
        <f>IFERROR(_xlfn.XLOOKUP($A238,'Raw Data'!$G:$G,'Raw Data'!X:X),"")</f>
        <v/>
      </c>
      <c r="M238" s="118" t="str">
        <f>IFERROR(_xlfn.XLOOKUP($A238,'Raw Data'!$G:$G,'Raw Data'!Y:Y),"")</f>
        <v/>
      </c>
      <c r="N238" s="118" t="str">
        <f>IFERROR(_xlfn.XLOOKUP($A238,'Raw Data'!$G:$G,'Raw Data'!Z:Z),"")</f>
        <v/>
      </c>
      <c r="O238" s="145" t="str">
        <f>IFERROR(1-SUMIF('Plant BD'!$B:$B,$A238,'Plant BD'!$AM:$AM)/($AA238+SUMIF('Plant BD'!$B:$B,$A238,'Plant BD'!$AM:$AM)),"")</f>
        <v/>
      </c>
      <c r="P238" s="145"/>
      <c r="Q238" s="146"/>
      <c r="R238" s="145" t="str">
        <f>IFERROR(1-SUMIF('Grid BD'!$B:$B,$A238,'Grid BD'!$AE:$AE)/($AA238+SUMIF('Grid BD'!$B:$B,$A238,'Grid BD'!$AE:$AE)),"")</f>
        <v/>
      </c>
      <c r="T238" s="146" t="str">
        <f>IFERROR(1-SUMIF(Tracker_BD!$H:$H,$A238,Tracker_BD!AI:AI)/$F238,"")</f>
        <v/>
      </c>
      <c r="U238" s="147" t="str">
        <f t="shared" si="13"/>
        <v/>
      </c>
      <c r="V238" s="147"/>
      <c r="W238" s="148" t="str">
        <f t="shared" si="14"/>
        <v/>
      </c>
      <c r="X238" s="143" t="str">
        <f>IFERROR(_xlfn.XLOOKUP($A238,'Raw Data'!$G:$G,'Raw Data'!$AB:$AB),"")</f>
        <v/>
      </c>
      <c r="Y238" s="143" t="str">
        <f>IFERROR(_xlfn.XLOOKUP($A238,'Raw Data'!$G:$G,'Raw Data'!AC:AC),"")</f>
        <v/>
      </c>
      <c r="Z238" s="143" t="str">
        <f>IFERROR(_xlfn.XLOOKUP($A238,'Raw Data'!$G:$G,'Raw Data'!AD:AD),"")</f>
        <v/>
      </c>
      <c r="AA238" s="143" t="str">
        <f>IFERROR(_xlfn.XLOOKUP($A238,'Raw Data'!$G:$G,'Raw Data'!AE:AE)*(1+(_xlfn.XLOOKUP(Table13[[#This Row],[Month Year]],JMR!$A:$A,JMR!$J:$J))),"")</f>
        <v/>
      </c>
      <c r="AB238" s="143" t="str">
        <f>IFERROR(_xlfn.XLOOKUP($A238,'Raw Data'!$G:$G,'Raw Data'!$H:$H),"")</f>
        <v/>
      </c>
      <c r="AC238" s="149">
        <f>IFERROR(_xlfn.XLOOKUP($D238,'Modelling New'!$D:$D,'Modelling New'!$P:$P),"")</f>
        <v>5.6270663033333346</v>
      </c>
      <c r="AD238" s="143">
        <f>IFERROR(_xlfn.XLOOKUP($D238,'Modelling New'!$D:$D,'Modelling New'!$T:$T)*1000,"")</f>
        <v>49196.002720215052</v>
      </c>
      <c r="AE238" s="148">
        <f>IFERROR(_xlfn.XLOOKUP($D238,'Modelling New'!$D:$D,'Modelling New'!$O:$O),"")</f>
        <v>0.7459679568935248</v>
      </c>
      <c r="AF238" s="148">
        <f>IFERROR(_xlfn.XLOOKUP($D238,'Modelling New'!$D:$D,'Modelling New'!$W:$W),"")</f>
        <v>0.17490046473341528</v>
      </c>
      <c r="AG238" s="148">
        <f>IFERROR(_xlfn.XLOOKUP($D238,'Modelling New'!$D:$D,'Modelling New'!AE:AE),"")</f>
        <v>0.995</v>
      </c>
      <c r="AH238" s="148">
        <f>IFERROR(_xlfn.XLOOKUP($D238,'Modelling New'!$D:$D,'Modelling New'!AF:AF),"")</f>
        <v>0.98550000000000004</v>
      </c>
      <c r="AN238" s="145"/>
      <c r="AO238" s="148"/>
      <c r="AP238" s="148"/>
      <c r="AQ238" s="148"/>
      <c r="AR238" s="143">
        <f>IFERROR(_xlfn.XLOOKUP($D238,'Modelling New'!$D:$D,'Modelling New'!$N:$N),"")</f>
        <v>11.72</v>
      </c>
      <c r="AT238" s="143" t="str">
        <f>IFERROR(_xlfn.XLOOKUP(Table13[[#This Row],[Date]],'Raw Data'!$G:$G,'Raw Data'!$AJ:$AJ),"")</f>
        <v/>
      </c>
      <c r="AU238" s="143">
        <f>IFERROR(_xlfn.XLOOKUP(Table13[[#This Row],[Month Year]],'Modelling New'!$D:$D,'Modelling New'!$AO:$AO),"")</f>
        <v>10</v>
      </c>
      <c r="AV238" s="143"/>
    </row>
    <row r="239" spans="1:48">
      <c r="A239" s="142">
        <f t="shared" si="15"/>
        <v>45982</v>
      </c>
      <c r="B239" s="143">
        <f>YEAR(Table13[[#This Row],[Date]])+IF(MONTH(Table13[[#This Row],[Date]])&gt;=4,1,0)</f>
        <v>2026</v>
      </c>
      <c r="C239" s="116">
        <f>YEAR(Table13[[#This Row],[Date]])</f>
        <v>2025</v>
      </c>
      <c r="D239" s="144">
        <f>Table13[[#This Row],[Date]]-DAY(Table13[[#This Row],[Date]])+1</f>
        <v>45962</v>
      </c>
      <c r="E239" s="116">
        <f t="shared" si="16"/>
        <v>30</v>
      </c>
      <c r="F239" s="117" t="str">
        <f>IFERROR(_xlfn.XLOOKUP($A239,'Raw Data'!$G:$G,'Raw Data'!$AH:$AH),"")</f>
        <v/>
      </c>
      <c r="G239" s="118" t="str">
        <f>IFERROR(_xlfn.XLOOKUP($A239,'Raw Data'!$G:$G,'Raw Data'!$S:$S)/1000,"")</f>
        <v/>
      </c>
      <c r="H239" s="118"/>
      <c r="I239" s="118" t="str">
        <f>IFERROR(_xlfn.XLOOKUP($A239,'Raw Data'!$G:$G,'Raw Data'!$AF:$AF)/1000,"")</f>
        <v/>
      </c>
      <c r="J239" s="118"/>
      <c r="K239" s="118" t="str">
        <f>IFERROR(_xlfn.XLOOKUP($A239,'Raw Data'!$G:$G,'Raw Data'!W:W),"")</f>
        <v/>
      </c>
      <c r="L239" s="118" t="str">
        <f>IFERROR(_xlfn.XLOOKUP($A239,'Raw Data'!$G:$G,'Raw Data'!X:X),"")</f>
        <v/>
      </c>
      <c r="M239" s="118" t="str">
        <f>IFERROR(_xlfn.XLOOKUP($A239,'Raw Data'!$G:$G,'Raw Data'!Y:Y),"")</f>
        <v/>
      </c>
      <c r="N239" s="118" t="str">
        <f>IFERROR(_xlfn.XLOOKUP($A239,'Raw Data'!$G:$G,'Raw Data'!Z:Z),"")</f>
        <v/>
      </c>
      <c r="O239" s="145" t="str">
        <f>IFERROR(1-SUMIF('Plant BD'!$B:$B,$A239,'Plant BD'!$AM:$AM)/($AA239+SUMIF('Plant BD'!$B:$B,$A239,'Plant BD'!$AM:$AM)),"")</f>
        <v/>
      </c>
      <c r="P239" s="145"/>
      <c r="Q239" s="146"/>
      <c r="R239" s="145" t="str">
        <f>IFERROR(1-SUMIF('Grid BD'!$B:$B,$A239,'Grid BD'!$AE:$AE)/($AA239+SUMIF('Grid BD'!$B:$B,$A239,'Grid BD'!$AE:$AE)),"")</f>
        <v/>
      </c>
      <c r="T239" s="146" t="str">
        <f>IFERROR(1-SUMIF(Tracker_BD!$H:$H,$A239,Tracker_BD!AI:AI)/$F239,"")</f>
        <v/>
      </c>
      <c r="U239" s="147" t="str">
        <f t="shared" si="13"/>
        <v/>
      </c>
      <c r="V239" s="147"/>
      <c r="W239" s="148" t="str">
        <f t="shared" si="14"/>
        <v/>
      </c>
      <c r="X239" s="143" t="str">
        <f>IFERROR(_xlfn.XLOOKUP($A239,'Raw Data'!$G:$G,'Raw Data'!$AB:$AB),"")</f>
        <v/>
      </c>
      <c r="Y239" s="143" t="str">
        <f>IFERROR(_xlfn.XLOOKUP($A239,'Raw Data'!$G:$G,'Raw Data'!AC:AC),"")</f>
        <v/>
      </c>
      <c r="Z239" s="143" t="str">
        <f>IFERROR(_xlfn.XLOOKUP($A239,'Raw Data'!$G:$G,'Raw Data'!AD:AD),"")</f>
        <v/>
      </c>
      <c r="AA239" s="143" t="str">
        <f>IFERROR(_xlfn.XLOOKUP($A239,'Raw Data'!$G:$G,'Raw Data'!AE:AE)*(1+(_xlfn.XLOOKUP(Table13[[#This Row],[Month Year]],JMR!$A:$A,JMR!$J:$J))),"")</f>
        <v/>
      </c>
      <c r="AB239" s="143" t="str">
        <f>IFERROR(_xlfn.XLOOKUP($A239,'Raw Data'!$G:$G,'Raw Data'!$H:$H),"")</f>
        <v/>
      </c>
      <c r="AC239" s="149">
        <f>IFERROR(_xlfn.XLOOKUP($D239,'Modelling New'!$D:$D,'Modelling New'!$P:$P),"")</f>
        <v>5.6270663033333346</v>
      </c>
      <c r="AD239" s="143">
        <f>IFERROR(_xlfn.XLOOKUP($D239,'Modelling New'!$D:$D,'Modelling New'!$T:$T)*1000,"")</f>
        <v>49196.002720215052</v>
      </c>
      <c r="AE239" s="148">
        <f>IFERROR(_xlfn.XLOOKUP($D239,'Modelling New'!$D:$D,'Modelling New'!$O:$O),"")</f>
        <v>0.7459679568935248</v>
      </c>
      <c r="AF239" s="148">
        <f>IFERROR(_xlfn.XLOOKUP($D239,'Modelling New'!$D:$D,'Modelling New'!$W:$W),"")</f>
        <v>0.17490046473341528</v>
      </c>
      <c r="AG239" s="148">
        <f>IFERROR(_xlfn.XLOOKUP($D239,'Modelling New'!$D:$D,'Modelling New'!AE:AE),"")</f>
        <v>0.995</v>
      </c>
      <c r="AH239" s="148">
        <f>IFERROR(_xlfn.XLOOKUP($D239,'Modelling New'!$D:$D,'Modelling New'!AF:AF),"")</f>
        <v>0.98550000000000004</v>
      </c>
      <c r="AN239" s="145"/>
      <c r="AO239" s="148"/>
      <c r="AP239" s="148"/>
      <c r="AQ239" s="148"/>
      <c r="AR239" s="143">
        <f>IFERROR(_xlfn.XLOOKUP($D239,'Modelling New'!$D:$D,'Modelling New'!$N:$N),"")</f>
        <v>11.72</v>
      </c>
      <c r="AT239" s="143" t="str">
        <f>IFERROR(_xlfn.XLOOKUP(Table13[[#This Row],[Date]],'Raw Data'!$G:$G,'Raw Data'!$AJ:$AJ),"")</f>
        <v/>
      </c>
      <c r="AU239" s="143">
        <f>IFERROR(_xlfn.XLOOKUP(Table13[[#This Row],[Month Year]],'Modelling New'!$D:$D,'Modelling New'!$AO:$AO),"")</f>
        <v>10</v>
      </c>
      <c r="AV239" s="143"/>
    </row>
    <row r="240" spans="1:48">
      <c r="A240" s="142">
        <f t="shared" si="15"/>
        <v>45983</v>
      </c>
      <c r="B240" s="143">
        <f>YEAR(Table13[[#This Row],[Date]])+IF(MONTH(Table13[[#This Row],[Date]])&gt;=4,1,0)</f>
        <v>2026</v>
      </c>
      <c r="C240" s="116">
        <f>YEAR(Table13[[#This Row],[Date]])</f>
        <v>2025</v>
      </c>
      <c r="D240" s="144">
        <f>Table13[[#This Row],[Date]]-DAY(Table13[[#This Row],[Date]])+1</f>
        <v>45962</v>
      </c>
      <c r="E240" s="116">
        <f t="shared" si="16"/>
        <v>30</v>
      </c>
      <c r="F240" s="117" t="str">
        <f>IFERROR(_xlfn.XLOOKUP($A240,'Raw Data'!$G:$G,'Raw Data'!$AH:$AH),"")</f>
        <v/>
      </c>
      <c r="G240" s="118" t="str">
        <f>IFERROR(_xlfn.XLOOKUP($A240,'Raw Data'!$G:$G,'Raw Data'!$S:$S)/1000,"")</f>
        <v/>
      </c>
      <c r="H240" s="118"/>
      <c r="I240" s="118" t="str">
        <f>IFERROR(_xlfn.XLOOKUP($A240,'Raw Data'!$G:$G,'Raw Data'!$AF:$AF)/1000,"")</f>
        <v/>
      </c>
      <c r="J240" s="118"/>
      <c r="K240" s="118" t="str">
        <f>IFERROR(_xlfn.XLOOKUP($A240,'Raw Data'!$G:$G,'Raw Data'!W:W),"")</f>
        <v/>
      </c>
      <c r="L240" s="118" t="str">
        <f>IFERROR(_xlfn.XLOOKUP($A240,'Raw Data'!$G:$G,'Raw Data'!X:X),"")</f>
        <v/>
      </c>
      <c r="M240" s="118" t="str">
        <f>IFERROR(_xlfn.XLOOKUP($A240,'Raw Data'!$G:$G,'Raw Data'!Y:Y),"")</f>
        <v/>
      </c>
      <c r="N240" s="118" t="str">
        <f>IFERROR(_xlfn.XLOOKUP($A240,'Raw Data'!$G:$G,'Raw Data'!Z:Z),"")</f>
        <v/>
      </c>
      <c r="O240" s="145" t="str">
        <f>IFERROR(1-SUMIF('Plant BD'!$B:$B,$A240,'Plant BD'!$AM:$AM)/($AA240+SUMIF('Plant BD'!$B:$B,$A240,'Plant BD'!$AM:$AM)),"")</f>
        <v/>
      </c>
      <c r="P240" s="145"/>
      <c r="Q240" s="146"/>
      <c r="R240" s="145" t="str">
        <f>IFERROR(1-SUMIF('Grid BD'!$B:$B,$A240,'Grid BD'!$AE:$AE)/($AA240+SUMIF('Grid BD'!$B:$B,$A240,'Grid BD'!$AE:$AE)),"")</f>
        <v/>
      </c>
      <c r="T240" s="146" t="str">
        <f>IFERROR(1-SUMIF(Tracker_BD!$H:$H,$A240,Tracker_BD!AI:AI)/$F240,"")</f>
        <v/>
      </c>
      <c r="U240" s="147" t="str">
        <f t="shared" si="13"/>
        <v/>
      </c>
      <c r="V240" s="147"/>
      <c r="W240" s="148" t="str">
        <f t="shared" si="14"/>
        <v/>
      </c>
      <c r="X240" s="143" t="str">
        <f>IFERROR(_xlfn.XLOOKUP($A240,'Raw Data'!$G:$G,'Raw Data'!$AB:$AB),"")</f>
        <v/>
      </c>
      <c r="Y240" s="143" t="str">
        <f>IFERROR(_xlfn.XLOOKUP($A240,'Raw Data'!$G:$G,'Raw Data'!AC:AC),"")</f>
        <v/>
      </c>
      <c r="Z240" s="143" t="str">
        <f>IFERROR(_xlfn.XLOOKUP($A240,'Raw Data'!$G:$G,'Raw Data'!AD:AD),"")</f>
        <v/>
      </c>
      <c r="AA240" s="143" t="str">
        <f>IFERROR(_xlfn.XLOOKUP($A240,'Raw Data'!$G:$G,'Raw Data'!AE:AE)*(1+(_xlfn.XLOOKUP(Table13[[#This Row],[Month Year]],JMR!$A:$A,JMR!$J:$J))),"")</f>
        <v/>
      </c>
      <c r="AB240" s="143" t="str">
        <f>IFERROR(_xlfn.XLOOKUP($A240,'Raw Data'!$G:$G,'Raw Data'!$H:$H),"")</f>
        <v/>
      </c>
      <c r="AC240" s="149">
        <f>IFERROR(_xlfn.XLOOKUP($D240,'Modelling New'!$D:$D,'Modelling New'!$P:$P),"")</f>
        <v>5.6270663033333346</v>
      </c>
      <c r="AD240" s="143">
        <f>IFERROR(_xlfn.XLOOKUP($D240,'Modelling New'!$D:$D,'Modelling New'!$T:$T)*1000,"")</f>
        <v>49196.002720215052</v>
      </c>
      <c r="AE240" s="148">
        <f>IFERROR(_xlfn.XLOOKUP($D240,'Modelling New'!$D:$D,'Modelling New'!$O:$O),"")</f>
        <v>0.7459679568935248</v>
      </c>
      <c r="AF240" s="148">
        <f>IFERROR(_xlfn.XLOOKUP($D240,'Modelling New'!$D:$D,'Modelling New'!$W:$W),"")</f>
        <v>0.17490046473341528</v>
      </c>
      <c r="AG240" s="148">
        <f>IFERROR(_xlfn.XLOOKUP($D240,'Modelling New'!$D:$D,'Modelling New'!AE:AE),"")</f>
        <v>0.995</v>
      </c>
      <c r="AH240" s="148">
        <f>IFERROR(_xlfn.XLOOKUP($D240,'Modelling New'!$D:$D,'Modelling New'!AF:AF),"")</f>
        <v>0.98550000000000004</v>
      </c>
      <c r="AN240" s="145"/>
      <c r="AO240" s="148"/>
      <c r="AP240" s="148"/>
      <c r="AQ240" s="148"/>
      <c r="AR240" s="143">
        <f>IFERROR(_xlfn.XLOOKUP($D240,'Modelling New'!$D:$D,'Modelling New'!$N:$N),"")</f>
        <v>11.72</v>
      </c>
      <c r="AT240" s="143" t="str">
        <f>IFERROR(_xlfn.XLOOKUP(Table13[[#This Row],[Date]],'Raw Data'!$G:$G,'Raw Data'!$AJ:$AJ),"")</f>
        <v/>
      </c>
      <c r="AU240" s="143">
        <f>IFERROR(_xlfn.XLOOKUP(Table13[[#This Row],[Month Year]],'Modelling New'!$D:$D,'Modelling New'!$AO:$AO),"")</f>
        <v>10</v>
      </c>
      <c r="AV240" s="143"/>
    </row>
    <row r="241" spans="1:48">
      <c r="A241" s="142">
        <f t="shared" si="15"/>
        <v>45984</v>
      </c>
      <c r="B241" s="143">
        <f>YEAR(Table13[[#This Row],[Date]])+IF(MONTH(Table13[[#This Row],[Date]])&gt;=4,1,0)</f>
        <v>2026</v>
      </c>
      <c r="C241" s="116">
        <f>YEAR(Table13[[#This Row],[Date]])</f>
        <v>2025</v>
      </c>
      <c r="D241" s="144">
        <f>Table13[[#This Row],[Date]]-DAY(Table13[[#This Row],[Date]])+1</f>
        <v>45962</v>
      </c>
      <c r="E241" s="116">
        <f t="shared" si="16"/>
        <v>30</v>
      </c>
      <c r="F241" s="117" t="str">
        <f>IFERROR(_xlfn.XLOOKUP($A241,'Raw Data'!$G:$G,'Raw Data'!$AH:$AH),"")</f>
        <v/>
      </c>
      <c r="G241" s="118" t="str">
        <f>IFERROR(_xlfn.XLOOKUP($A241,'Raw Data'!$G:$G,'Raw Data'!$S:$S)/1000,"")</f>
        <v/>
      </c>
      <c r="H241" s="118"/>
      <c r="I241" s="118" t="str">
        <f>IFERROR(_xlfn.XLOOKUP($A241,'Raw Data'!$G:$G,'Raw Data'!$AF:$AF)/1000,"")</f>
        <v/>
      </c>
      <c r="J241" s="118"/>
      <c r="K241" s="118" t="str">
        <f>IFERROR(_xlfn.XLOOKUP($A241,'Raw Data'!$G:$G,'Raw Data'!W:W),"")</f>
        <v/>
      </c>
      <c r="L241" s="118" t="str">
        <f>IFERROR(_xlfn.XLOOKUP($A241,'Raw Data'!$G:$G,'Raw Data'!X:X),"")</f>
        <v/>
      </c>
      <c r="M241" s="118" t="str">
        <f>IFERROR(_xlfn.XLOOKUP($A241,'Raw Data'!$G:$G,'Raw Data'!Y:Y),"")</f>
        <v/>
      </c>
      <c r="N241" s="118" t="str">
        <f>IFERROR(_xlfn.XLOOKUP($A241,'Raw Data'!$G:$G,'Raw Data'!Z:Z),"")</f>
        <v/>
      </c>
      <c r="O241" s="145" t="str">
        <f>IFERROR(1-SUMIF('Plant BD'!$B:$B,$A241,'Plant BD'!$AM:$AM)/($AA241+SUMIF('Plant BD'!$B:$B,$A241,'Plant BD'!$AM:$AM)),"")</f>
        <v/>
      </c>
      <c r="P241" s="145"/>
      <c r="Q241" s="146"/>
      <c r="R241" s="145" t="str">
        <f>IFERROR(1-SUMIF('Grid BD'!$B:$B,$A241,'Grid BD'!$AE:$AE)/($AA241+SUMIF('Grid BD'!$B:$B,$A241,'Grid BD'!$AE:$AE)),"")</f>
        <v/>
      </c>
      <c r="T241" s="146" t="str">
        <f>IFERROR(1-SUMIF(Tracker_BD!$H:$H,$A241,Tracker_BD!AI:AI)/$F241,"")</f>
        <v/>
      </c>
      <c r="U241" s="147" t="str">
        <f t="shared" si="13"/>
        <v/>
      </c>
      <c r="V241" s="147"/>
      <c r="W241" s="148" t="str">
        <f t="shared" si="14"/>
        <v/>
      </c>
      <c r="X241" s="143" t="str">
        <f>IFERROR(_xlfn.XLOOKUP($A241,'Raw Data'!$G:$G,'Raw Data'!$AB:$AB),"")</f>
        <v/>
      </c>
      <c r="Y241" s="143" t="str">
        <f>IFERROR(_xlfn.XLOOKUP($A241,'Raw Data'!$G:$G,'Raw Data'!AC:AC),"")</f>
        <v/>
      </c>
      <c r="Z241" s="143" t="str">
        <f>IFERROR(_xlfn.XLOOKUP($A241,'Raw Data'!$G:$G,'Raw Data'!AD:AD),"")</f>
        <v/>
      </c>
      <c r="AA241" s="143" t="str">
        <f>IFERROR(_xlfn.XLOOKUP($A241,'Raw Data'!$G:$G,'Raw Data'!AE:AE)*(1+(_xlfn.XLOOKUP(Table13[[#This Row],[Month Year]],JMR!$A:$A,JMR!$J:$J))),"")</f>
        <v/>
      </c>
      <c r="AB241" s="143" t="str">
        <f>IFERROR(_xlfn.XLOOKUP($A241,'Raw Data'!$G:$G,'Raw Data'!$H:$H),"")</f>
        <v/>
      </c>
      <c r="AC241" s="149">
        <f>IFERROR(_xlfn.XLOOKUP($D241,'Modelling New'!$D:$D,'Modelling New'!$P:$P),"")</f>
        <v>5.6270663033333346</v>
      </c>
      <c r="AD241" s="143">
        <f>IFERROR(_xlfn.XLOOKUP($D241,'Modelling New'!$D:$D,'Modelling New'!$T:$T)*1000,"")</f>
        <v>49196.002720215052</v>
      </c>
      <c r="AE241" s="148">
        <f>IFERROR(_xlfn.XLOOKUP($D241,'Modelling New'!$D:$D,'Modelling New'!$O:$O),"")</f>
        <v>0.7459679568935248</v>
      </c>
      <c r="AF241" s="148">
        <f>IFERROR(_xlfn.XLOOKUP($D241,'Modelling New'!$D:$D,'Modelling New'!$W:$W),"")</f>
        <v>0.17490046473341528</v>
      </c>
      <c r="AG241" s="148">
        <f>IFERROR(_xlfn.XLOOKUP($D241,'Modelling New'!$D:$D,'Modelling New'!AE:AE),"")</f>
        <v>0.995</v>
      </c>
      <c r="AH241" s="148">
        <f>IFERROR(_xlfn.XLOOKUP($D241,'Modelling New'!$D:$D,'Modelling New'!AF:AF),"")</f>
        <v>0.98550000000000004</v>
      </c>
      <c r="AN241" s="145"/>
      <c r="AO241" s="148"/>
      <c r="AP241" s="148"/>
      <c r="AQ241" s="148"/>
      <c r="AR241" s="143">
        <f>IFERROR(_xlfn.XLOOKUP($D241,'Modelling New'!$D:$D,'Modelling New'!$N:$N),"")</f>
        <v>11.72</v>
      </c>
      <c r="AT241" s="143" t="str">
        <f>IFERROR(_xlfn.XLOOKUP(Table13[[#This Row],[Date]],'Raw Data'!$G:$G,'Raw Data'!$AJ:$AJ),"")</f>
        <v/>
      </c>
      <c r="AU241" s="143">
        <f>IFERROR(_xlfn.XLOOKUP(Table13[[#This Row],[Month Year]],'Modelling New'!$D:$D,'Modelling New'!$AO:$AO),"")</f>
        <v>10</v>
      </c>
      <c r="AV241" s="143"/>
    </row>
    <row r="242" spans="1:48">
      <c r="A242" s="142">
        <f t="shared" si="15"/>
        <v>45985</v>
      </c>
      <c r="B242" s="143">
        <f>YEAR(Table13[[#This Row],[Date]])+IF(MONTH(Table13[[#This Row],[Date]])&gt;=4,1,0)</f>
        <v>2026</v>
      </c>
      <c r="C242" s="116">
        <f>YEAR(Table13[[#This Row],[Date]])</f>
        <v>2025</v>
      </c>
      <c r="D242" s="144">
        <f>Table13[[#This Row],[Date]]-DAY(Table13[[#This Row],[Date]])+1</f>
        <v>45962</v>
      </c>
      <c r="E242" s="116">
        <f t="shared" si="16"/>
        <v>30</v>
      </c>
      <c r="F242" s="117" t="str">
        <f>IFERROR(_xlfn.XLOOKUP($A242,'Raw Data'!$G:$G,'Raw Data'!$AH:$AH),"")</f>
        <v/>
      </c>
      <c r="G242" s="118" t="str">
        <f>IFERROR(_xlfn.XLOOKUP($A242,'Raw Data'!$G:$G,'Raw Data'!$S:$S)/1000,"")</f>
        <v/>
      </c>
      <c r="H242" s="118"/>
      <c r="I242" s="118" t="str">
        <f>IFERROR(_xlfn.XLOOKUP($A242,'Raw Data'!$G:$G,'Raw Data'!$AF:$AF)/1000,"")</f>
        <v/>
      </c>
      <c r="J242" s="118"/>
      <c r="K242" s="118" t="str">
        <f>IFERROR(_xlfn.XLOOKUP($A242,'Raw Data'!$G:$G,'Raw Data'!W:W),"")</f>
        <v/>
      </c>
      <c r="L242" s="118" t="str">
        <f>IFERROR(_xlfn.XLOOKUP($A242,'Raw Data'!$G:$G,'Raw Data'!X:X),"")</f>
        <v/>
      </c>
      <c r="M242" s="118" t="str">
        <f>IFERROR(_xlfn.XLOOKUP($A242,'Raw Data'!$G:$G,'Raw Data'!Y:Y),"")</f>
        <v/>
      </c>
      <c r="N242" s="118" t="str">
        <f>IFERROR(_xlfn.XLOOKUP($A242,'Raw Data'!$G:$G,'Raw Data'!Z:Z),"")</f>
        <v/>
      </c>
      <c r="O242" s="145" t="str">
        <f>IFERROR(1-SUMIF('Plant BD'!$B:$B,$A242,'Plant BD'!$AM:$AM)/($AA242+SUMIF('Plant BD'!$B:$B,$A242,'Plant BD'!$AM:$AM)),"")</f>
        <v/>
      </c>
      <c r="P242" s="145"/>
      <c r="Q242" s="146"/>
      <c r="R242" s="145" t="str">
        <f>IFERROR(1-SUMIF('Grid BD'!$B:$B,$A242,'Grid BD'!$AE:$AE)/($AA242+SUMIF('Grid BD'!$B:$B,$A242,'Grid BD'!$AE:$AE)),"")</f>
        <v/>
      </c>
      <c r="T242" s="146" t="str">
        <f>IFERROR(1-SUMIF(Tracker_BD!$H:$H,$A242,Tracker_BD!AI:AI)/$F242,"")</f>
        <v/>
      </c>
      <c r="U242" s="147" t="str">
        <f t="shared" si="13"/>
        <v/>
      </c>
      <c r="V242" s="147"/>
      <c r="W242" s="148" t="str">
        <f t="shared" si="14"/>
        <v/>
      </c>
      <c r="X242" s="143" t="str">
        <f>IFERROR(_xlfn.XLOOKUP($A242,'Raw Data'!$G:$G,'Raw Data'!$AB:$AB),"")</f>
        <v/>
      </c>
      <c r="Y242" s="143" t="str">
        <f>IFERROR(_xlfn.XLOOKUP($A242,'Raw Data'!$G:$G,'Raw Data'!AC:AC),"")</f>
        <v/>
      </c>
      <c r="Z242" s="143" t="str">
        <f>IFERROR(_xlfn.XLOOKUP($A242,'Raw Data'!$G:$G,'Raw Data'!AD:AD),"")</f>
        <v/>
      </c>
      <c r="AA242" s="143" t="str">
        <f>IFERROR(_xlfn.XLOOKUP($A242,'Raw Data'!$G:$G,'Raw Data'!AE:AE)*(1+(_xlfn.XLOOKUP(Table13[[#This Row],[Month Year]],JMR!$A:$A,JMR!$J:$J))),"")</f>
        <v/>
      </c>
      <c r="AB242" s="143" t="str">
        <f>IFERROR(_xlfn.XLOOKUP($A242,'Raw Data'!$G:$G,'Raw Data'!$H:$H),"")</f>
        <v/>
      </c>
      <c r="AC242" s="149">
        <f>IFERROR(_xlfn.XLOOKUP($D242,'Modelling New'!$D:$D,'Modelling New'!$P:$P),"")</f>
        <v>5.6270663033333346</v>
      </c>
      <c r="AD242" s="143">
        <f>IFERROR(_xlfn.XLOOKUP($D242,'Modelling New'!$D:$D,'Modelling New'!$T:$T)*1000,"")</f>
        <v>49196.002720215052</v>
      </c>
      <c r="AE242" s="148">
        <f>IFERROR(_xlfn.XLOOKUP($D242,'Modelling New'!$D:$D,'Modelling New'!$O:$O),"")</f>
        <v>0.7459679568935248</v>
      </c>
      <c r="AF242" s="148">
        <f>IFERROR(_xlfn.XLOOKUP($D242,'Modelling New'!$D:$D,'Modelling New'!$W:$W),"")</f>
        <v>0.17490046473341528</v>
      </c>
      <c r="AG242" s="148">
        <f>IFERROR(_xlfn.XLOOKUP($D242,'Modelling New'!$D:$D,'Modelling New'!AE:AE),"")</f>
        <v>0.995</v>
      </c>
      <c r="AH242" s="148">
        <f>IFERROR(_xlfn.XLOOKUP($D242,'Modelling New'!$D:$D,'Modelling New'!AF:AF),"")</f>
        <v>0.98550000000000004</v>
      </c>
      <c r="AN242" s="145"/>
      <c r="AO242" s="148"/>
      <c r="AP242" s="148"/>
      <c r="AQ242" s="148"/>
      <c r="AR242" s="143">
        <f>IFERROR(_xlfn.XLOOKUP($D242,'Modelling New'!$D:$D,'Modelling New'!$N:$N),"")</f>
        <v>11.72</v>
      </c>
      <c r="AT242" s="143" t="str">
        <f>IFERROR(_xlfn.XLOOKUP(Table13[[#This Row],[Date]],'Raw Data'!$G:$G,'Raw Data'!$AJ:$AJ),"")</f>
        <v/>
      </c>
      <c r="AU242" s="143">
        <f>IFERROR(_xlfn.XLOOKUP(Table13[[#This Row],[Month Year]],'Modelling New'!$D:$D,'Modelling New'!$AO:$AO),"")</f>
        <v>10</v>
      </c>
      <c r="AV242" s="143"/>
    </row>
    <row r="243" spans="1:48">
      <c r="A243" s="142">
        <f t="shared" si="15"/>
        <v>45986</v>
      </c>
      <c r="B243" s="143">
        <f>YEAR(Table13[[#This Row],[Date]])+IF(MONTH(Table13[[#This Row],[Date]])&gt;=4,1,0)</f>
        <v>2026</v>
      </c>
      <c r="C243" s="116">
        <f>YEAR(Table13[[#This Row],[Date]])</f>
        <v>2025</v>
      </c>
      <c r="D243" s="144">
        <f>Table13[[#This Row],[Date]]-DAY(Table13[[#This Row],[Date]])+1</f>
        <v>45962</v>
      </c>
      <c r="E243" s="116">
        <f t="shared" si="16"/>
        <v>30</v>
      </c>
      <c r="F243" s="117" t="str">
        <f>IFERROR(_xlfn.XLOOKUP($A243,'Raw Data'!$G:$G,'Raw Data'!$AH:$AH),"")</f>
        <v/>
      </c>
      <c r="G243" s="118" t="str">
        <f>IFERROR(_xlfn.XLOOKUP($A243,'Raw Data'!$G:$G,'Raw Data'!$S:$S)/1000,"")</f>
        <v/>
      </c>
      <c r="H243" s="118"/>
      <c r="I243" s="118" t="str">
        <f>IFERROR(_xlfn.XLOOKUP($A243,'Raw Data'!$G:$G,'Raw Data'!$AF:$AF)/1000,"")</f>
        <v/>
      </c>
      <c r="J243" s="118"/>
      <c r="K243" s="118" t="str">
        <f>IFERROR(_xlfn.XLOOKUP($A243,'Raw Data'!$G:$G,'Raw Data'!W:W),"")</f>
        <v/>
      </c>
      <c r="L243" s="118" t="str">
        <f>IFERROR(_xlfn.XLOOKUP($A243,'Raw Data'!$G:$G,'Raw Data'!X:X),"")</f>
        <v/>
      </c>
      <c r="M243" s="118" t="str">
        <f>IFERROR(_xlfn.XLOOKUP($A243,'Raw Data'!$G:$G,'Raw Data'!Y:Y),"")</f>
        <v/>
      </c>
      <c r="N243" s="118" t="str">
        <f>IFERROR(_xlfn.XLOOKUP($A243,'Raw Data'!$G:$G,'Raw Data'!Z:Z),"")</f>
        <v/>
      </c>
      <c r="O243" s="145" t="str">
        <f>IFERROR(1-SUMIF('Plant BD'!$B:$B,$A243,'Plant BD'!$AM:$AM)/($AA243+SUMIF('Plant BD'!$B:$B,$A243,'Plant BD'!$AM:$AM)),"")</f>
        <v/>
      </c>
      <c r="P243" s="145"/>
      <c r="Q243" s="146"/>
      <c r="R243" s="145" t="str">
        <f>IFERROR(1-SUMIF('Grid BD'!$B:$B,$A243,'Grid BD'!$AE:$AE)/($AA243+SUMIF('Grid BD'!$B:$B,$A243,'Grid BD'!$AE:$AE)),"")</f>
        <v/>
      </c>
      <c r="T243" s="146" t="str">
        <f>IFERROR(1-SUMIF(Tracker_BD!$H:$H,$A243,Tracker_BD!AI:AI)/$F243,"")</f>
        <v/>
      </c>
      <c r="U243" s="147" t="str">
        <f t="shared" si="13"/>
        <v/>
      </c>
      <c r="V243" s="147"/>
      <c r="W243" s="148" t="str">
        <f t="shared" si="14"/>
        <v/>
      </c>
      <c r="X243" s="143" t="str">
        <f>IFERROR(_xlfn.XLOOKUP($A243,'Raw Data'!$G:$G,'Raw Data'!$AB:$AB),"")</f>
        <v/>
      </c>
      <c r="Y243" s="143" t="str">
        <f>IFERROR(_xlfn.XLOOKUP($A243,'Raw Data'!$G:$G,'Raw Data'!AC:AC),"")</f>
        <v/>
      </c>
      <c r="Z243" s="143" t="str">
        <f>IFERROR(_xlfn.XLOOKUP($A243,'Raw Data'!$G:$G,'Raw Data'!AD:AD),"")</f>
        <v/>
      </c>
      <c r="AA243" s="143" t="str">
        <f>IFERROR(_xlfn.XLOOKUP($A243,'Raw Data'!$G:$G,'Raw Data'!AE:AE)*(1+(_xlfn.XLOOKUP(Table13[[#This Row],[Month Year]],JMR!$A:$A,JMR!$J:$J))),"")</f>
        <v/>
      </c>
      <c r="AB243" s="143" t="str">
        <f>IFERROR(_xlfn.XLOOKUP($A243,'Raw Data'!$G:$G,'Raw Data'!$H:$H),"")</f>
        <v/>
      </c>
      <c r="AC243" s="149">
        <f>IFERROR(_xlfn.XLOOKUP($D243,'Modelling New'!$D:$D,'Modelling New'!$P:$P),"")</f>
        <v>5.6270663033333346</v>
      </c>
      <c r="AD243" s="143">
        <f>IFERROR(_xlfn.XLOOKUP($D243,'Modelling New'!$D:$D,'Modelling New'!$T:$T)*1000,"")</f>
        <v>49196.002720215052</v>
      </c>
      <c r="AE243" s="148">
        <f>IFERROR(_xlfn.XLOOKUP($D243,'Modelling New'!$D:$D,'Modelling New'!$O:$O),"")</f>
        <v>0.7459679568935248</v>
      </c>
      <c r="AF243" s="148">
        <f>IFERROR(_xlfn.XLOOKUP($D243,'Modelling New'!$D:$D,'Modelling New'!$W:$W),"")</f>
        <v>0.17490046473341528</v>
      </c>
      <c r="AG243" s="148">
        <f>IFERROR(_xlfn.XLOOKUP($D243,'Modelling New'!$D:$D,'Modelling New'!AE:AE),"")</f>
        <v>0.995</v>
      </c>
      <c r="AH243" s="148">
        <f>IFERROR(_xlfn.XLOOKUP($D243,'Modelling New'!$D:$D,'Modelling New'!AF:AF),"")</f>
        <v>0.98550000000000004</v>
      </c>
      <c r="AN243" s="145"/>
      <c r="AO243" s="148"/>
      <c r="AP243" s="148"/>
      <c r="AQ243" s="148"/>
      <c r="AR243" s="143">
        <f>IFERROR(_xlfn.XLOOKUP($D243,'Modelling New'!$D:$D,'Modelling New'!$N:$N),"")</f>
        <v>11.72</v>
      </c>
      <c r="AT243" s="143" t="str">
        <f>IFERROR(_xlfn.XLOOKUP(Table13[[#This Row],[Date]],'Raw Data'!$G:$G,'Raw Data'!$AJ:$AJ),"")</f>
        <v/>
      </c>
      <c r="AU243" s="143">
        <f>IFERROR(_xlfn.XLOOKUP(Table13[[#This Row],[Month Year]],'Modelling New'!$D:$D,'Modelling New'!$AO:$AO),"")</f>
        <v>10</v>
      </c>
      <c r="AV243" s="143"/>
    </row>
    <row r="244" spans="1:48">
      <c r="A244" s="142">
        <f t="shared" si="15"/>
        <v>45987</v>
      </c>
      <c r="B244" s="143">
        <f>YEAR(Table13[[#This Row],[Date]])+IF(MONTH(Table13[[#This Row],[Date]])&gt;=4,1,0)</f>
        <v>2026</v>
      </c>
      <c r="C244" s="116">
        <f>YEAR(Table13[[#This Row],[Date]])</f>
        <v>2025</v>
      </c>
      <c r="D244" s="144">
        <f>Table13[[#This Row],[Date]]-DAY(Table13[[#This Row],[Date]])+1</f>
        <v>45962</v>
      </c>
      <c r="E244" s="116">
        <f t="shared" si="16"/>
        <v>30</v>
      </c>
      <c r="F244" s="117" t="str">
        <f>IFERROR(_xlfn.XLOOKUP($A244,'Raw Data'!$G:$G,'Raw Data'!$AH:$AH),"")</f>
        <v/>
      </c>
      <c r="G244" s="118" t="str">
        <f>IFERROR(_xlfn.XLOOKUP($A244,'Raw Data'!$G:$G,'Raw Data'!$S:$S)/1000,"")</f>
        <v/>
      </c>
      <c r="H244" s="118"/>
      <c r="I244" s="118" t="str">
        <f>IFERROR(_xlfn.XLOOKUP($A244,'Raw Data'!$G:$G,'Raw Data'!$AF:$AF)/1000,"")</f>
        <v/>
      </c>
      <c r="J244" s="118"/>
      <c r="K244" s="118" t="str">
        <f>IFERROR(_xlfn.XLOOKUP($A244,'Raw Data'!$G:$G,'Raw Data'!W:W),"")</f>
        <v/>
      </c>
      <c r="L244" s="118" t="str">
        <f>IFERROR(_xlfn.XLOOKUP($A244,'Raw Data'!$G:$G,'Raw Data'!X:X),"")</f>
        <v/>
      </c>
      <c r="M244" s="118" t="str">
        <f>IFERROR(_xlfn.XLOOKUP($A244,'Raw Data'!$G:$G,'Raw Data'!Y:Y),"")</f>
        <v/>
      </c>
      <c r="N244" s="118" t="str">
        <f>IFERROR(_xlfn.XLOOKUP($A244,'Raw Data'!$G:$G,'Raw Data'!Z:Z),"")</f>
        <v/>
      </c>
      <c r="O244" s="145" t="str">
        <f>IFERROR(1-SUMIF('Plant BD'!$B:$B,$A244,'Plant BD'!$AM:$AM)/($AA244+SUMIF('Plant BD'!$B:$B,$A244,'Plant BD'!$AM:$AM)),"")</f>
        <v/>
      </c>
      <c r="P244" s="145"/>
      <c r="Q244" s="146"/>
      <c r="R244" s="145" t="str">
        <f>IFERROR(1-SUMIF('Grid BD'!$B:$B,$A244,'Grid BD'!$AE:$AE)/($AA244+SUMIF('Grid BD'!$B:$B,$A244,'Grid BD'!$AE:$AE)),"")</f>
        <v/>
      </c>
      <c r="T244" s="146" t="str">
        <f>IFERROR(1-SUMIF(Tracker_BD!$H:$H,$A244,Tracker_BD!AI:AI)/$F244,"")</f>
        <v/>
      </c>
      <c r="U244" s="147" t="str">
        <f t="shared" si="13"/>
        <v/>
      </c>
      <c r="V244" s="147"/>
      <c r="W244" s="148" t="str">
        <f t="shared" si="14"/>
        <v/>
      </c>
      <c r="X244" s="143" t="str">
        <f>IFERROR(_xlfn.XLOOKUP($A244,'Raw Data'!$G:$G,'Raw Data'!$AB:$AB),"")</f>
        <v/>
      </c>
      <c r="Y244" s="143" t="str">
        <f>IFERROR(_xlfn.XLOOKUP($A244,'Raw Data'!$G:$G,'Raw Data'!AC:AC),"")</f>
        <v/>
      </c>
      <c r="Z244" s="143" t="str">
        <f>IFERROR(_xlfn.XLOOKUP($A244,'Raw Data'!$G:$G,'Raw Data'!AD:AD),"")</f>
        <v/>
      </c>
      <c r="AA244" s="143" t="str">
        <f>IFERROR(_xlfn.XLOOKUP($A244,'Raw Data'!$G:$G,'Raw Data'!AE:AE)*(1+(_xlfn.XLOOKUP(Table13[[#This Row],[Month Year]],JMR!$A:$A,JMR!$J:$J))),"")</f>
        <v/>
      </c>
      <c r="AB244" s="143" t="str">
        <f>IFERROR(_xlfn.XLOOKUP($A244,'Raw Data'!$G:$G,'Raw Data'!$H:$H),"")</f>
        <v/>
      </c>
      <c r="AC244" s="149">
        <f>IFERROR(_xlfn.XLOOKUP($D244,'Modelling New'!$D:$D,'Modelling New'!$P:$P),"")</f>
        <v>5.6270663033333346</v>
      </c>
      <c r="AD244" s="143">
        <f>IFERROR(_xlfn.XLOOKUP($D244,'Modelling New'!$D:$D,'Modelling New'!$T:$T)*1000,"")</f>
        <v>49196.002720215052</v>
      </c>
      <c r="AE244" s="148">
        <f>IFERROR(_xlfn.XLOOKUP($D244,'Modelling New'!$D:$D,'Modelling New'!$O:$O),"")</f>
        <v>0.7459679568935248</v>
      </c>
      <c r="AF244" s="148">
        <f>IFERROR(_xlfn.XLOOKUP($D244,'Modelling New'!$D:$D,'Modelling New'!$W:$W),"")</f>
        <v>0.17490046473341528</v>
      </c>
      <c r="AG244" s="148">
        <f>IFERROR(_xlfn.XLOOKUP($D244,'Modelling New'!$D:$D,'Modelling New'!AE:AE),"")</f>
        <v>0.995</v>
      </c>
      <c r="AH244" s="148">
        <f>IFERROR(_xlfn.XLOOKUP($D244,'Modelling New'!$D:$D,'Modelling New'!AF:AF),"")</f>
        <v>0.98550000000000004</v>
      </c>
      <c r="AN244" s="145"/>
      <c r="AO244" s="148"/>
      <c r="AP244" s="148"/>
      <c r="AQ244" s="148"/>
      <c r="AR244" s="143">
        <f>IFERROR(_xlfn.XLOOKUP($D244,'Modelling New'!$D:$D,'Modelling New'!$N:$N),"")</f>
        <v>11.72</v>
      </c>
      <c r="AT244" s="143" t="str">
        <f>IFERROR(_xlfn.XLOOKUP(Table13[[#This Row],[Date]],'Raw Data'!$G:$G,'Raw Data'!$AJ:$AJ),"")</f>
        <v/>
      </c>
      <c r="AU244" s="143">
        <f>IFERROR(_xlfn.XLOOKUP(Table13[[#This Row],[Month Year]],'Modelling New'!$D:$D,'Modelling New'!$AO:$AO),"")</f>
        <v>10</v>
      </c>
      <c r="AV244" s="143"/>
    </row>
    <row r="245" spans="1:48">
      <c r="A245" s="142">
        <f t="shared" si="15"/>
        <v>45988</v>
      </c>
      <c r="B245" s="143">
        <f>YEAR(Table13[[#This Row],[Date]])+IF(MONTH(Table13[[#This Row],[Date]])&gt;=4,1,0)</f>
        <v>2026</v>
      </c>
      <c r="C245" s="116">
        <f>YEAR(Table13[[#This Row],[Date]])</f>
        <v>2025</v>
      </c>
      <c r="D245" s="144">
        <f>Table13[[#This Row],[Date]]-DAY(Table13[[#This Row],[Date]])+1</f>
        <v>45962</v>
      </c>
      <c r="E245" s="116">
        <f t="shared" si="16"/>
        <v>30</v>
      </c>
      <c r="F245" s="117" t="str">
        <f>IFERROR(_xlfn.XLOOKUP($A245,'Raw Data'!$G:$G,'Raw Data'!$AH:$AH),"")</f>
        <v/>
      </c>
      <c r="G245" s="118" t="str">
        <f>IFERROR(_xlfn.XLOOKUP($A245,'Raw Data'!$G:$G,'Raw Data'!$S:$S)/1000,"")</f>
        <v/>
      </c>
      <c r="H245" s="118"/>
      <c r="I245" s="118" t="str">
        <f>IFERROR(_xlfn.XLOOKUP($A245,'Raw Data'!$G:$G,'Raw Data'!$AF:$AF)/1000,"")</f>
        <v/>
      </c>
      <c r="J245" s="118"/>
      <c r="K245" s="118" t="str">
        <f>IFERROR(_xlfn.XLOOKUP($A245,'Raw Data'!$G:$G,'Raw Data'!W:W),"")</f>
        <v/>
      </c>
      <c r="L245" s="118" t="str">
        <f>IFERROR(_xlfn.XLOOKUP($A245,'Raw Data'!$G:$G,'Raw Data'!X:X),"")</f>
        <v/>
      </c>
      <c r="M245" s="118" t="str">
        <f>IFERROR(_xlfn.XLOOKUP($A245,'Raw Data'!$G:$G,'Raw Data'!Y:Y),"")</f>
        <v/>
      </c>
      <c r="N245" s="118" t="str">
        <f>IFERROR(_xlfn.XLOOKUP($A245,'Raw Data'!$G:$G,'Raw Data'!Z:Z),"")</f>
        <v/>
      </c>
      <c r="O245" s="145" t="str">
        <f>IFERROR(1-SUMIF('Plant BD'!$B:$B,$A245,'Plant BD'!$AM:$AM)/($AA245+SUMIF('Plant BD'!$B:$B,$A245,'Plant BD'!$AM:$AM)),"")</f>
        <v/>
      </c>
      <c r="P245" s="145"/>
      <c r="Q245" s="146"/>
      <c r="R245" s="145" t="str">
        <f>IFERROR(1-SUMIF('Grid BD'!$B:$B,$A245,'Grid BD'!$AE:$AE)/($AA245+SUMIF('Grid BD'!$B:$B,$A245,'Grid BD'!$AE:$AE)),"")</f>
        <v/>
      </c>
      <c r="T245" s="146" t="str">
        <f>IFERROR(1-SUMIF(Tracker_BD!$H:$H,$A245,Tracker_BD!AI:AI)/$F245,"")</f>
        <v/>
      </c>
      <c r="U245" s="147" t="str">
        <f t="shared" si="13"/>
        <v/>
      </c>
      <c r="V245" s="147"/>
      <c r="W245" s="148" t="str">
        <f t="shared" si="14"/>
        <v/>
      </c>
      <c r="X245" s="143" t="str">
        <f>IFERROR(_xlfn.XLOOKUP($A245,'Raw Data'!$G:$G,'Raw Data'!$AB:$AB),"")</f>
        <v/>
      </c>
      <c r="Y245" s="143" t="str">
        <f>IFERROR(_xlfn.XLOOKUP($A245,'Raw Data'!$G:$G,'Raw Data'!AC:AC),"")</f>
        <v/>
      </c>
      <c r="Z245" s="143" t="str">
        <f>IFERROR(_xlfn.XLOOKUP($A245,'Raw Data'!$G:$G,'Raw Data'!AD:AD),"")</f>
        <v/>
      </c>
      <c r="AA245" s="143" t="str">
        <f>IFERROR(_xlfn.XLOOKUP($A245,'Raw Data'!$G:$G,'Raw Data'!AE:AE)*(1+(_xlfn.XLOOKUP(Table13[[#This Row],[Month Year]],JMR!$A:$A,JMR!$J:$J))),"")</f>
        <v/>
      </c>
      <c r="AB245" s="143" t="str">
        <f>IFERROR(_xlfn.XLOOKUP($A245,'Raw Data'!$G:$G,'Raw Data'!$H:$H),"")</f>
        <v/>
      </c>
      <c r="AC245" s="149">
        <f>IFERROR(_xlfn.XLOOKUP($D245,'Modelling New'!$D:$D,'Modelling New'!$P:$P),"")</f>
        <v>5.6270663033333346</v>
      </c>
      <c r="AD245" s="143">
        <f>IFERROR(_xlfn.XLOOKUP($D245,'Modelling New'!$D:$D,'Modelling New'!$T:$T)*1000,"")</f>
        <v>49196.002720215052</v>
      </c>
      <c r="AE245" s="148">
        <f>IFERROR(_xlfn.XLOOKUP($D245,'Modelling New'!$D:$D,'Modelling New'!$O:$O),"")</f>
        <v>0.7459679568935248</v>
      </c>
      <c r="AF245" s="148">
        <f>IFERROR(_xlfn.XLOOKUP($D245,'Modelling New'!$D:$D,'Modelling New'!$W:$W),"")</f>
        <v>0.17490046473341528</v>
      </c>
      <c r="AG245" s="148">
        <f>IFERROR(_xlfn.XLOOKUP($D245,'Modelling New'!$D:$D,'Modelling New'!AE:AE),"")</f>
        <v>0.995</v>
      </c>
      <c r="AH245" s="148">
        <f>IFERROR(_xlfn.XLOOKUP($D245,'Modelling New'!$D:$D,'Modelling New'!AF:AF),"")</f>
        <v>0.98550000000000004</v>
      </c>
      <c r="AN245" s="145"/>
      <c r="AO245" s="148"/>
      <c r="AP245" s="148"/>
      <c r="AQ245" s="148"/>
      <c r="AR245" s="143">
        <f>IFERROR(_xlfn.XLOOKUP($D245,'Modelling New'!$D:$D,'Modelling New'!$N:$N),"")</f>
        <v>11.72</v>
      </c>
      <c r="AT245" s="143" t="str">
        <f>IFERROR(_xlfn.XLOOKUP(Table13[[#This Row],[Date]],'Raw Data'!$G:$G,'Raw Data'!$AJ:$AJ),"")</f>
        <v/>
      </c>
      <c r="AU245" s="143">
        <f>IFERROR(_xlfn.XLOOKUP(Table13[[#This Row],[Month Year]],'Modelling New'!$D:$D,'Modelling New'!$AO:$AO),"")</f>
        <v>10</v>
      </c>
      <c r="AV245" s="143"/>
    </row>
    <row r="246" spans="1:48">
      <c r="A246" s="142">
        <f t="shared" si="15"/>
        <v>45989</v>
      </c>
      <c r="B246" s="143">
        <f>YEAR(Table13[[#This Row],[Date]])+IF(MONTH(Table13[[#This Row],[Date]])&gt;=4,1,0)</f>
        <v>2026</v>
      </c>
      <c r="C246" s="116">
        <f>YEAR(Table13[[#This Row],[Date]])</f>
        <v>2025</v>
      </c>
      <c r="D246" s="144">
        <f>Table13[[#This Row],[Date]]-DAY(Table13[[#This Row],[Date]])+1</f>
        <v>45962</v>
      </c>
      <c r="E246" s="116">
        <f t="shared" si="16"/>
        <v>30</v>
      </c>
      <c r="F246" s="117" t="str">
        <f>IFERROR(_xlfn.XLOOKUP($A246,'Raw Data'!$G:$G,'Raw Data'!$AH:$AH),"")</f>
        <v/>
      </c>
      <c r="G246" s="118" t="str">
        <f>IFERROR(_xlfn.XLOOKUP($A246,'Raw Data'!$G:$G,'Raw Data'!$S:$S)/1000,"")</f>
        <v/>
      </c>
      <c r="H246" s="118"/>
      <c r="I246" s="118" t="str">
        <f>IFERROR(_xlfn.XLOOKUP($A246,'Raw Data'!$G:$G,'Raw Data'!$AF:$AF)/1000,"")</f>
        <v/>
      </c>
      <c r="J246" s="118"/>
      <c r="K246" s="118" t="str">
        <f>IFERROR(_xlfn.XLOOKUP($A246,'Raw Data'!$G:$G,'Raw Data'!W:W),"")</f>
        <v/>
      </c>
      <c r="L246" s="118" t="str">
        <f>IFERROR(_xlfn.XLOOKUP($A246,'Raw Data'!$G:$G,'Raw Data'!X:X),"")</f>
        <v/>
      </c>
      <c r="M246" s="118" t="str">
        <f>IFERROR(_xlfn.XLOOKUP($A246,'Raw Data'!$G:$G,'Raw Data'!Y:Y),"")</f>
        <v/>
      </c>
      <c r="N246" s="118" t="str">
        <f>IFERROR(_xlfn.XLOOKUP($A246,'Raw Data'!$G:$G,'Raw Data'!Z:Z),"")</f>
        <v/>
      </c>
      <c r="O246" s="145" t="str">
        <f>IFERROR(1-SUMIF('Plant BD'!$B:$B,$A246,'Plant BD'!$AM:$AM)/($AA246+SUMIF('Plant BD'!$B:$B,$A246,'Plant BD'!$AM:$AM)),"")</f>
        <v/>
      </c>
      <c r="P246" s="145"/>
      <c r="Q246" s="146"/>
      <c r="R246" s="145" t="str">
        <f>IFERROR(1-SUMIF('Grid BD'!$B:$B,$A246,'Grid BD'!$AE:$AE)/($AA246+SUMIF('Grid BD'!$B:$B,$A246,'Grid BD'!$AE:$AE)),"")</f>
        <v/>
      </c>
      <c r="T246" s="146" t="str">
        <f>IFERROR(1-SUMIF(Tracker_BD!$H:$H,$A246,Tracker_BD!AI:AI)/$F246,"")</f>
        <v/>
      </c>
      <c r="U246" s="147" t="str">
        <f t="shared" si="13"/>
        <v/>
      </c>
      <c r="V246" s="147"/>
      <c r="W246" s="148" t="str">
        <f t="shared" si="14"/>
        <v/>
      </c>
      <c r="X246" s="143" t="str">
        <f>IFERROR(_xlfn.XLOOKUP($A246,'Raw Data'!$G:$G,'Raw Data'!$AB:$AB),"")</f>
        <v/>
      </c>
      <c r="Y246" s="143" t="str">
        <f>IFERROR(_xlfn.XLOOKUP($A246,'Raw Data'!$G:$G,'Raw Data'!AC:AC),"")</f>
        <v/>
      </c>
      <c r="Z246" s="143" t="str">
        <f>IFERROR(_xlfn.XLOOKUP($A246,'Raw Data'!$G:$G,'Raw Data'!AD:AD),"")</f>
        <v/>
      </c>
      <c r="AA246" s="143" t="str">
        <f>IFERROR(_xlfn.XLOOKUP($A246,'Raw Data'!$G:$G,'Raw Data'!AE:AE)*(1+(_xlfn.XLOOKUP(Table13[[#This Row],[Month Year]],JMR!$A:$A,JMR!$J:$J))),"")</f>
        <v/>
      </c>
      <c r="AB246" s="143" t="str">
        <f>IFERROR(_xlfn.XLOOKUP($A246,'Raw Data'!$G:$G,'Raw Data'!$H:$H),"")</f>
        <v/>
      </c>
      <c r="AC246" s="149">
        <f>IFERROR(_xlfn.XLOOKUP($D246,'Modelling New'!$D:$D,'Modelling New'!$P:$P),"")</f>
        <v>5.6270663033333346</v>
      </c>
      <c r="AD246" s="143">
        <f>IFERROR(_xlfn.XLOOKUP($D246,'Modelling New'!$D:$D,'Modelling New'!$T:$T)*1000,"")</f>
        <v>49196.002720215052</v>
      </c>
      <c r="AE246" s="148">
        <f>IFERROR(_xlfn.XLOOKUP($D246,'Modelling New'!$D:$D,'Modelling New'!$O:$O),"")</f>
        <v>0.7459679568935248</v>
      </c>
      <c r="AF246" s="148">
        <f>IFERROR(_xlfn.XLOOKUP($D246,'Modelling New'!$D:$D,'Modelling New'!$W:$W),"")</f>
        <v>0.17490046473341528</v>
      </c>
      <c r="AG246" s="148">
        <f>IFERROR(_xlfn.XLOOKUP($D246,'Modelling New'!$D:$D,'Modelling New'!AE:AE),"")</f>
        <v>0.995</v>
      </c>
      <c r="AH246" s="148">
        <f>IFERROR(_xlfn.XLOOKUP($D246,'Modelling New'!$D:$D,'Modelling New'!AF:AF),"")</f>
        <v>0.98550000000000004</v>
      </c>
      <c r="AN246" s="145"/>
      <c r="AO246" s="148"/>
      <c r="AP246" s="148"/>
      <c r="AQ246" s="148"/>
      <c r="AR246" s="143">
        <f>IFERROR(_xlfn.XLOOKUP($D246,'Modelling New'!$D:$D,'Modelling New'!$N:$N),"")</f>
        <v>11.72</v>
      </c>
      <c r="AT246" s="143" t="str">
        <f>IFERROR(_xlfn.XLOOKUP(Table13[[#This Row],[Date]],'Raw Data'!$G:$G,'Raw Data'!$AJ:$AJ),"")</f>
        <v/>
      </c>
      <c r="AU246" s="143">
        <f>IFERROR(_xlfn.XLOOKUP(Table13[[#This Row],[Month Year]],'Modelling New'!$D:$D,'Modelling New'!$AO:$AO),"")</f>
        <v>10</v>
      </c>
      <c r="AV246" s="143"/>
    </row>
    <row r="247" spans="1:48">
      <c r="A247" s="142">
        <f t="shared" si="15"/>
        <v>45990</v>
      </c>
      <c r="B247" s="143">
        <f>YEAR(Table13[[#This Row],[Date]])+IF(MONTH(Table13[[#This Row],[Date]])&gt;=4,1,0)</f>
        <v>2026</v>
      </c>
      <c r="C247" s="116">
        <f>YEAR(Table13[[#This Row],[Date]])</f>
        <v>2025</v>
      </c>
      <c r="D247" s="144">
        <f>Table13[[#This Row],[Date]]-DAY(Table13[[#This Row],[Date]])+1</f>
        <v>45962</v>
      </c>
      <c r="E247" s="116">
        <f t="shared" si="16"/>
        <v>30</v>
      </c>
      <c r="F247" s="117" t="str">
        <f>IFERROR(_xlfn.XLOOKUP($A247,'Raw Data'!$G:$G,'Raw Data'!$AH:$AH),"")</f>
        <v/>
      </c>
      <c r="G247" s="118" t="str">
        <f>IFERROR(_xlfn.XLOOKUP($A247,'Raw Data'!$G:$G,'Raw Data'!$S:$S)/1000,"")</f>
        <v/>
      </c>
      <c r="H247" s="118"/>
      <c r="I247" s="118" t="str">
        <f>IFERROR(_xlfn.XLOOKUP($A247,'Raw Data'!$G:$G,'Raw Data'!$AF:$AF)/1000,"")</f>
        <v/>
      </c>
      <c r="J247" s="118"/>
      <c r="K247" s="118" t="str">
        <f>IFERROR(_xlfn.XLOOKUP($A247,'Raw Data'!$G:$G,'Raw Data'!W:W),"")</f>
        <v/>
      </c>
      <c r="L247" s="118" t="str">
        <f>IFERROR(_xlfn.XLOOKUP($A247,'Raw Data'!$G:$G,'Raw Data'!X:X),"")</f>
        <v/>
      </c>
      <c r="M247" s="118" t="str">
        <f>IFERROR(_xlfn.XLOOKUP($A247,'Raw Data'!$G:$G,'Raw Data'!Y:Y),"")</f>
        <v/>
      </c>
      <c r="N247" s="118" t="str">
        <f>IFERROR(_xlfn.XLOOKUP($A247,'Raw Data'!$G:$G,'Raw Data'!Z:Z),"")</f>
        <v/>
      </c>
      <c r="O247" s="145" t="str">
        <f>IFERROR(1-SUMIF('Plant BD'!$B:$B,$A247,'Plant BD'!$AM:$AM)/($AA247+SUMIF('Plant BD'!$B:$B,$A247,'Plant BD'!$AM:$AM)),"")</f>
        <v/>
      </c>
      <c r="P247" s="145"/>
      <c r="Q247" s="146"/>
      <c r="R247" s="145" t="str">
        <f>IFERROR(1-SUMIF('Grid BD'!$B:$B,$A247,'Grid BD'!$AE:$AE)/($AA247+SUMIF('Grid BD'!$B:$B,$A247,'Grid BD'!$AE:$AE)),"")</f>
        <v/>
      </c>
      <c r="T247" s="146" t="str">
        <f>IFERROR(1-SUMIF(Tracker_BD!$H:$H,$A247,Tracker_BD!AI:AI)/$F247,"")</f>
        <v/>
      </c>
      <c r="U247" s="147" t="str">
        <f t="shared" si="13"/>
        <v/>
      </c>
      <c r="V247" s="147"/>
      <c r="W247" s="148" t="str">
        <f t="shared" si="14"/>
        <v/>
      </c>
      <c r="X247" s="143" t="str">
        <f>IFERROR(_xlfn.XLOOKUP($A247,'Raw Data'!$G:$G,'Raw Data'!$AB:$AB),"")</f>
        <v/>
      </c>
      <c r="Y247" s="143" t="str">
        <f>IFERROR(_xlfn.XLOOKUP($A247,'Raw Data'!$G:$G,'Raw Data'!AC:AC),"")</f>
        <v/>
      </c>
      <c r="Z247" s="143" t="str">
        <f>IFERROR(_xlfn.XLOOKUP($A247,'Raw Data'!$G:$G,'Raw Data'!AD:AD),"")</f>
        <v/>
      </c>
      <c r="AA247" s="143" t="str">
        <f>IFERROR(_xlfn.XLOOKUP($A247,'Raw Data'!$G:$G,'Raw Data'!AE:AE)*(1+(_xlfn.XLOOKUP(Table13[[#This Row],[Month Year]],JMR!$A:$A,JMR!$J:$J))),"")</f>
        <v/>
      </c>
      <c r="AB247" s="143" t="str">
        <f>IFERROR(_xlfn.XLOOKUP($A247,'Raw Data'!$G:$G,'Raw Data'!$H:$H),"")</f>
        <v/>
      </c>
      <c r="AC247" s="149">
        <f>IFERROR(_xlfn.XLOOKUP($D247,'Modelling New'!$D:$D,'Modelling New'!$P:$P),"")</f>
        <v>5.6270663033333346</v>
      </c>
      <c r="AD247" s="143">
        <f>IFERROR(_xlfn.XLOOKUP($D247,'Modelling New'!$D:$D,'Modelling New'!$T:$T)*1000,"")</f>
        <v>49196.002720215052</v>
      </c>
      <c r="AE247" s="148">
        <f>IFERROR(_xlfn.XLOOKUP($D247,'Modelling New'!$D:$D,'Modelling New'!$O:$O),"")</f>
        <v>0.7459679568935248</v>
      </c>
      <c r="AF247" s="148">
        <f>IFERROR(_xlfn.XLOOKUP($D247,'Modelling New'!$D:$D,'Modelling New'!$W:$W),"")</f>
        <v>0.17490046473341528</v>
      </c>
      <c r="AG247" s="148">
        <f>IFERROR(_xlfn.XLOOKUP($D247,'Modelling New'!$D:$D,'Modelling New'!AE:AE),"")</f>
        <v>0.995</v>
      </c>
      <c r="AH247" s="148">
        <f>IFERROR(_xlfn.XLOOKUP($D247,'Modelling New'!$D:$D,'Modelling New'!AF:AF),"")</f>
        <v>0.98550000000000004</v>
      </c>
      <c r="AN247" s="145"/>
      <c r="AO247" s="148"/>
      <c r="AP247" s="148"/>
      <c r="AQ247" s="148"/>
      <c r="AR247" s="143">
        <f>IFERROR(_xlfn.XLOOKUP($D247,'Modelling New'!$D:$D,'Modelling New'!$N:$N),"")</f>
        <v>11.72</v>
      </c>
      <c r="AT247" s="143" t="str">
        <f>IFERROR(_xlfn.XLOOKUP(Table13[[#This Row],[Date]],'Raw Data'!$G:$G,'Raw Data'!$AJ:$AJ),"")</f>
        <v/>
      </c>
      <c r="AU247" s="143">
        <f>IFERROR(_xlfn.XLOOKUP(Table13[[#This Row],[Month Year]],'Modelling New'!$D:$D,'Modelling New'!$AO:$AO),"")</f>
        <v>10</v>
      </c>
      <c r="AV247" s="143"/>
    </row>
    <row r="248" spans="1:48">
      <c r="A248" s="142">
        <f t="shared" si="15"/>
        <v>45991</v>
      </c>
      <c r="B248" s="143">
        <f>YEAR(Table13[[#This Row],[Date]])+IF(MONTH(Table13[[#This Row],[Date]])&gt;=4,1,0)</f>
        <v>2026</v>
      </c>
      <c r="C248" s="116">
        <f>YEAR(Table13[[#This Row],[Date]])</f>
        <v>2025</v>
      </c>
      <c r="D248" s="144">
        <f>Table13[[#This Row],[Date]]-DAY(Table13[[#This Row],[Date]])+1</f>
        <v>45962</v>
      </c>
      <c r="E248" s="116">
        <f t="shared" si="16"/>
        <v>30</v>
      </c>
      <c r="F248" s="117" t="str">
        <f>IFERROR(_xlfn.XLOOKUP($A248,'Raw Data'!$G:$G,'Raw Data'!$AH:$AH),"")</f>
        <v/>
      </c>
      <c r="G248" s="118" t="str">
        <f>IFERROR(_xlfn.XLOOKUP($A248,'Raw Data'!$G:$G,'Raw Data'!$S:$S)/1000,"")</f>
        <v/>
      </c>
      <c r="H248" s="118"/>
      <c r="I248" s="118" t="str">
        <f>IFERROR(_xlfn.XLOOKUP($A248,'Raw Data'!$G:$G,'Raw Data'!$AF:$AF)/1000,"")</f>
        <v/>
      </c>
      <c r="J248" s="118"/>
      <c r="K248" s="118" t="str">
        <f>IFERROR(_xlfn.XLOOKUP($A248,'Raw Data'!$G:$G,'Raw Data'!W:W),"")</f>
        <v/>
      </c>
      <c r="L248" s="118" t="str">
        <f>IFERROR(_xlfn.XLOOKUP($A248,'Raw Data'!$G:$G,'Raw Data'!X:X),"")</f>
        <v/>
      </c>
      <c r="M248" s="118" t="str">
        <f>IFERROR(_xlfn.XLOOKUP($A248,'Raw Data'!$G:$G,'Raw Data'!Y:Y),"")</f>
        <v/>
      </c>
      <c r="N248" s="118" t="str">
        <f>IFERROR(_xlfn.XLOOKUP($A248,'Raw Data'!$G:$G,'Raw Data'!Z:Z),"")</f>
        <v/>
      </c>
      <c r="O248" s="145" t="str">
        <f>IFERROR(1-SUMIF('Plant BD'!$B:$B,$A248,'Plant BD'!$AM:$AM)/($AA248+SUMIF('Plant BD'!$B:$B,$A248,'Plant BD'!$AM:$AM)),"")</f>
        <v/>
      </c>
      <c r="P248" s="145"/>
      <c r="Q248" s="146"/>
      <c r="R248" s="145" t="str">
        <f>IFERROR(1-SUMIF('Grid BD'!$B:$B,$A248,'Grid BD'!$AE:$AE)/($AA248+SUMIF('Grid BD'!$B:$B,$A248,'Grid BD'!$AE:$AE)),"")</f>
        <v/>
      </c>
      <c r="T248" s="146" t="str">
        <f>IFERROR(1-SUMIF(Tracker_BD!$H:$H,$A248,Tracker_BD!AI:AI)/$F248,"")</f>
        <v/>
      </c>
      <c r="U248" s="147" t="str">
        <f t="shared" si="13"/>
        <v/>
      </c>
      <c r="V248" s="147"/>
      <c r="W248" s="148" t="str">
        <f t="shared" si="14"/>
        <v/>
      </c>
      <c r="X248" s="143" t="str">
        <f>IFERROR(_xlfn.XLOOKUP($A248,'Raw Data'!$G:$G,'Raw Data'!$AB:$AB),"")</f>
        <v/>
      </c>
      <c r="Y248" s="143" t="str">
        <f>IFERROR(_xlfn.XLOOKUP($A248,'Raw Data'!$G:$G,'Raw Data'!AC:AC),"")</f>
        <v/>
      </c>
      <c r="Z248" s="143" t="str">
        <f>IFERROR(_xlfn.XLOOKUP($A248,'Raw Data'!$G:$G,'Raw Data'!AD:AD),"")</f>
        <v/>
      </c>
      <c r="AA248" s="143" t="str">
        <f>IFERROR(_xlfn.XLOOKUP($A248,'Raw Data'!$G:$G,'Raw Data'!AE:AE)*(1+(_xlfn.XLOOKUP(Table13[[#This Row],[Month Year]],JMR!$A:$A,JMR!$J:$J))),"")</f>
        <v/>
      </c>
      <c r="AB248" s="143" t="str">
        <f>IFERROR(_xlfn.XLOOKUP($A248,'Raw Data'!$G:$G,'Raw Data'!$H:$H),"")</f>
        <v/>
      </c>
      <c r="AC248" s="149">
        <f>IFERROR(_xlfn.XLOOKUP($D248,'Modelling New'!$D:$D,'Modelling New'!$P:$P),"")</f>
        <v>5.6270663033333346</v>
      </c>
      <c r="AD248" s="143">
        <f>IFERROR(_xlfn.XLOOKUP($D248,'Modelling New'!$D:$D,'Modelling New'!$T:$T)*1000,"")</f>
        <v>49196.002720215052</v>
      </c>
      <c r="AE248" s="148">
        <f>IFERROR(_xlfn.XLOOKUP($D248,'Modelling New'!$D:$D,'Modelling New'!$O:$O),"")</f>
        <v>0.7459679568935248</v>
      </c>
      <c r="AF248" s="148">
        <f>IFERROR(_xlfn.XLOOKUP($D248,'Modelling New'!$D:$D,'Modelling New'!$W:$W),"")</f>
        <v>0.17490046473341528</v>
      </c>
      <c r="AG248" s="148">
        <f>IFERROR(_xlfn.XLOOKUP($D248,'Modelling New'!$D:$D,'Modelling New'!AE:AE),"")</f>
        <v>0.995</v>
      </c>
      <c r="AH248" s="148">
        <f>IFERROR(_xlfn.XLOOKUP($D248,'Modelling New'!$D:$D,'Modelling New'!AF:AF),"")</f>
        <v>0.98550000000000004</v>
      </c>
      <c r="AN248" s="145"/>
      <c r="AO248" s="148"/>
      <c r="AP248" s="148"/>
      <c r="AQ248" s="148"/>
      <c r="AR248" s="143">
        <f>IFERROR(_xlfn.XLOOKUP($D248,'Modelling New'!$D:$D,'Modelling New'!$N:$N),"")</f>
        <v>11.72</v>
      </c>
      <c r="AT248" s="143" t="str">
        <f>IFERROR(_xlfn.XLOOKUP(Table13[[#This Row],[Date]],'Raw Data'!$G:$G,'Raw Data'!$AJ:$AJ),"")</f>
        <v/>
      </c>
      <c r="AU248" s="143">
        <f>IFERROR(_xlfn.XLOOKUP(Table13[[#This Row],[Month Year]],'Modelling New'!$D:$D,'Modelling New'!$AO:$AO),"")</f>
        <v>10</v>
      </c>
      <c r="AV248" s="143"/>
    </row>
    <row r="249" spans="1:48">
      <c r="A249" s="142">
        <f t="shared" si="15"/>
        <v>45992</v>
      </c>
      <c r="B249" s="143">
        <f>YEAR(Table13[[#This Row],[Date]])+IF(MONTH(Table13[[#This Row],[Date]])&gt;=4,1,0)</f>
        <v>2026</v>
      </c>
      <c r="C249" s="116">
        <f>YEAR(Table13[[#This Row],[Date]])</f>
        <v>2025</v>
      </c>
      <c r="D249" s="144">
        <f>Table13[[#This Row],[Date]]-DAY(Table13[[#This Row],[Date]])+1</f>
        <v>45992</v>
      </c>
      <c r="E249" s="116">
        <f t="shared" si="16"/>
        <v>31</v>
      </c>
      <c r="F249" s="117" t="str">
        <f>IFERROR(_xlfn.XLOOKUP($A249,'Raw Data'!$G:$G,'Raw Data'!$AH:$AH),"")</f>
        <v/>
      </c>
      <c r="G249" s="118" t="str">
        <f>IFERROR(_xlfn.XLOOKUP($A249,'Raw Data'!$G:$G,'Raw Data'!$S:$S)/1000,"")</f>
        <v/>
      </c>
      <c r="H249" s="118"/>
      <c r="I249" s="118" t="str">
        <f>IFERROR(_xlfn.XLOOKUP($A249,'Raw Data'!$G:$G,'Raw Data'!$AF:$AF)/1000,"")</f>
        <v/>
      </c>
      <c r="J249" s="118"/>
      <c r="K249" s="118" t="str">
        <f>IFERROR(_xlfn.XLOOKUP($A249,'Raw Data'!$G:$G,'Raw Data'!W:W),"")</f>
        <v/>
      </c>
      <c r="L249" s="118" t="str">
        <f>IFERROR(_xlfn.XLOOKUP($A249,'Raw Data'!$G:$G,'Raw Data'!X:X),"")</f>
        <v/>
      </c>
      <c r="M249" s="118" t="str">
        <f>IFERROR(_xlfn.XLOOKUP($A249,'Raw Data'!$G:$G,'Raw Data'!Y:Y),"")</f>
        <v/>
      </c>
      <c r="N249" s="118" t="str">
        <f>IFERROR(_xlfn.XLOOKUP($A249,'Raw Data'!$G:$G,'Raw Data'!Z:Z),"")</f>
        <v/>
      </c>
      <c r="O249" s="145" t="str">
        <f>IFERROR(1-SUMIF('Plant BD'!$B:$B,$A249,'Plant BD'!$AM:$AM)/($AA249+SUMIF('Plant BD'!$B:$B,$A249,'Plant BD'!$AM:$AM)),"")</f>
        <v/>
      </c>
      <c r="P249" s="145"/>
      <c r="Q249" s="146"/>
      <c r="R249" s="145" t="str">
        <f>IFERROR(1-SUMIF('Grid BD'!$B:$B,$A249,'Grid BD'!$AE:$AE)/($AA249+SUMIF('Grid BD'!$B:$B,$A249,'Grid BD'!$AE:$AE)),"")</f>
        <v/>
      </c>
      <c r="T249" s="146" t="str">
        <f>IFERROR(1-SUMIF(Tracker_BD!$H:$H,$A249,Tracker_BD!AI:AI)/$F249,"")</f>
        <v/>
      </c>
      <c r="U249" s="147" t="str">
        <f t="shared" si="13"/>
        <v/>
      </c>
      <c r="V249" s="147"/>
      <c r="W249" s="148" t="str">
        <f t="shared" si="14"/>
        <v/>
      </c>
      <c r="X249" s="143" t="str">
        <f>IFERROR(_xlfn.XLOOKUP($A249,'Raw Data'!$G:$G,'Raw Data'!$AB:$AB),"")</f>
        <v/>
      </c>
      <c r="Y249" s="143" t="str">
        <f>IFERROR(_xlfn.XLOOKUP($A249,'Raw Data'!$G:$G,'Raw Data'!AC:AC),"")</f>
        <v/>
      </c>
      <c r="Z249" s="143" t="str">
        <f>IFERROR(_xlfn.XLOOKUP($A249,'Raw Data'!$G:$G,'Raw Data'!AD:AD),"")</f>
        <v/>
      </c>
      <c r="AA249" s="143" t="str">
        <f>IFERROR(_xlfn.XLOOKUP($A249,'Raw Data'!$G:$G,'Raw Data'!AE:AE)*(1+(_xlfn.XLOOKUP(Table13[[#This Row],[Month Year]],JMR!$A:$A,JMR!$J:$J))),"")</f>
        <v/>
      </c>
      <c r="AB249" s="143" t="str">
        <f>IFERROR(_xlfn.XLOOKUP($A249,'Raw Data'!$G:$G,'Raw Data'!$H:$H),"")</f>
        <v/>
      </c>
      <c r="AC249" s="149">
        <f>IFERROR(_xlfn.XLOOKUP($D249,'Modelling New'!$D:$D,'Modelling New'!$P:$P),"")</f>
        <v>5.3204721516128961</v>
      </c>
      <c r="AD249" s="143">
        <f>IFERROR(_xlfn.XLOOKUP($D249,'Modelling New'!$D:$D,'Modelling New'!$T:$T)*1000,"")</f>
        <v>48291.284576209961</v>
      </c>
      <c r="AE249" s="148">
        <f>IFERROR(_xlfn.XLOOKUP($D249,'Modelling New'!$D:$D,'Modelling New'!$O:$O),"")</f>
        <v>0.77444569867075796</v>
      </c>
      <c r="AF249" s="148">
        <f>IFERROR(_xlfn.XLOOKUP($D249,'Modelling New'!$D:$D,'Modelling New'!$W:$W),"")</f>
        <v>0.17168403219642334</v>
      </c>
      <c r="AG249" s="148">
        <f>IFERROR(_xlfn.XLOOKUP($D249,'Modelling New'!$D:$D,'Modelling New'!AE:AE),"")</f>
        <v>0.995</v>
      </c>
      <c r="AH249" s="148">
        <f>IFERROR(_xlfn.XLOOKUP($D249,'Modelling New'!$D:$D,'Modelling New'!AF:AF),"")</f>
        <v>0.98550000000000004</v>
      </c>
      <c r="AN249" s="145"/>
      <c r="AO249" s="148"/>
      <c r="AP249" s="148"/>
      <c r="AQ249" s="148"/>
      <c r="AR249" s="143">
        <f>IFERROR(_xlfn.XLOOKUP($D249,'Modelling New'!$D:$D,'Modelling New'!$N:$N),"")</f>
        <v>11.72</v>
      </c>
      <c r="AT249" s="143" t="str">
        <f>IFERROR(_xlfn.XLOOKUP(Table13[[#This Row],[Date]],'Raw Data'!$G:$G,'Raw Data'!$AJ:$AJ),"")</f>
        <v/>
      </c>
      <c r="AU249" s="143">
        <f>IFERROR(_xlfn.XLOOKUP(Table13[[#This Row],[Month Year]],'Modelling New'!$D:$D,'Modelling New'!$AO:$AO),"")</f>
        <v>10</v>
      </c>
      <c r="AV249" s="143"/>
    </row>
    <row r="250" spans="1:48">
      <c r="A250" s="142">
        <f t="shared" si="15"/>
        <v>45993</v>
      </c>
      <c r="B250" s="143">
        <f>YEAR(Table13[[#This Row],[Date]])+IF(MONTH(Table13[[#This Row],[Date]])&gt;=4,1,0)</f>
        <v>2026</v>
      </c>
      <c r="C250" s="116">
        <f>YEAR(Table13[[#This Row],[Date]])</f>
        <v>2025</v>
      </c>
      <c r="D250" s="144">
        <f>Table13[[#This Row],[Date]]-DAY(Table13[[#This Row],[Date]])+1</f>
        <v>45992</v>
      </c>
      <c r="E250" s="116">
        <f t="shared" ref="E250:E313" si="17">DAY(EOMONTH(A250,0))</f>
        <v>31</v>
      </c>
      <c r="F250" s="117" t="str">
        <f>IFERROR(_xlfn.XLOOKUP($A250,'Raw Data'!$G:$G,'Raw Data'!$AH:$AH),"")</f>
        <v/>
      </c>
      <c r="G250" s="118" t="str">
        <f>IFERROR(_xlfn.XLOOKUP($A250,'Raw Data'!$G:$G,'Raw Data'!$S:$S)/1000,"")</f>
        <v/>
      </c>
      <c r="H250" s="118"/>
      <c r="I250" s="118" t="str">
        <f>IFERROR(_xlfn.XLOOKUP($A250,'Raw Data'!$G:$G,'Raw Data'!$AF:$AF)/1000,"")</f>
        <v/>
      </c>
      <c r="J250" s="118"/>
      <c r="K250" s="118" t="str">
        <f>IFERROR(_xlfn.XLOOKUP($A250,'Raw Data'!$G:$G,'Raw Data'!W:W),"")</f>
        <v/>
      </c>
      <c r="L250" s="118" t="str">
        <f>IFERROR(_xlfn.XLOOKUP($A250,'Raw Data'!$G:$G,'Raw Data'!X:X),"")</f>
        <v/>
      </c>
      <c r="M250" s="118" t="str">
        <f>IFERROR(_xlfn.XLOOKUP($A250,'Raw Data'!$G:$G,'Raw Data'!Y:Y),"")</f>
        <v/>
      </c>
      <c r="N250" s="118" t="str">
        <f>IFERROR(_xlfn.XLOOKUP($A250,'Raw Data'!$G:$G,'Raw Data'!Z:Z),"")</f>
        <v/>
      </c>
      <c r="O250" s="145" t="str">
        <f>IFERROR(1-SUMIF('Plant BD'!$B:$B,$A250,'Plant BD'!$AM:$AM)/($AA250+SUMIF('Plant BD'!$B:$B,$A250,'Plant BD'!$AM:$AM)),"")</f>
        <v/>
      </c>
      <c r="P250" s="145"/>
      <c r="Q250" s="146"/>
      <c r="R250" s="145" t="str">
        <f>IFERROR(1-SUMIF('Grid BD'!$B:$B,$A250,'Grid BD'!$AE:$AE)/($AA250+SUMIF('Grid BD'!$B:$B,$A250,'Grid BD'!$AE:$AE)),"")</f>
        <v/>
      </c>
      <c r="T250" s="146" t="str">
        <f>IFERROR(1-SUMIF(Tracker_BD!$H:$H,$A250,Tracker_BD!AI:AI)/$F250,"")</f>
        <v/>
      </c>
      <c r="U250" s="147" t="str">
        <f t="shared" si="13"/>
        <v/>
      </c>
      <c r="V250" s="147"/>
      <c r="W250" s="148" t="str">
        <f t="shared" si="14"/>
        <v/>
      </c>
      <c r="X250" s="143" t="str">
        <f>IFERROR(_xlfn.XLOOKUP($A250,'Raw Data'!$G:$G,'Raw Data'!$AB:$AB),"")</f>
        <v/>
      </c>
      <c r="Y250" s="143" t="str">
        <f>IFERROR(_xlfn.XLOOKUP($A250,'Raw Data'!$G:$G,'Raw Data'!AC:AC),"")</f>
        <v/>
      </c>
      <c r="Z250" s="143" t="str">
        <f>IFERROR(_xlfn.XLOOKUP($A250,'Raw Data'!$G:$G,'Raw Data'!AD:AD),"")</f>
        <v/>
      </c>
      <c r="AA250" s="143" t="str">
        <f>IFERROR(_xlfn.XLOOKUP($A250,'Raw Data'!$G:$G,'Raw Data'!AE:AE)*(1+(_xlfn.XLOOKUP(Table13[[#This Row],[Month Year]],JMR!$A:$A,JMR!$J:$J))),"")</f>
        <v/>
      </c>
      <c r="AB250" s="143" t="str">
        <f>IFERROR(_xlfn.XLOOKUP($A250,'Raw Data'!$G:$G,'Raw Data'!$H:$H),"")</f>
        <v/>
      </c>
      <c r="AC250" s="149">
        <f>IFERROR(_xlfn.XLOOKUP($D250,'Modelling New'!$D:$D,'Modelling New'!$P:$P),"")</f>
        <v>5.3204721516128961</v>
      </c>
      <c r="AD250" s="143">
        <f>IFERROR(_xlfn.XLOOKUP($D250,'Modelling New'!$D:$D,'Modelling New'!$T:$T)*1000,"")</f>
        <v>48291.284576209961</v>
      </c>
      <c r="AE250" s="148">
        <f>IFERROR(_xlfn.XLOOKUP($D250,'Modelling New'!$D:$D,'Modelling New'!$O:$O),"")</f>
        <v>0.77444569867075796</v>
      </c>
      <c r="AF250" s="148">
        <f>IFERROR(_xlfn.XLOOKUP($D250,'Modelling New'!$D:$D,'Modelling New'!$W:$W),"")</f>
        <v>0.17168403219642334</v>
      </c>
      <c r="AG250" s="148">
        <f>IFERROR(_xlfn.XLOOKUP($D250,'Modelling New'!$D:$D,'Modelling New'!AE:AE),"")</f>
        <v>0.995</v>
      </c>
      <c r="AH250" s="148">
        <f>IFERROR(_xlfn.XLOOKUP($D250,'Modelling New'!$D:$D,'Modelling New'!AF:AF),"")</f>
        <v>0.98550000000000004</v>
      </c>
      <c r="AN250" s="145"/>
      <c r="AO250" s="148"/>
      <c r="AP250" s="148"/>
      <c r="AQ250" s="148"/>
      <c r="AR250" s="143">
        <f>IFERROR(_xlfn.XLOOKUP($D250,'Modelling New'!$D:$D,'Modelling New'!$N:$N),"")</f>
        <v>11.72</v>
      </c>
      <c r="AT250" s="143" t="str">
        <f>IFERROR(_xlfn.XLOOKUP(Table13[[#This Row],[Date]],'Raw Data'!$G:$G,'Raw Data'!$AJ:$AJ),"")</f>
        <v/>
      </c>
      <c r="AU250" s="143">
        <f>IFERROR(_xlfn.XLOOKUP(Table13[[#This Row],[Month Year]],'Modelling New'!$D:$D,'Modelling New'!$AO:$AO),"")</f>
        <v>10</v>
      </c>
      <c r="AV250" s="143"/>
    </row>
    <row r="251" spans="1:48">
      <c r="A251" s="142">
        <f t="shared" si="15"/>
        <v>45994</v>
      </c>
      <c r="B251" s="143">
        <f>YEAR(Table13[[#This Row],[Date]])+IF(MONTH(Table13[[#This Row],[Date]])&gt;=4,1,0)</f>
        <v>2026</v>
      </c>
      <c r="C251" s="116">
        <f>YEAR(Table13[[#This Row],[Date]])</f>
        <v>2025</v>
      </c>
      <c r="D251" s="144">
        <f>Table13[[#This Row],[Date]]-DAY(Table13[[#This Row],[Date]])+1</f>
        <v>45992</v>
      </c>
      <c r="E251" s="116">
        <f t="shared" si="17"/>
        <v>31</v>
      </c>
      <c r="F251" s="117" t="str">
        <f>IFERROR(_xlfn.XLOOKUP($A251,'Raw Data'!$G:$G,'Raw Data'!$AH:$AH),"")</f>
        <v/>
      </c>
      <c r="G251" s="118" t="str">
        <f>IFERROR(_xlfn.XLOOKUP($A251,'Raw Data'!$G:$G,'Raw Data'!$S:$S)/1000,"")</f>
        <v/>
      </c>
      <c r="H251" s="118"/>
      <c r="I251" s="118" t="str">
        <f>IFERROR(_xlfn.XLOOKUP($A251,'Raw Data'!$G:$G,'Raw Data'!$AF:$AF)/1000,"")</f>
        <v/>
      </c>
      <c r="J251" s="118"/>
      <c r="K251" s="118" t="str">
        <f>IFERROR(_xlfn.XLOOKUP($A251,'Raw Data'!$G:$G,'Raw Data'!W:W),"")</f>
        <v/>
      </c>
      <c r="L251" s="118" t="str">
        <f>IFERROR(_xlfn.XLOOKUP($A251,'Raw Data'!$G:$G,'Raw Data'!X:X),"")</f>
        <v/>
      </c>
      <c r="M251" s="118" t="str">
        <f>IFERROR(_xlfn.XLOOKUP($A251,'Raw Data'!$G:$G,'Raw Data'!Y:Y),"")</f>
        <v/>
      </c>
      <c r="N251" s="118" t="str">
        <f>IFERROR(_xlfn.XLOOKUP($A251,'Raw Data'!$G:$G,'Raw Data'!Z:Z),"")</f>
        <v/>
      </c>
      <c r="O251" s="145" t="str">
        <f>IFERROR(1-SUMIF('Plant BD'!$B:$B,$A251,'Plant BD'!$AM:$AM)/($AA251+SUMIF('Plant BD'!$B:$B,$A251,'Plant BD'!$AM:$AM)),"")</f>
        <v/>
      </c>
      <c r="P251" s="145"/>
      <c r="Q251" s="146"/>
      <c r="R251" s="145" t="str">
        <f>IFERROR(1-SUMIF('Grid BD'!$B:$B,$A251,'Grid BD'!$AE:$AE)/($AA251+SUMIF('Grid BD'!$B:$B,$A251,'Grid BD'!$AE:$AE)),"")</f>
        <v/>
      </c>
      <c r="T251" s="146" t="str">
        <f>IFERROR(1-SUMIF(Tracker_BD!$H:$H,$A251,Tracker_BD!AI:AI)/$F251,"")</f>
        <v/>
      </c>
      <c r="U251" s="147" t="str">
        <f t="shared" si="13"/>
        <v/>
      </c>
      <c r="V251" s="147"/>
      <c r="W251" s="148" t="str">
        <f t="shared" si="14"/>
        <v/>
      </c>
      <c r="X251" s="143" t="str">
        <f>IFERROR(_xlfn.XLOOKUP($A251,'Raw Data'!$G:$G,'Raw Data'!$AB:$AB),"")</f>
        <v/>
      </c>
      <c r="Y251" s="143" t="str">
        <f>IFERROR(_xlfn.XLOOKUP($A251,'Raw Data'!$G:$G,'Raw Data'!AC:AC),"")</f>
        <v/>
      </c>
      <c r="Z251" s="143" t="str">
        <f>IFERROR(_xlfn.XLOOKUP($A251,'Raw Data'!$G:$G,'Raw Data'!AD:AD),"")</f>
        <v/>
      </c>
      <c r="AA251" s="143" t="str">
        <f>IFERROR(_xlfn.XLOOKUP($A251,'Raw Data'!$G:$G,'Raw Data'!AE:AE)*(1+(_xlfn.XLOOKUP(Table13[[#This Row],[Month Year]],JMR!$A:$A,JMR!$J:$J))),"")</f>
        <v/>
      </c>
      <c r="AB251" s="143" t="str">
        <f>IFERROR(_xlfn.XLOOKUP($A251,'Raw Data'!$G:$G,'Raw Data'!$H:$H),"")</f>
        <v/>
      </c>
      <c r="AC251" s="149">
        <f>IFERROR(_xlfn.XLOOKUP($D251,'Modelling New'!$D:$D,'Modelling New'!$P:$P),"")</f>
        <v>5.3204721516128961</v>
      </c>
      <c r="AD251" s="143">
        <f>IFERROR(_xlfn.XLOOKUP($D251,'Modelling New'!$D:$D,'Modelling New'!$T:$T)*1000,"")</f>
        <v>48291.284576209961</v>
      </c>
      <c r="AE251" s="148">
        <f>IFERROR(_xlfn.XLOOKUP($D251,'Modelling New'!$D:$D,'Modelling New'!$O:$O),"")</f>
        <v>0.77444569867075796</v>
      </c>
      <c r="AF251" s="148">
        <f>IFERROR(_xlfn.XLOOKUP($D251,'Modelling New'!$D:$D,'Modelling New'!$W:$W),"")</f>
        <v>0.17168403219642334</v>
      </c>
      <c r="AG251" s="148">
        <f>IFERROR(_xlfn.XLOOKUP($D251,'Modelling New'!$D:$D,'Modelling New'!AE:AE),"")</f>
        <v>0.995</v>
      </c>
      <c r="AH251" s="148">
        <f>IFERROR(_xlfn.XLOOKUP($D251,'Modelling New'!$D:$D,'Modelling New'!AF:AF),"")</f>
        <v>0.98550000000000004</v>
      </c>
      <c r="AN251" s="145"/>
      <c r="AO251" s="148"/>
      <c r="AP251" s="148"/>
      <c r="AQ251" s="148"/>
      <c r="AR251" s="143">
        <f>IFERROR(_xlfn.XLOOKUP($D251,'Modelling New'!$D:$D,'Modelling New'!$N:$N),"")</f>
        <v>11.72</v>
      </c>
      <c r="AT251" s="143" t="str">
        <f>IFERROR(_xlfn.XLOOKUP(Table13[[#This Row],[Date]],'Raw Data'!$G:$G,'Raw Data'!$AJ:$AJ),"")</f>
        <v/>
      </c>
      <c r="AU251" s="143">
        <f>IFERROR(_xlfn.XLOOKUP(Table13[[#This Row],[Month Year]],'Modelling New'!$D:$D,'Modelling New'!$AO:$AO),"")</f>
        <v>10</v>
      </c>
      <c r="AV251" s="143"/>
    </row>
    <row r="252" spans="1:48">
      <c r="A252" s="142">
        <f t="shared" si="15"/>
        <v>45995</v>
      </c>
      <c r="B252" s="143">
        <f>YEAR(Table13[[#This Row],[Date]])+IF(MONTH(Table13[[#This Row],[Date]])&gt;=4,1,0)</f>
        <v>2026</v>
      </c>
      <c r="C252" s="116">
        <f>YEAR(Table13[[#This Row],[Date]])</f>
        <v>2025</v>
      </c>
      <c r="D252" s="144">
        <f>Table13[[#This Row],[Date]]-DAY(Table13[[#This Row],[Date]])+1</f>
        <v>45992</v>
      </c>
      <c r="E252" s="116">
        <f t="shared" si="17"/>
        <v>31</v>
      </c>
      <c r="F252" s="117" t="str">
        <f>IFERROR(_xlfn.XLOOKUP($A252,'Raw Data'!$G:$G,'Raw Data'!$AH:$AH),"")</f>
        <v/>
      </c>
      <c r="G252" s="118" t="str">
        <f>IFERROR(_xlfn.XLOOKUP($A252,'Raw Data'!$G:$G,'Raw Data'!$S:$S)/1000,"")</f>
        <v/>
      </c>
      <c r="H252" s="118"/>
      <c r="I252" s="118" t="str">
        <f>IFERROR(_xlfn.XLOOKUP($A252,'Raw Data'!$G:$G,'Raw Data'!$AF:$AF)/1000,"")</f>
        <v/>
      </c>
      <c r="J252" s="118"/>
      <c r="K252" s="118" t="str">
        <f>IFERROR(_xlfn.XLOOKUP($A252,'Raw Data'!$G:$G,'Raw Data'!W:W),"")</f>
        <v/>
      </c>
      <c r="L252" s="118" t="str">
        <f>IFERROR(_xlfn.XLOOKUP($A252,'Raw Data'!$G:$G,'Raw Data'!X:X),"")</f>
        <v/>
      </c>
      <c r="M252" s="118" t="str">
        <f>IFERROR(_xlfn.XLOOKUP($A252,'Raw Data'!$G:$G,'Raw Data'!Y:Y),"")</f>
        <v/>
      </c>
      <c r="N252" s="118" t="str">
        <f>IFERROR(_xlfn.XLOOKUP($A252,'Raw Data'!$G:$G,'Raw Data'!Z:Z),"")</f>
        <v/>
      </c>
      <c r="O252" s="145" t="str">
        <f>IFERROR(1-SUMIF('Plant BD'!$B:$B,$A252,'Plant BD'!$AM:$AM)/($AA252+SUMIF('Plant BD'!$B:$B,$A252,'Plant BD'!$AM:$AM)),"")</f>
        <v/>
      </c>
      <c r="P252" s="145"/>
      <c r="Q252" s="146"/>
      <c r="R252" s="145" t="str">
        <f>IFERROR(1-SUMIF('Grid BD'!$B:$B,$A252,'Grid BD'!$AE:$AE)/($AA252+SUMIF('Grid BD'!$B:$B,$A252,'Grid BD'!$AE:$AE)),"")</f>
        <v/>
      </c>
      <c r="T252" s="146" t="str">
        <f>IFERROR(1-SUMIF(Tracker_BD!$H:$H,$A252,Tracker_BD!AI:AI)/$F252,"")</f>
        <v/>
      </c>
      <c r="U252" s="147" t="str">
        <f t="shared" si="13"/>
        <v/>
      </c>
      <c r="V252" s="147"/>
      <c r="W252" s="148" t="str">
        <f t="shared" si="14"/>
        <v/>
      </c>
      <c r="X252" s="143" t="str">
        <f>IFERROR(_xlfn.XLOOKUP($A252,'Raw Data'!$G:$G,'Raw Data'!$AB:$AB),"")</f>
        <v/>
      </c>
      <c r="Y252" s="143" t="str">
        <f>IFERROR(_xlfn.XLOOKUP($A252,'Raw Data'!$G:$G,'Raw Data'!AC:AC),"")</f>
        <v/>
      </c>
      <c r="Z252" s="143" t="str">
        <f>IFERROR(_xlfn.XLOOKUP($A252,'Raw Data'!$G:$G,'Raw Data'!AD:AD),"")</f>
        <v/>
      </c>
      <c r="AA252" s="143" t="str">
        <f>IFERROR(_xlfn.XLOOKUP($A252,'Raw Data'!$G:$G,'Raw Data'!AE:AE)*(1+(_xlfn.XLOOKUP(Table13[[#This Row],[Month Year]],JMR!$A:$A,JMR!$J:$J))),"")</f>
        <v/>
      </c>
      <c r="AB252" s="143" t="str">
        <f>IFERROR(_xlfn.XLOOKUP($A252,'Raw Data'!$G:$G,'Raw Data'!$H:$H),"")</f>
        <v/>
      </c>
      <c r="AC252" s="149">
        <f>IFERROR(_xlfn.XLOOKUP($D252,'Modelling New'!$D:$D,'Modelling New'!$P:$P),"")</f>
        <v>5.3204721516128961</v>
      </c>
      <c r="AD252" s="143">
        <f>IFERROR(_xlfn.XLOOKUP($D252,'Modelling New'!$D:$D,'Modelling New'!$T:$T)*1000,"")</f>
        <v>48291.284576209961</v>
      </c>
      <c r="AE252" s="148">
        <f>IFERROR(_xlfn.XLOOKUP($D252,'Modelling New'!$D:$D,'Modelling New'!$O:$O),"")</f>
        <v>0.77444569867075796</v>
      </c>
      <c r="AF252" s="148">
        <f>IFERROR(_xlfn.XLOOKUP($D252,'Modelling New'!$D:$D,'Modelling New'!$W:$W),"")</f>
        <v>0.17168403219642334</v>
      </c>
      <c r="AG252" s="148">
        <f>IFERROR(_xlfn.XLOOKUP($D252,'Modelling New'!$D:$D,'Modelling New'!AE:AE),"")</f>
        <v>0.995</v>
      </c>
      <c r="AH252" s="148">
        <f>IFERROR(_xlfn.XLOOKUP($D252,'Modelling New'!$D:$D,'Modelling New'!AF:AF),"")</f>
        <v>0.98550000000000004</v>
      </c>
      <c r="AN252" s="145"/>
      <c r="AO252" s="148"/>
      <c r="AP252" s="148"/>
      <c r="AQ252" s="148"/>
      <c r="AR252" s="143">
        <f>IFERROR(_xlfn.XLOOKUP($D252,'Modelling New'!$D:$D,'Modelling New'!$N:$N),"")</f>
        <v>11.72</v>
      </c>
      <c r="AT252" s="143" t="str">
        <f>IFERROR(_xlfn.XLOOKUP(Table13[[#This Row],[Date]],'Raw Data'!$G:$G,'Raw Data'!$AJ:$AJ),"")</f>
        <v/>
      </c>
      <c r="AU252" s="143">
        <f>IFERROR(_xlfn.XLOOKUP(Table13[[#This Row],[Month Year]],'Modelling New'!$D:$D,'Modelling New'!$AO:$AO),"")</f>
        <v>10</v>
      </c>
      <c r="AV252" s="143"/>
    </row>
    <row r="253" spans="1:48">
      <c r="A253" s="142">
        <f t="shared" si="15"/>
        <v>45996</v>
      </c>
      <c r="B253" s="143">
        <f>YEAR(Table13[[#This Row],[Date]])+IF(MONTH(Table13[[#This Row],[Date]])&gt;=4,1,0)</f>
        <v>2026</v>
      </c>
      <c r="C253" s="116">
        <f>YEAR(Table13[[#This Row],[Date]])</f>
        <v>2025</v>
      </c>
      <c r="D253" s="144">
        <f>Table13[[#This Row],[Date]]-DAY(Table13[[#This Row],[Date]])+1</f>
        <v>45992</v>
      </c>
      <c r="E253" s="116">
        <f t="shared" si="17"/>
        <v>31</v>
      </c>
      <c r="F253" s="117" t="str">
        <f>IFERROR(_xlfn.XLOOKUP($A253,'Raw Data'!$G:$G,'Raw Data'!$AH:$AH),"")</f>
        <v/>
      </c>
      <c r="G253" s="118" t="str">
        <f>IFERROR(_xlfn.XLOOKUP($A253,'Raw Data'!$G:$G,'Raw Data'!$S:$S)/1000,"")</f>
        <v/>
      </c>
      <c r="H253" s="118"/>
      <c r="I253" s="118" t="str">
        <f>IFERROR(_xlfn.XLOOKUP($A253,'Raw Data'!$G:$G,'Raw Data'!$AF:$AF)/1000,"")</f>
        <v/>
      </c>
      <c r="J253" s="118"/>
      <c r="K253" s="118" t="str">
        <f>IFERROR(_xlfn.XLOOKUP($A253,'Raw Data'!$G:$G,'Raw Data'!W:W),"")</f>
        <v/>
      </c>
      <c r="L253" s="118" t="str">
        <f>IFERROR(_xlfn.XLOOKUP($A253,'Raw Data'!$G:$G,'Raw Data'!X:X),"")</f>
        <v/>
      </c>
      <c r="M253" s="118" t="str">
        <f>IFERROR(_xlfn.XLOOKUP($A253,'Raw Data'!$G:$G,'Raw Data'!Y:Y),"")</f>
        <v/>
      </c>
      <c r="N253" s="118" t="str">
        <f>IFERROR(_xlfn.XLOOKUP($A253,'Raw Data'!$G:$G,'Raw Data'!Z:Z),"")</f>
        <v/>
      </c>
      <c r="O253" s="145" t="str">
        <f>IFERROR(1-SUMIF('Plant BD'!$B:$B,$A253,'Plant BD'!$AM:$AM)/($AA253+SUMIF('Plant BD'!$B:$B,$A253,'Plant BD'!$AM:$AM)),"")</f>
        <v/>
      </c>
      <c r="P253" s="145"/>
      <c r="Q253" s="146"/>
      <c r="R253" s="145" t="str">
        <f>IFERROR(1-SUMIF('Grid BD'!$B:$B,$A253,'Grid BD'!$AE:$AE)/($AA253+SUMIF('Grid BD'!$B:$B,$A253,'Grid BD'!$AE:$AE)),"")</f>
        <v/>
      </c>
      <c r="T253" s="146" t="str">
        <f>IFERROR(1-SUMIF(Tracker_BD!$H:$H,$A253,Tracker_BD!AI:AI)/$F253,"")</f>
        <v/>
      </c>
      <c r="U253" s="147" t="str">
        <f t="shared" ref="U253:U316" si="18">IFERROR(AA253/I253/AB253/1000,"")</f>
        <v/>
      </c>
      <c r="V253" s="147"/>
      <c r="W253" s="148" t="str">
        <f t="shared" ref="W253:W316" si="19">IFERROR(AA253/(24*AR253*1000),"")</f>
        <v/>
      </c>
      <c r="X253" s="143" t="str">
        <f>IFERROR(_xlfn.XLOOKUP($A253,'Raw Data'!$G:$G,'Raw Data'!$AB:$AB),"")</f>
        <v/>
      </c>
      <c r="Y253" s="143" t="str">
        <f>IFERROR(_xlfn.XLOOKUP($A253,'Raw Data'!$G:$G,'Raw Data'!AC:AC),"")</f>
        <v/>
      </c>
      <c r="Z253" s="143" t="str">
        <f>IFERROR(_xlfn.XLOOKUP($A253,'Raw Data'!$G:$G,'Raw Data'!AD:AD),"")</f>
        <v/>
      </c>
      <c r="AA253" s="143" t="str">
        <f>IFERROR(_xlfn.XLOOKUP($A253,'Raw Data'!$G:$G,'Raw Data'!AE:AE)*(1+(_xlfn.XLOOKUP(Table13[[#This Row],[Month Year]],JMR!$A:$A,JMR!$J:$J))),"")</f>
        <v/>
      </c>
      <c r="AB253" s="143" t="str">
        <f>IFERROR(_xlfn.XLOOKUP($A253,'Raw Data'!$G:$G,'Raw Data'!$H:$H),"")</f>
        <v/>
      </c>
      <c r="AC253" s="149">
        <f>IFERROR(_xlfn.XLOOKUP($D253,'Modelling New'!$D:$D,'Modelling New'!$P:$P),"")</f>
        <v>5.3204721516128961</v>
      </c>
      <c r="AD253" s="143">
        <f>IFERROR(_xlfn.XLOOKUP($D253,'Modelling New'!$D:$D,'Modelling New'!$T:$T)*1000,"")</f>
        <v>48291.284576209961</v>
      </c>
      <c r="AE253" s="148">
        <f>IFERROR(_xlfn.XLOOKUP($D253,'Modelling New'!$D:$D,'Modelling New'!$O:$O),"")</f>
        <v>0.77444569867075796</v>
      </c>
      <c r="AF253" s="148">
        <f>IFERROR(_xlfn.XLOOKUP($D253,'Modelling New'!$D:$D,'Modelling New'!$W:$W),"")</f>
        <v>0.17168403219642334</v>
      </c>
      <c r="AG253" s="148">
        <f>IFERROR(_xlfn.XLOOKUP($D253,'Modelling New'!$D:$D,'Modelling New'!AE:AE),"")</f>
        <v>0.995</v>
      </c>
      <c r="AH253" s="148">
        <f>IFERROR(_xlfn.XLOOKUP($D253,'Modelling New'!$D:$D,'Modelling New'!AF:AF),"")</f>
        <v>0.98550000000000004</v>
      </c>
      <c r="AN253" s="145"/>
      <c r="AO253" s="148"/>
      <c r="AP253" s="148"/>
      <c r="AQ253" s="148"/>
      <c r="AR253" s="143">
        <f>IFERROR(_xlfn.XLOOKUP($D253,'Modelling New'!$D:$D,'Modelling New'!$N:$N),"")</f>
        <v>11.72</v>
      </c>
      <c r="AT253" s="143" t="str">
        <f>IFERROR(_xlfn.XLOOKUP(Table13[[#This Row],[Date]],'Raw Data'!$G:$G,'Raw Data'!$AJ:$AJ),"")</f>
        <v/>
      </c>
      <c r="AU253" s="143">
        <f>IFERROR(_xlfn.XLOOKUP(Table13[[#This Row],[Month Year]],'Modelling New'!$D:$D,'Modelling New'!$AO:$AO),"")</f>
        <v>10</v>
      </c>
      <c r="AV253" s="143"/>
    </row>
    <row r="254" spans="1:48">
      <c r="A254" s="142">
        <f t="shared" si="15"/>
        <v>45997</v>
      </c>
      <c r="B254" s="143">
        <f>YEAR(Table13[[#This Row],[Date]])+IF(MONTH(Table13[[#This Row],[Date]])&gt;=4,1,0)</f>
        <v>2026</v>
      </c>
      <c r="C254" s="116">
        <f>YEAR(Table13[[#This Row],[Date]])</f>
        <v>2025</v>
      </c>
      <c r="D254" s="144">
        <f>Table13[[#This Row],[Date]]-DAY(Table13[[#This Row],[Date]])+1</f>
        <v>45992</v>
      </c>
      <c r="E254" s="116">
        <f t="shared" si="17"/>
        <v>31</v>
      </c>
      <c r="F254" s="117" t="str">
        <f>IFERROR(_xlfn.XLOOKUP($A254,'Raw Data'!$G:$G,'Raw Data'!$AH:$AH),"")</f>
        <v/>
      </c>
      <c r="G254" s="118" t="str">
        <f>IFERROR(_xlfn.XLOOKUP($A254,'Raw Data'!$G:$G,'Raw Data'!$S:$S)/1000,"")</f>
        <v/>
      </c>
      <c r="H254" s="118"/>
      <c r="I254" s="118" t="str">
        <f>IFERROR(_xlfn.XLOOKUP($A254,'Raw Data'!$G:$G,'Raw Data'!$AF:$AF)/1000,"")</f>
        <v/>
      </c>
      <c r="J254" s="118"/>
      <c r="K254" s="118" t="str">
        <f>IFERROR(_xlfn.XLOOKUP($A254,'Raw Data'!$G:$G,'Raw Data'!W:W),"")</f>
        <v/>
      </c>
      <c r="L254" s="118" t="str">
        <f>IFERROR(_xlfn.XLOOKUP($A254,'Raw Data'!$G:$G,'Raw Data'!X:X),"")</f>
        <v/>
      </c>
      <c r="M254" s="118" t="str">
        <f>IFERROR(_xlfn.XLOOKUP($A254,'Raw Data'!$G:$G,'Raw Data'!Y:Y),"")</f>
        <v/>
      </c>
      <c r="N254" s="118" t="str">
        <f>IFERROR(_xlfn.XLOOKUP($A254,'Raw Data'!$G:$G,'Raw Data'!Z:Z),"")</f>
        <v/>
      </c>
      <c r="O254" s="145" t="str">
        <f>IFERROR(1-SUMIF('Plant BD'!$B:$B,$A254,'Plant BD'!$AM:$AM)/($AA254+SUMIF('Plant BD'!$B:$B,$A254,'Plant BD'!$AM:$AM)),"")</f>
        <v/>
      </c>
      <c r="P254" s="145"/>
      <c r="Q254" s="146"/>
      <c r="R254" s="145" t="str">
        <f>IFERROR(1-SUMIF('Grid BD'!$B:$B,$A254,'Grid BD'!$AE:$AE)/($AA254+SUMIF('Grid BD'!$B:$B,$A254,'Grid BD'!$AE:$AE)),"")</f>
        <v/>
      </c>
      <c r="T254" s="146" t="str">
        <f>IFERROR(1-SUMIF(Tracker_BD!$H:$H,$A254,Tracker_BD!AI:AI)/$F254,"")</f>
        <v/>
      </c>
      <c r="U254" s="147" t="str">
        <f t="shared" si="18"/>
        <v/>
      </c>
      <c r="V254" s="147"/>
      <c r="W254" s="148" t="str">
        <f t="shared" si="19"/>
        <v/>
      </c>
      <c r="X254" s="143" t="str">
        <f>IFERROR(_xlfn.XLOOKUP($A254,'Raw Data'!$G:$G,'Raw Data'!$AB:$AB),"")</f>
        <v/>
      </c>
      <c r="Y254" s="143" t="str">
        <f>IFERROR(_xlfn.XLOOKUP($A254,'Raw Data'!$G:$G,'Raw Data'!AC:AC),"")</f>
        <v/>
      </c>
      <c r="Z254" s="143" t="str">
        <f>IFERROR(_xlfn.XLOOKUP($A254,'Raw Data'!$G:$G,'Raw Data'!AD:AD),"")</f>
        <v/>
      </c>
      <c r="AA254" s="143" t="str">
        <f>IFERROR(_xlfn.XLOOKUP($A254,'Raw Data'!$G:$G,'Raw Data'!AE:AE)*(1+(_xlfn.XLOOKUP(Table13[[#This Row],[Month Year]],JMR!$A:$A,JMR!$J:$J))),"")</f>
        <v/>
      </c>
      <c r="AB254" s="143" t="str">
        <f>IFERROR(_xlfn.XLOOKUP($A254,'Raw Data'!$G:$G,'Raw Data'!$H:$H),"")</f>
        <v/>
      </c>
      <c r="AC254" s="149">
        <f>IFERROR(_xlfn.XLOOKUP($D254,'Modelling New'!$D:$D,'Modelling New'!$P:$P),"")</f>
        <v>5.3204721516128961</v>
      </c>
      <c r="AD254" s="143">
        <f>IFERROR(_xlfn.XLOOKUP($D254,'Modelling New'!$D:$D,'Modelling New'!$T:$T)*1000,"")</f>
        <v>48291.284576209961</v>
      </c>
      <c r="AE254" s="148">
        <f>IFERROR(_xlfn.XLOOKUP($D254,'Modelling New'!$D:$D,'Modelling New'!$O:$O),"")</f>
        <v>0.77444569867075796</v>
      </c>
      <c r="AF254" s="148">
        <f>IFERROR(_xlfn.XLOOKUP($D254,'Modelling New'!$D:$D,'Modelling New'!$W:$W),"")</f>
        <v>0.17168403219642334</v>
      </c>
      <c r="AG254" s="148">
        <f>IFERROR(_xlfn.XLOOKUP($D254,'Modelling New'!$D:$D,'Modelling New'!AE:AE),"")</f>
        <v>0.995</v>
      </c>
      <c r="AH254" s="148">
        <f>IFERROR(_xlfn.XLOOKUP($D254,'Modelling New'!$D:$D,'Modelling New'!AF:AF),"")</f>
        <v>0.98550000000000004</v>
      </c>
      <c r="AN254" s="145"/>
      <c r="AO254" s="148"/>
      <c r="AP254" s="148"/>
      <c r="AQ254" s="148"/>
      <c r="AR254" s="143">
        <f>IFERROR(_xlfn.XLOOKUP($D254,'Modelling New'!$D:$D,'Modelling New'!$N:$N),"")</f>
        <v>11.72</v>
      </c>
      <c r="AT254" s="143" t="str">
        <f>IFERROR(_xlfn.XLOOKUP(Table13[[#This Row],[Date]],'Raw Data'!$G:$G,'Raw Data'!$AJ:$AJ),"")</f>
        <v/>
      </c>
      <c r="AU254" s="143">
        <f>IFERROR(_xlfn.XLOOKUP(Table13[[#This Row],[Month Year]],'Modelling New'!$D:$D,'Modelling New'!$AO:$AO),"")</f>
        <v>10</v>
      </c>
      <c r="AV254" s="143"/>
    </row>
    <row r="255" spans="1:48">
      <c r="A255" s="142">
        <f t="shared" ref="A255:A318" si="20">A254+1</f>
        <v>45998</v>
      </c>
      <c r="B255" s="143">
        <f>YEAR(Table13[[#This Row],[Date]])+IF(MONTH(Table13[[#This Row],[Date]])&gt;=4,1,0)</f>
        <v>2026</v>
      </c>
      <c r="C255" s="116">
        <f>YEAR(Table13[[#This Row],[Date]])</f>
        <v>2025</v>
      </c>
      <c r="D255" s="144">
        <f>Table13[[#This Row],[Date]]-DAY(Table13[[#This Row],[Date]])+1</f>
        <v>45992</v>
      </c>
      <c r="E255" s="116">
        <f t="shared" si="17"/>
        <v>31</v>
      </c>
      <c r="F255" s="117" t="str">
        <f>IFERROR(_xlfn.XLOOKUP($A255,'Raw Data'!$G:$G,'Raw Data'!$AH:$AH),"")</f>
        <v/>
      </c>
      <c r="G255" s="118" t="str">
        <f>IFERROR(_xlfn.XLOOKUP($A255,'Raw Data'!$G:$G,'Raw Data'!$S:$S)/1000,"")</f>
        <v/>
      </c>
      <c r="H255" s="118"/>
      <c r="I255" s="118" t="str">
        <f>IFERROR(_xlfn.XLOOKUP($A255,'Raw Data'!$G:$G,'Raw Data'!$AF:$AF)/1000,"")</f>
        <v/>
      </c>
      <c r="J255" s="118"/>
      <c r="K255" s="118" t="str">
        <f>IFERROR(_xlfn.XLOOKUP($A255,'Raw Data'!$G:$G,'Raw Data'!W:W),"")</f>
        <v/>
      </c>
      <c r="L255" s="118" t="str">
        <f>IFERROR(_xlfn.XLOOKUP($A255,'Raw Data'!$G:$G,'Raw Data'!X:X),"")</f>
        <v/>
      </c>
      <c r="M255" s="118" t="str">
        <f>IFERROR(_xlfn.XLOOKUP($A255,'Raw Data'!$G:$G,'Raw Data'!Y:Y),"")</f>
        <v/>
      </c>
      <c r="N255" s="118" t="str">
        <f>IFERROR(_xlfn.XLOOKUP($A255,'Raw Data'!$G:$G,'Raw Data'!Z:Z),"")</f>
        <v/>
      </c>
      <c r="O255" s="145" t="str">
        <f>IFERROR(1-SUMIF('Plant BD'!$B:$B,$A255,'Plant BD'!$AM:$AM)/($AA255+SUMIF('Plant BD'!$B:$B,$A255,'Plant BD'!$AM:$AM)),"")</f>
        <v/>
      </c>
      <c r="P255" s="145"/>
      <c r="Q255" s="146"/>
      <c r="R255" s="145" t="str">
        <f>IFERROR(1-SUMIF('Grid BD'!$B:$B,$A255,'Grid BD'!$AE:$AE)/($AA255+SUMIF('Grid BD'!$B:$B,$A255,'Grid BD'!$AE:$AE)),"")</f>
        <v/>
      </c>
      <c r="T255" s="146" t="str">
        <f>IFERROR(1-SUMIF(Tracker_BD!$H:$H,$A255,Tracker_BD!AI:AI)/$F255,"")</f>
        <v/>
      </c>
      <c r="U255" s="147" t="str">
        <f t="shared" si="18"/>
        <v/>
      </c>
      <c r="V255" s="147"/>
      <c r="W255" s="148" t="str">
        <f t="shared" si="19"/>
        <v/>
      </c>
      <c r="X255" s="143" t="str">
        <f>IFERROR(_xlfn.XLOOKUP($A255,'Raw Data'!$G:$G,'Raw Data'!$AB:$AB),"")</f>
        <v/>
      </c>
      <c r="Y255" s="143" t="str">
        <f>IFERROR(_xlfn.XLOOKUP($A255,'Raw Data'!$G:$G,'Raw Data'!AC:AC),"")</f>
        <v/>
      </c>
      <c r="Z255" s="143" t="str">
        <f>IFERROR(_xlfn.XLOOKUP($A255,'Raw Data'!$G:$G,'Raw Data'!AD:AD),"")</f>
        <v/>
      </c>
      <c r="AA255" s="143" t="str">
        <f>IFERROR(_xlfn.XLOOKUP($A255,'Raw Data'!$G:$G,'Raw Data'!AE:AE)*(1+(_xlfn.XLOOKUP(Table13[[#This Row],[Month Year]],JMR!$A:$A,JMR!$J:$J))),"")</f>
        <v/>
      </c>
      <c r="AB255" s="143" t="str">
        <f>IFERROR(_xlfn.XLOOKUP($A255,'Raw Data'!$G:$G,'Raw Data'!$H:$H),"")</f>
        <v/>
      </c>
      <c r="AC255" s="149">
        <f>IFERROR(_xlfn.XLOOKUP($D255,'Modelling New'!$D:$D,'Modelling New'!$P:$P),"")</f>
        <v>5.3204721516128961</v>
      </c>
      <c r="AD255" s="143">
        <f>IFERROR(_xlfn.XLOOKUP($D255,'Modelling New'!$D:$D,'Modelling New'!$T:$T)*1000,"")</f>
        <v>48291.284576209961</v>
      </c>
      <c r="AE255" s="148">
        <f>IFERROR(_xlfn.XLOOKUP($D255,'Modelling New'!$D:$D,'Modelling New'!$O:$O),"")</f>
        <v>0.77444569867075796</v>
      </c>
      <c r="AF255" s="148">
        <f>IFERROR(_xlfn.XLOOKUP($D255,'Modelling New'!$D:$D,'Modelling New'!$W:$W),"")</f>
        <v>0.17168403219642334</v>
      </c>
      <c r="AG255" s="148">
        <f>IFERROR(_xlfn.XLOOKUP($D255,'Modelling New'!$D:$D,'Modelling New'!AE:AE),"")</f>
        <v>0.995</v>
      </c>
      <c r="AH255" s="148">
        <f>IFERROR(_xlfn.XLOOKUP($D255,'Modelling New'!$D:$D,'Modelling New'!AF:AF),"")</f>
        <v>0.98550000000000004</v>
      </c>
      <c r="AN255" s="145"/>
      <c r="AO255" s="148"/>
      <c r="AP255" s="148"/>
      <c r="AQ255" s="148"/>
      <c r="AR255" s="143">
        <f>IFERROR(_xlfn.XLOOKUP($D255,'Modelling New'!$D:$D,'Modelling New'!$N:$N),"")</f>
        <v>11.72</v>
      </c>
      <c r="AT255" s="143" t="str">
        <f>IFERROR(_xlfn.XLOOKUP(Table13[[#This Row],[Date]],'Raw Data'!$G:$G,'Raw Data'!$AJ:$AJ),"")</f>
        <v/>
      </c>
      <c r="AU255" s="143">
        <f>IFERROR(_xlfn.XLOOKUP(Table13[[#This Row],[Month Year]],'Modelling New'!$D:$D,'Modelling New'!$AO:$AO),"")</f>
        <v>10</v>
      </c>
      <c r="AV255" s="143"/>
    </row>
    <row r="256" spans="1:48">
      <c r="A256" s="142">
        <f t="shared" si="20"/>
        <v>45999</v>
      </c>
      <c r="B256" s="143">
        <f>YEAR(Table13[[#This Row],[Date]])+IF(MONTH(Table13[[#This Row],[Date]])&gt;=4,1,0)</f>
        <v>2026</v>
      </c>
      <c r="C256" s="116">
        <f>YEAR(Table13[[#This Row],[Date]])</f>
        <v>2025</v>
      </c>
      <c r="D256" s="144">
        <f>Table13[[#This Row],[Date]]-DAY(Table13[[#This Row],[Date]])+1</f>
        <v>45992</v>
      </c>
      <c r="E256" s="116">
        <f t="shared" si="17"/>
        <v>31</v>
      </c>
      <c r="F256" s="117" t="str">
        <f>IFERROR(_xlfn.XLOOKUP($A256,'Raw Data'!$G:$G,'Raw Data'!$AH:$AH),"")</f>
        <v/>
      </c>
      <c r="G256" s="118" t="str">
        <f>IFERROR(_xlfn.XLOOKUP($A256,'Raw Data'!$G:$G,'Raw Data'!$S:$S)/1000,"")</f>
        <v/>
      </c>
      <c r="H256" s="118"/>
      <c r="I256" s="118" t="str">
        <f>IFERROR(_xlfn.XLOOKUP($A256,'Raw Data'!$G:$G,'Raw Data'!$AF:$AF)/1000,"")</f>
        <v/>
      </c>
      <c r="J256" s="118"/>
      <c r="K256" s="118" t="str">
        <f>IFERROR(_xlfn.XLOOKUP($A256,'Raw Data'!$G:$G,'Raw Data'!W:W),"")</f>
        <v/>
      </c>
      <c r="L256" s="118" t="str">
        <f>IFERROR(_xlfn.XLOOKUP($A256,'Raw Data'!$G:$G,'Raw Data'!X:X),"")</f>
        <v/>
      </c>
      <c r="M256" s="118" t="str">
        <f>IFERROR(_xlfn.XLOOKUP($A256,'Raw Data'!$G:$G,'Raw Data'!Y:Y),"")</f>
        <v/>
      </c>
      <c r="N256" s="118" t="str">
        <f>IFERROR(_xlfn.XLOOKUP($A256,'Raw Data'!$G:$G,'Raw Data'!Z:Z),"")</f>
        <v/>
      </c>
      <c r="O256" s="145" t="str">
        <f>IFERROR(1-SUMIF('Plant BD'!$B:$B,$A256,'Plant BD'!$AM:$AM)/($AA256+SUMIF('Plant BD'!$B:$B,$A256,'Plant BD'!$AM:$AM)),"")</f>
        <v/>
      </c>
      <c r="P256" s="145"/>
      <c r="Q256" s="146"/>
      <c r="R256" s="145" t="str">
        <f>IFERROR(1-SUMIF('Grid BD'!$B:$B,$A256,'Grid BD'!$AE:$AE)/($AA256+SUMIF('Grid BD'!$B:$B,$A256,'Grid BD'!$AE:$AE)),"")</f>
        <v/>
      </c>
      <c r="T256" s="146" t="str">
        <f>IFERROR(1-SUMIF(Tracker_BD!$H:$H,$A256,Tracker_BD!AI:AI)/$F256,"")</f>
        <v/>
      </c>
      <c r="U256" s="147" t="str">
        <f t="shared" si="18"/>
        <v/>
      </c>
      <c r="V256" s="147"/>
      <c r="W256" s="148" t="str">
        <f t="shared" si="19"/>
        <v/>
      </c>
      <c r="X256" s="143" t="str">
        <f>IFERROR(_xlfn.XLOOKUP($A256,'Raw Data'!$G:$G,'Raw Data'!$AB:$AB),"")</f>
        <v/>
      </c>
      <c r="Y256" s="143" t="str">
        <f>IFERROR(_xlfn.XLOOKUP($A256,'Raw Data'!$G:$G,'Raw Data'!AC:AC),"")</f>
        <v/>
      </c>
      <c r="Z256" s="143" t="str">
        <f>IFERROR(_xlfn.XLOOKUP($A256,'Raw Data'!$G:$G,'Raw Data'!AD:AD),"")</f>
        <v/>
      </c>
      <c r="AA256" s="143" t="str">
        <f>IFERROR(_xlfn.XLOOKUP($A256,'Raw Data'!$G:$G,'Raw Data'!AE:AE)*(1+(_xlfn.XLOOKUP(Table13[[#This Row],[Month Year]],JMR!$A:$A,JMR!$J:$J))),"")</f>
        <v/>
      </c>
      <c r="AB256" s="143" t="str">
        <f>IFERROR(_xlfn.XLOOKUP($A256,'Raw Data'!$G:$G,'Raw Data'!$H:$H),"")</f>
        <v/>
      </c>
      <c r="AC256" s="149">
        <f>IFERROR(_xlfn.XLOOKUP($D256,'Modelling New'!$D:$D,'Modelling New'!$P:$P),"")</f>
        <v>5.3204721516128961</v>
      </c>
      <c r="AD256" s="143">
        <f>IFERROR(_xlfn.XLOOKUP($D256,'Modelling New'!$D:$D,'Modelling New'!$T:$T)*1000,"")</f>
        <v>48291.284576209961</v>
      </c>
      <c r="AE256" s="148">
        <f>IFERROR(_xlfn.XLOOKUP($D256,'Modelling New'!$D:$D,'Modelling New'!$O:$O),"")</f>
        <v>0.77444569867075796</v>
      </c>
      <c r="AF256" s="148">
        <f>IFERROR(_xlfn.XLOOKUP($D256,'Modelling New'!$D:$D,'Modelling New'!$W:$W),"")</f>
        <v>0.17168403219642334</v>
      </c>
      <c r="AG256" s="148">
        <f>IFERROR(_xlfn.XLOOKUP($D256,'Modelling New'!$D:$D,'Modelling New'!AE:AE),"")</f>
        <v>0.995</v>
      </c>
      <c r="AH256" s="148">
        <f>IFERROR(_xlfn.XLOOKUP($D256,'Modelling New'!$D:$D,'Modelling New'!AF:AF),"")</f>
        <v>0.98550000000000004</v>
      </c>
      <c r="AN256" s="145"/>
      <c r="AO256" s="148"/>
      <c r="AP256" s="148"/>
      <c r="AQ256" s="148"/>
      <c r="AR256" s="143">
        <f>IFERROR(_xlfn.XLOOKUP($D256,'Modelling New'!$D:$D,'Modelling New'!$N:$N),"")</f>
        <v>11.72</v>
      </c>
      <c r="AT256" s="143" t="str">
        <f>IFERROR(_xlfn.XLOOKUP(Table13[[#This Row],[Date]],'Raw Data'!$G:$G,'Raw Data'!$AJ:$AJ),"")</f>
        <v/>
      </c>
      <c r="AU256" s="143">
        <f>IFERROR(_xlfn.XLOOKUP(Table13[[#This Row],[Month Year]],'Modelling New'!$D:$D,'Modelling New'!$AO:$AO),"")</f>
        <v>10</v>
      </c>
      <c r="AV256" s="143"/>
    </row>
    <row r="257" spans="1:48">
      <c r="A257" s="142">
        <f t="shared" si="20"/>
        <v>46000</v>
      </c>
      <c r="B257" s="143">
        <f>YEAR(Table13[[#This Row],[Date]])+IF(MONTH(Table13[[#This Row],[Date]])&gt;=4,1,0)</f>
        <v>2026</v>
      </c>
      <c r="C257" s="116">
        <f>YEAR(Table13[[#This Row],[Date]])</f>
        <v>2025</v>
      </c>
      <c r="D257" s="144">
        <f>Table13[[#This Row],[Date]]-DAY(Table13[[#This Row],[Date]])+1</f>
        <v>45992</v>
      </c>
      <c r="E257" s="116">
        <f t="shared" si="17"/>
        <v>31</v>
      </c>
      <c r="F257" s="117" t="str">
        <f>IFERROR(_xlfn.XLOOKUP($A257,'Raw Data'!$G:$G,'Raw Data'!$AH:$AH),"")</f>
        <v/>
      </c>
      <c r="G257" s="118" t="str">
        <f>IFERROR(_xlfn.XLOOKUP($A257,'Raw Data'!$G:$G,'Raw Data'!$S:$S)/1000,"")</f>
        <v/>
      </c>
      <c r="H257" s="118"/>
      <c r="I257" s="118" t="str">
        <f>IFERROR(_xlfn.XLOOKUP($A257,'Raw Data'!$G:$G,'Raw Data'!$AF:$AF)/1000,"")</f>
        <v/>
      </c>
      <c r="J257" s="118"/>
      <c r="K257" s="118" t="str">
        <f>IFERROR(_xlfn.XLOOKUP($A257,'Raw Data'!$G:$G,'Raw Data'!W:W),"")</f>
        <v/>
      </c>
      <c r="L257" s="118" t="str">
        <f>IFERROR(_xlfn.XLOOKUP($A257,'Raw Data'!$G:$G,'Raw Data'!X:X),"")</f>
        <v/>
      </c>
      <c r="M257" s="118" t="str">
        <f>IFERROR(_xlfn.XLOOKUP($A257,'Raw Data'!$G:$G,'Raw Data'!Y:Y),"")</f>
        <v/>
      </c>
      <c r="N257" s="118" t="str">
        <f>IFERROR(_xlfn.XLOOKUP($A257,'Raw Data'!$G:$G,'Raw Data'!Z:Z),"")</f>
        <v/>
      </c>
      <c r="O257" s="145" t="str">
        <f>IFERROR(1-SUMIF('Plant BD'!$B:$B,$A257,'Plant BD'!$AM:$AM)/($AA257+SUMIF('Plant BD'!$B:$B,$A257,'Plant BD'!$AM:$AM)),"")</f>
        <v/>
      </c>
      <c r="P257" s="145"/>
      <c r="Q257" s="146"/>
      <c r="R257" s="145" t="str">
        <f>IFERROR(1-SUMIF('Grid BD'!$B:$B,$A257,'Grid BD'!$AE:$AE)/($AA257+SUMIF('Grid BD'!$B:$B,$A257,'Grid BD'!$AE:$AE)),"")</f>
        <v/>
      </c>
      <c r="T257" s="146" t="str">
        <f>IFERROR(1-SUMIF(Tracker_BD!$H:$H,$A257,Tracker_BD!AI:AI)/$F257,"")</f>
        <v/>
      </c>
      <c r="U257" s="147" t="str">
        <f t="shared" si="18"/>
        <v/>
      </c>
      <c r="V257" s="147"/>
      <c r="W257" s="148" t="str">
        <f t="shared" si="19"/>
        <v/>
      </c>
      <c r="X257" s="143" t="str">
        <f>IFERROR(_xlfn.XLOOKUP($A257,'Raw Data'!$G:$G,'Raw Data'!$AB:$AB),"")</f>
        <v/>
      </c>
      <c r="Y257" s="143" t="str">
        <f>IFERROR(_xlfn.XLOOKUP($A257,'Raw Data'!$G:$G,'Raw Data'!AC:AC),"")</f>
        <v/>
      </c>
      <c r="Z257" s="143" t="str">
        <f>IFERROR(_xlfn.XLOOKUP($A257,'Raw Data'!$G:$G,'Raw Data'!AD:AD),"")</f>
        <v/>
      </c>
      <c r="AA257" s="143" t="str">
        <f>IFERROR(_xlfn.XLOOKUP($A257,'Raw Data'!$G:$G,'Raw Data'!AE:AE)*(1+(_xlfn.XLOOKUP(Table13[[#This Row],[Month Year]],JMR!$A:$A,JMR!$J:$J))),"")</f>
        <v/>
      </c>
      <c r="AB257" s="143" t="str">
        <f>IFERROR(_xlfn.XLOOKUP($A257,'Raw Data'!$G:$G,'Raw Data'!$H:$H),"")</f>
        <v/>
      </c>
      <c r="AC257" s="149">
        <f>IFERROR(_xlfn.XLOOKUP($D257,'Modelling New'!$D:$D,'Modelling New'!$P:$P),"")</f>
        <v>5.3204721516128961</v>
      </c>
      <c r="AD257" s="143">
        <f>IFERROR(_xlfn.XLOOKUP($D257,'Modelling New'!$D:$D,'Modelling New'!$T:$T)*1000,"")</f>
        <v>48291.284576209961</v>
      </c>
      <c r="AE257" s="148">
        <f>IFERROR(_xlfn.XLOOKUP($D257,'Modelling New'!$D:$D,'Modelling New'!$O:$O),"")</f>
        <v>0.77444569867075796</v>
      </c>
      <c r="AF257" s="148">
        <f>IFERROR(_xlfn.XLOOKUP($D257,'Modelling New'!$D:$D,'Modelling New'!$W:$W),"")</f>
        <v>0.17168403219642334</v>
      </c>
      <c r="AG257" s="148">
        <f>IFERROR(_xlfn.XLOOKUP($D257,'Modelling New'!$D:$D,'Modelling New'!AE:AE),"")</f>
        <v>0.995</v>
      </c>
      <c r="AH257" s="148">
        <f>IFERROR(_xlfn.XLOOKUP($D257,'Modelling New'!$D:$D,'Modelling New'!AF:AF),"")</f>
        <v>0.98550000000000004</v>
      </c>
      <c r="AN257" s="145"/>
      <c r="AO257" s="148"/>
      <c r="AP257" s="148"/>
      <c r="AQ257" s="148"/>
      <c r="AR257" s="143">
        <f>IFERROR(_xlfn.XLOOKUP($D257,'Modelling New'!$D:$D,'Modelling New'!$N:$N),"")</f>
        <v>11.72</v>
      </c>
      <c r="AT257" s="143" t="str">
        <f>IFERROR(_xlfn.XLOOKUP(Table13[[#This Row],[Date]],'Raw Data'!$G:$G,'Raw Data'!$AJ:$AJ),"")</f>
        <v/>
      </c>
      <c r="AU257" s="143">
        <f>IFERROR(_xlfn.XLOOKUP(Table13[[#This Row],[Month Year]],'Modelling New'!$D:$D,'Modelling New'!$AO:$AO),"")</f>
        <v>10</v>
      </c>
      <c r="AV257" s="143"/>
    </row>
    <row r="258" spans="1:48">
      <c r="A258" s="142">
        <f t="shared" si="20"/>
        <v>46001</v>
      </c>
      <c r="B258" s="143">
        <f>YEAR(Table13[[#This Row],[Date]])+IF(MONTH(Table13[[#This Row],[Date]])&gt;=4,1,0)</f>
        <v>2026</v>
      </c>
      <c r="C258" s="116">
        <f>YEAR(Table13[[#This Row],[Date]])</f>
        <v>2025</v>
      </c>
      <c r="D258" s="144">
        <f>Table13[[#This Row],[Date]]-DAY(Table13[[#This Row],[Date]])+1</f>
        <v>45992</v>
      </c>
      <c r="E258" s="116">
        <f t="shared" si="17"/>
        <v>31</v>
      </c>
      <c r="F258" s="117" t="str">
        <f>IFERROR(_xlfn.XLOOKUP($A258,'Raw Data'!$G:$G,'Raw Data'!$AH:$AH),"")</f>
        <v/>
      </c>
      <c r="G258" s="118" t="str">
        <f>IFERROR(_xlfn.XLOOKUP($A258,'Raw Data'!$G:$G,'Raw Data'!$S:$S)/1000,"")</f>
        <v/>
      </c>
      <c r="H258" s="118"/>
      <c r="I258" s="118" t="str">
        <f>IFERROR(_xlfn.XLOOKUP($A258,'Raw Data'!$G:$G,'Raw Data'!$AF:$AF)/1000,"")</f>
        <v/>
      </c>
      <c r="J258" s="118"/>
      <c r="K258" s="118" t="str">
        <f>IFERROR(_xlfn.XLOOKUP($A258,'Raw Data'!$G:$G,'Raw Data'!W:W),"")</f>
        <v/>
      </c>
      <c r="L258" s="118" t="str">
        <f>IFERROR(_xlfn.XLOOKUP($A258,'Raw Data'!$G:$G,'Raw Data'!X:X),"")</f>
        <v/>
      </c>
      <c r="M258" s="118" t="str">
        <f>IFERROR(_xlfn.XLOOKUP($A258,'Raw Data'!$G:$G,'Raw Data'!Y:Y),"")</f>
        <v/>
      </c>
      <c r="N258" s="118" t="str">
        <f>IFERROR(_xlfn.XLOOKUP($A258,'Raw Data'!$G:$G,'Raw Data'!Z:Z),"")</f>
        <v/>
      </c>
      <c r="O258" s="145" t="str">
        <f>IFERROR(1-SUMIF('Plant BD'!$B:$B,$A258,'Plant BD'!$AM:$AM)/($AA258+SUMIF('Plant BD'!$B:$B,$A258,'Plant BD'!$AM:$AM)),"")</f>
        <v/>
      </c>
      <c r="P258" s="145"/>
      <c r="Q258" s="146"/>
      <c r="R258" s="145" t="str">
        <f>IFERROR(1-SUMIF('Grid BD'!$B:$B,$A258,'Grid BD'!$AE:$AE)/($AA258+SUMIF('Grid BD'!$B:$B,$A258,'Grid BD'!$AE:$AE)),"")</f>
        <v/>
      </c>
      <c r="T258" s="146" t="str">
        <f>IFERROR(1-SUMIF(Tracker_BD!$H:$H,$A258,Tracker_BD!AI:AI)/$F258,"")</f>
        <v/>
      </c>
      <c r="U258" s="147" t="str">
        <f t="shared" si="18"/>
        <v/>
      </c>
      <c r="V258" s="147"/>
      <c r="W258" s="148" t="str">
        <f t="shared" si="19"/>
        <v/>
      </c>
      <c r="X258" s="143" t="str">
        <f>IFERROR(_xlfn.XLOOKUP($A258,'Raw Data'!$G:$G,'Raw Data'!$AB:$AB),"")</f>
        <v/>
      </c>
      <c r="Y258" s="143" t="str">
        <f>IFERROR(_xlfn.XLOOKUP($A258,'Raw Data'!$G:$G,'Raw Data'!AC:AC),"")</f>
        <v/>
      </c>
      <c r="Z258" s="143" t="str">
        <f>IFERROR(_xlfn.XLOOKUP($A258,'Raw Data'!$G:$G,'Raw Data'!AD:AD),"")</f>
        <v/>
      </c>
      <c r="AA258" s="143" t="str">
        <f>IFERROR(_xlfn.XLOOKUP($A258,'Raw Data'!$G:$G,'Raw Data'!AE:AE)*(1+(_xlfn.XLOOKUP(Table13[[#This Row],[Month Year]],JMR!$A:$A,JMR!$J:$J))),"")</f>
        <v/>
      </c>
      <c r="AB258" s="143" t="str">
        <f>IFERROR(_xlfn.XLOOKUP($A258,'Raw Data'!$G:$G,'Raw Data'!$H:$H),"")</f>
        <v/>
      </c>
      <c r="AC258" s="149">
        <f>IFERROR(_xlfn.XLOOKUP($D258,'Modelling New'!$D:$D,'Modelling New'!$P:$P),"")</f>
        <v>5.3204721516128961</v>
      </c>
      <c r="AD258" s="143">
        <f>IFERROR(_xlfn.XLOOKUP($D258,'Modelling New'!$D:$D,'Modelling New'!$T:$T)*1000,"")</f>
        <v>48291.284576209961</v>
      </c>
      <c r="AE258" s="148">
        <f>IFERROR(_xlfn.XLOOKUP($D258,'Modelling New'!$D:$D,'Modelling New'!$O:$O),"")</f>
        <v>0.77444569867075796</v>
      </c>
      <c r="AF258" s="148">
        <f>IFERROR(_xlfn.XLOOKUP($D258,'Modelling New'!$D:$D,'Modelling New'!$W:$W),"")</f>
        <v>0.17168403219642334</v>
      </c>
      <c r="AG258" s="148">
        <f>IFERROR(_xlfn.XLOOKUP($D258,'Modelling New'!$D:$D,'Modelling New'!AE:AE),"")</f>
        <v>0.995</v>
      </c>
      <c r="AH258" s="148">
        <f>IFERROR(_xlfn.XLOOKUP($D258,'Modelling New'!$D:$D,'Modelling New'!AF:AF),"")</f>
        <v>0.98550000000000004</v>
      </c>
      <c r="AN258" s="145"/>
      <c r="AO258" s="148"/>
      <c r="AP258" s="148"/>
      <c r="AQ258" s="148"/>
      <c r="AR258" s="143">
        <f>IFERROR(_xlfn.XLOOKUP($D258,'Modelling New'!$D:$D,'Modelling New'!$N:$N),"")</f>
        <v>11.72</v>
      </c>
      <c r="AT258" s="143" t="str">
        <f>IFERROR(_xlfn.XLOOKUP(Table13[[#This Row],[Date]],'Raw Data'!$G:$G,'Raw Data'!$AJ:$AJ),"")</f>
        <v/>
      </c>
      <c r="AU258" s="143">
        <f>IFERROR(_xlfn.XLOOKUP(Table13[[#This Row],[Month Year]],'Modelling New'!$D:$D,'Modelling New'!$AO:$AO),"")</f>
        <v>10</v>
      </c>
      <c r="AV258" s="143"/>
    </row>
    <row r="259" spans="1:48">
      <c r="A259" s="142">
        <f t="shared" si="20"/>
        <v>46002</v>
      </c>
      <c r="B259" s="143">
        <f>YEAR(Table13[[#This Row],[Date]])+IF(MONTH(Table13[[#This Row],[Date]])&gt;=4,1,0)</f>
        <v>2026</v>
      </c>
      <c r="C259" s="116">
        <f>YEAR(Table13[[#This Row],[Date]])</f>
        <v>2025</v>
      </c>
      <c r="D259" s="144">
        <f>Table13[[#This Row],[Date]]-DAY(Table13[[#This Row],[Date]])+1</f>
        <v>45992</v>
      </c>
      <c r="E259" s="116">
        <f t="shared" si="17"/>
        <v>31</v>
      </c>
      <c r="F259" s="117" t="str">
        <f>IFERROR(_xlfn.XLOOKUP($A259,'Raw Data'!$G:$G,'Raw Data'!$AH:$AH),"")</f>
        <v/>
      </c>
      <c r="G259" s="118" t="str">
        <f>IFERROR(_xlfn.XLOOKUP($A259,'Raw Data'!$G:$G,'Raw Data'!$S:$S)/1000,"")</f>
        <v/>
      </c>
      <c r="H259" s="118"/>
      <c r="I259" s="118" t="str">
        <f>IFERROR(_xlfn.XLOOKUP($A259,'Raw Data'!$G:$G,'Raw Data'!$AF:$AF)/1000,"")</f>
        <v/>
      </c>
      <c r="J259" s="118"/>
      <c r="K259" s="118" t="str">
        <f>IFERROR(_xlfn.XLOOKUP($A259,'Raw Data'!$G:$G,'Raw Data'!W:W),"")</f>
        <v/>
      </c>
      <c r="L259" s="118" t="str">
        <f>IFERROR(_xlfn.XLOOKUP($A259,'Raw Data'!$G:$G,'Raw Data'!X:X),"")</f>
        <v/>
      </c>
      <c r="M259" s="118" t="str">
        <f>IFERROR(_xlfn.XLOOKUP($A259,'Raw Data'!$G:$G,'Raw Data'!Y:Y),"")</f>
        <v/>
      </c>
      <c r="N259" s="118" t="str">
        <f>IFERROR(_xlfn.XLOOKUP($A259,'Raw Data'!$G:$G,'Raw Data'!Z:Z),"")</f>
        <v/>
      </c>
      <c r="O259" s="145" t="str">
        <f>IFERROR(1-SUMIF('Plant BD'!$B:$B,$A259,'Plant BD'!$AM:$AM)/($AA259+SUMIF('Plant BD'!$B:$B,$A259,'Plant BD'!$AM:$AM)),"")</f>
        <v/>
      </c>
      <c r="P259" s="145"/>
      <c r="Q259" s="146"/>
      <c r="R259" s="145" t="str">
        <f>IFERROR(1-SUMIF('Grid BD'!$B:$B,$A259,'Grid BD'!$AE:$AE)/($AA259+SUMIF('Grid BD'!$B:$B,$A259,'Grid BD'!$AE:$AE)),"")</f>
        <v/>
      </c>
      <c r="T259" s="146" t="str">
        <f>IFERROR(1-SUMIF(Tracker_BD!$H:$H,$A259,Tracker_BD!AI:AI)/$F259,"")</f>
        <v/>
      </c>
      <c r="U259" s="147" t="str">
        <f t="shared" si="18"/>
        <v/>
      </c>
      <c r="V259" s="147"/>
      <c r="W259" s="148" t="str">
        <f t="shared" si="19"/>
        <v/>
      </c>
      <c r="X259" s="143" t="str">
        <f>IFERROR(_xlfn.XLOOKUP($A259,'Raw Data'!$G:$G,'Raw Data'!$AB:$AB),"")</f>
        <v/>
      </c>
      <c r="Y259" s="143" t="str">
        <f>IFERROR(_xlfn.XLOOKUP($A259,'Raw Data'!$G:$G,'Raw Data'!AC:AC),"")</f>
        <v/>
      </c>
      <c r="Z259" s="143" t="str">
        <f>IFERROR(_xlfn.XLOOKUP($A259,'Raw Data'!$G:$G,'Raw Data'!AD:AD),"")</f>
        <v/>
      </c>
      <c r="AA259" s="143" t="str">
        <f>IFERROR(_xlfn.XLOOKUP($A259,'Raw Data'!$G:$G,'Raw Data'!AE:AE)*(1+(_xlfn.XLOOKUP(Table13[[#This Row],[Month Year]],JMR!$A:$A,JMR!$J:$J))),"")</f>
        <v/>
      </c>
      <c r="AB259" s="143" t="str">
        <f>IFERROR(_xlfn.XLOOKUP($A259,'Raw Data'!$G:$G,'Raw Data'!$H:$H),"")</f>
        <v/>
      </c>
      <c r="AC259" s="149">
        <f>IFERROR(_xlfn.XLOOKUP($D259,'Modelling New'!$D:$D,'Modelling New'!$P:$P),"")</f>
        <v>5.3204721516128961</v>
      </c>
      <c r="AD259" s="143">
        <f>IFERROR(_xlfn.XLOOKUP($D259,'Modelling New'!$D:$D,'Modelling New'!$T:$T)*1000,"")</f>
        <v>48291.284576209961</v>
      </c>
      <c r="AE259" s="148">
        <f>IFERROR(_xlfn.XLOOKUP($D259,'Modelling New'!$D:$D,'Modelling New'!$O:$O),"")</f>
        <v>0.77444569867075796</v>
      </c>
      <c r="AF259" s="148">
        <f>IFERROR(_xlfn.XLOOKUP($D259,'Modelling New'!$D:$D,'Modelling New'!$W:$W),"")</f>
        <v>0.17168403219642334</v>
      </c>
      <c r="AG259" s="148">
        <f>IFERROR(_xlfn.XLOOKUP($D259,'Modelling New'!$D:$D,'Modelling New'!AE:AE),"")</f>
        <v>0.995</v>
      </c>
      <c r="AH259" s="148">
        <f>IFERROR(_xlfn.XLOOKUP($D259,'Modelling New'!$D:$D,'Modelling New'!AF:AF),"")</f>
        <v>0.98550000000000004</v>
      </c>
      <c r="AN259" s="145"/>
      <c r="AO259" s="148"/>
      <c r="AP259" s="148"/>
      <c r="AQ259" s="148"/>
      <c r="AR259" s="143">
        <f>IFERROR(_xlfn.XLOOKUP($D259,'Modelling New'!$D:$D,'Modelling New'!$N:$N),"")</f>
        <v>11.72</v>
      </c>
      <c r="AT259" s="143" t="str">
        <f>IFERROR(_xlfn.XLOOKUP(Table13[[#This Row],[Date]],'Raw Data'!$G:$G,'Raw Data'!$AJ:$AJ),"")</f>
        <v/>
      </c>
      <c r="AU259" s="143">
        <f>IFERROR(_xlfn.XLOOKUP(Table13[[#This Row],[Month Year]],'Modelling New'!$D:$D,'Modelling New'!$AO:$AO),"")</f>
        <v>10</v>
      </c>
      <c r="AV259" s="143"/>
    </row>
    <row r="260" spans="1:48">
      <c r="A260" s="142">
        <f t="shared" si="20"/>
        <v>46003</v>
      </c>
      <c r="B260" s="143">
        <f>YEAR(Table13[[#This Row],[Date]])+IF(MONTH(Table13[[#This Row],[Date]])&gt;=4,1,0)</f>
        <v>2026</v>
      </c>
      <c r="C260" s="116">
        <f>YEAR(Table13[[#This Row],[Date]])</f>
        <v>2025</v>
      </c>
      <c r="D260" s="144">
        <f>Table13[[#This Row],[Date]]-DAY(Table13[[#This Row],[Date]])+1</f>
        <v>45992</v>
      </c>
      <c r="E260" s="116">
        <f t="shared" si="17"/>
        <v>31</v>
      </c>
      <c r="F260" s="117" t="str">
        <f>IFERROR(_xlfn.XLOOKUP($A260,'Raw Data'!$G:$G,'Raw Data'!$AH:$AH),"")</f>
        <v/>
      </c>
      <c r="G260" s="118" t="str">
        <f>IFERROR(_xlfn.XLOOKUP($A260,'Raw Data'!$G:$G,'Raw Data'!$S:$S)/1000,"")</f>
        <v/>
      </c>
      <c r="H260" s="118"/>
      <c r="I260" s="118" t="str">
        <f>IFERROR(_xlfn.XLOOKUP($A260,'Raw Data'!$G:$G,'Raw Data'!$AF:$AF)/1000,"")</f>
        <v/>
      </c>
      <c r="J260" s="118"/>
      <c r="K260" s="118" t="str">
        <f>IFERROR(_xlfn.XLOOKUP($A260,'Raw Data'!$G:$G,'Raw Data'!W:W),"")</f>
        <v/>
      </c>
      <c r="L260" s="118" t="str">
        <f>IFERROR(_xlfn.XLOOKUP($A260,'Raw Data'!$G:$G,'Raw Data'!X:X),"")</f>
        <v/>
      </c>
      <c r="M260" s="118" t="str">
        <f>IFERROR(_xlfn.XLOOKUP($A260,'Raw Data'!$G:$G,'Raw Data'!Y:Y),"")</f>
        <v/>
      </c>
      <c r="N260" s="118" t="str">
        <f>IFERROR(_xlfn.XLOOKUP($A260,'Raw Data'!$G:$G,'Raw Data'!Z:Z),"")</f>
        <v/>
      </c>
      <c r="O260" s="145" t="str">
        <f>IFERROR(1-SUMIF('Plant BD'!$B:$B,$A260,'Plant BD'!$AM:$AM)/($AA260+SUMIF('Plant BD'!$B:$B,$A260,'Plant BD'!$AM:$AM)),"")</f>
        <v/>
      </c>
      <c r="P260" s="145"/>
      <c r="Q260" s="146"/>
      <c r="R260" s="145" t="str">
        <f>IFERROR(1-SUMIF('Grid BD'!$B:$B,$A260,'Grid BD'!$AE:$AE)/($AA260+SUMIF('Grid BD'!$B:$B,$A260,'Grid BD'!$AE:$AE)),"")</f>
        <v/>
      </c>
      <c r="T260" s="146" t="str">
        <f>IFERROR(1-SUMIF(Tracker_BD!$H:$H,$A260,Tracker_BD!AI:AI)/$F260,"")</f>
        <v/>
      </c>
      <c r="U260" s="147" t="str">
        <f t="shared" si="18"/>
        <v/>
      </c>
      <c r="V260" s="147"/>
      <c r="W260" s="148" t="str">
        <f t="shared" si="19"/>
        <v/>
      </c>
      <c r="X260" s="143" t="str">
        <f>IFERROR(_xlfn.XLOOKUP($A260,'Raw Data'!$G:$G,'Raw Data'!$AB:$AB),"")</f>
        <v/>
      </c>
      <c r="Y260" s="143" t="str">
        <f>IFERROR(_xlfn.XLOOKUP($A260,'Raw Data'!$G:$G,'Raw Data'!AC:AC),"")</f>
        <v/>
      </c>
      <c r="Z260" s="143" t="str">
        <f>IFERROR(_xlfn.XLOOKUP($A260,'Raw Data'!$G:$G,'Raw Data'!AD:AD),"")</f>
        <v/>
      </c>
      <c r="AA260" s="143" t="str">
        <f>IFERROR(_xlfn.XLOOKUP($A260,'Raw Data'!$G:$G,'Raw Data'!AE:AE)*(1+(_xlfn.XLOOKUP(Table13[[#This Row],[Month Year]],JMR!$A:$A,JMR!$J:$J))),"")</f>
        <v/>
      </c>
      <c r="AB260" s="143" t="str">
        <f>IFERROR(_xlfn.XLOOKUP($A260,'Raw Data'!$G:$G,'Raw Data'!$H:$H),"")</f>
        <v/>
      </c>
      <c r="AC260" s="149">
        <f>IFERROR(_xlfn.XLOOKUP($D260,'Modelling New'!$D:$D,'Modelling New'!$P:$P),"")</f>
        <v>5.3204721516128961</v>
      </c>
      <c r="AD260" s="143">
        <f>IFERROR(_xlfn.XLOOKUP($D260,'Modelling New'!$D:$D,'Modelling New'!$T:$T)*1000,"")</f>
        <v>48291.284576209961</v>
      </c>
      <c r="AE260" s="148">
        <f>IFERROR(_xlfn.XLOOKUP($D260,'Modelling New'!$D:$D,'Modelling New'!$O:$O),"")</f>
        <v>0.77444569867075796</v>
      </c>
      <c r="AF260" s="148">
        <f>IFERROR(_xlfn.XLOOKUP($D260,'Modelling New'!$D:$D,'Modelling New'!$W:$W),"")</f>
        <v>0.17168403219642334</v>
      </c>
      <c r="AG260" s="148">
        <f>IFERROR(_xlfn.XLOOKUP($D260,'Modelling New'!$D:$D,'Modelling New'!AE:AE),"")</f>
        <v>0.995</v>
      </c>
      <c r="AH260" s="148">
        <f>IFERROR(_xlfn.XLOOKUP($D260,'Modelling New'!$D:$D,'Modelling New'!AF:AF),"")</f>
        <v>0.98550000000000004</v>
      </c>
      <c r="AN260" s="145"/>
      <c r="AO260" s="148"/>
      <c r="AP260" s="148"/>
      <c r="AQ260" s="148"/>
      <c r="AR260" s="143">
        <f>IFERROR(_xlfn.XLOOKUP($D260,'Modelling New'!$D:$D,'Modelling New'!$N:$N),"")</f>
        <v>11.72</v>
      </c>
      <c r="AT260" s="143" t="str">
        <f>IFERROR(_xlfn.XLOOKUP(Table13[[#This Row],[Date]],'Raw Data'!$G:$G,'Raw Data'!$AJ:$AJ),"")</f>
        <v/>
      </c>
      <c r="AU260" s="143">
        <f>IFERROR(_xlfn.XLOOKUP(Table13[[#This Row],[Month Year]],'Modelling New'!$D:$D,'Modelling New'!$AO:$AO),"")</f>
        <v>10</v>
      </c>
      <c r="AV260" s="143"/>
    </row>
    <row r="261" spans="1:48">
      <c r="A261" s="142">
        <f t="shared" si="20"/>
        <v>46004</v>
      </c>
      <c r="B261" s="143">
        <f>YEAR(Table13[[#This Row],[Date]])+IF(MONTH(Table13[[#This Row],[Date]])&gt;=4,1,0)</f>
        <v>2026</v>
      </c>
      <c r="C261" s="116">
        <f>YEAR(Table13[[#This Row],[Date]])</f>
        <v>2025</v>
      </c>
      <c r="D261" s="144">
        <f>Table13[[#This Row],[Date]]-DAY(Table13[[#This Row],[Date]])+1</f>
        <v>45992</v>
      </c>
      <c r="E261" s="116">
        <f t="shared" si="17"/>
        <v>31</v>
      </c>
      <c r="F261" s="117" t="str">
        <f>IFERROR(_xlfn.XLOOKUP($A261,'Raw Data'!$G:$G,'Raw Data'!$AH:$AH),"")</f>
        <v/>
      </c>
      <c r="G261" s="118" t="str">
        <f>IFERROR(_xlfn.XLOOKUP($A261,'Raw Data'!$G:$G,'Raw Data'!$S:$S)/1000,"")</f>
        <v/>
      </c>
      <c r="H261" s="118"/>
      <c r="I261" s="118" t="str">
        <f>IFERROR(_xlfn.XLOOKUP($A261,'Raw Data'!$G:$G,'Raw Data'!$AF:$AF)/1000,"")</f>
        <v/>
      </c>
      <c r="J261" s="118"/>
      <c r="K261" s="118" t="str">
        <f>IFERROR(_xlfn.XLOOKUP($A261,'Raw Data'!$G:$G,'Raw Data'!W:W),"")</f>
        <v/>
      </c>
      <c r="L261" s="118" t="str">
        <f>IFERROR(_xlfn.XLOOKUP($A261,'Raw Data'!$G:$G,'Raw Data'!X:X),"")</f>
        <v/>
      </c>
      <c r="M261" s="118" t="str">
        <f>IFERROR(_xlfn.XLOOKUP($A261,'Raw Data'!$G:$G,'Raw Data'!Y:Y),"")</f>
        <v/>
      </c>
      <c r="N261" s="118" t="str">
        <f>IFERROR(_xlfn.XLOOKUP($A261,'Raw Data'!$G:$G,'Raw Data'!Z:Z),"")</f>
        <v/>
      </c>
      <c r="O261" s="145" t="str">
        <f>IFERROR(1-SUMIF('Plant BD'!$B:$B,$A261,'Plant BD'!$AM:$AM)/($AA261+SUMIF('Plant BD'!$B:$B,$A261,'Plant BD'!$AM:$AM)),"")</f>
        <v/>
      </c>
      <c r="P261" s="145"/>
      <c r="Q261" s="146"/>
      <c r="R261" s="145" t="str">
        <f>IFERROR(1-SUMIF('Grid BD'!$B:$B,$A261,'Grid BD'!$AE:$AE)/($AA261+SUMIF('Grid BD'!$B:$B,$A261,'Grid BD'!$AE:$AE)),"")</f>
        <v/>
      </c>
      <c r="T261" s="146" t="str">
        <f>IFERROR(1-SUMIF(Tracker_BD!$H:$H,$A261,Tracker_BD!AI:AI)/$F261,"")</f>
        <v/>
      </c>
      <c r="U261" s="147" t="str">
        <f t="shared" si="18"/>
        <v/>
      </c>
      <c r="V261" s="147"/>
      <c r="W261" s="148" t="str">
        <f t="shared" si="19"/>
        <v/>
      </c>
      <c r="X261" s="143" t="str">
        <f>IFERROR(_xlfn.XLOOKUP($A261,'Raw Data'!$G:$G,'Raw Data'!$AB:$AB),"")</f>
        <v/>
      </c>
      <c r="Y261" s="143" t="str">
        <f>IFERROR(_xlfn.XLOOKUP($A261,'Raw Data'!$G:$G,'Raw Data'!AC:AC),"")</f>
        <v/>
      </c>
      <c r="Z261" s="143" t="str">
        <f>IFERROR(_xlfn.XLOOKUP($A261,'Raw Data'!$G:$G,'Raw Data'!AD:AD),"")</f>
        <v/>
      </c>
      <c r="AA261" s="143" t="str">
        <f>IFERROR(_xlfn.XLOOKUP($A261,'Raw Data'!$G:$G,'Raw Data'!AE:AE)*(1+(_xlfn.XLOOKUP(Table13[[#This Row],[Month Year]],JMR!$A:$A,JMR!$J:$J))),"")</f>
        <v/>
      </c>
      <c r="AB261" s="143" t="str">
        <f>IFERROR(_xlfn.XLOOKUP($A261,'Raw Data'!$G:$G,'Raw Data'!$H:$H),"")</f>
        <v/>
      </c>
      <c r="AC261" s="149">
        <f>IFERROR(_xlfn.XLOOKUP($D261,'Modelling New'!$D:$D,'Modelling New'!$P:$P),"")</f>
        <v>5.3204721516128961</v>
      </c>
      <c r="AD261" s="143">
        <f>IFERROR(_xlfn.XLOOKUP($D261,'Modelling New'!$D:$D,'Modelling New'!$T:$T)*1000,"")</f>
        <v>48291.284576209961</v>
      </c>
      <c r="AE261" s="148">
        <f>IFERROR(_xlfn.XLOOKUP($D261,'Modelling New'!$D:$D,'Modelling New'!$O:$O),"")</f>
        <v>0.77444569867075796</v>
      </c>
      <c r="AF261" s="148">
        <f>IFERROR(_xlfn.XLOOKUP($D261,'Modelling New'!$D:$D,'Modelling New'!$W:$W),"")</f>
        <v>0.17168403219642334</v>
      </c>
      <c r="AG261" s="148">
        <f>IFERROR(_xlfn.XLOOKUP($D261,'Modelling New'!$D:$D,'Modelling New'!AE:AE),"")</f>
        <v>0.995</v>
      </c>
      <c r="AH261" s="148">
        <f>IFERROR(_xlfn.XLOOKUP($D261,'Modelling New'!$D:$D,'Modelling New'!AF:AF),"")</f>
        <v>0.98550000000000004</v>
      </c>
      <c r="AN261" s="145"/>
      <c r="AO261" s="148"/>
      <c r="AP261" s="148"/>
      <c r="AQ261" s="148"/>
      <c r="AR261" s="143">
        <f>IFERROR(_xlfn.XLOOKUP($D261,'Modelling New'!$D:$D,'Modelling New'!$N:$N),"")</f>
        <v>11.72</v>
      </c>
      <c r="AT261" s="143" t="str">
        <f>IFERROR(_xlfn.XLOOKUP(Table13[[#This Row],[Date]],'Raw Data'!$G:$G,'Raw Data'!$AJ:$AJ),"")</f>
        <v/>
      </c>
      <c r="AU261" s="143">
        <f>IFERROR(_xlfn.XLOOKUP(Table13[[#This Row],[Month Year]],'Modelling New'!$D:$D,'Modelling New'!$AO:$AO),"")</f>
        <v>10</v>
      </c>
      <c r="AV261" s="143"/>
    </row>
    <row r="262" spans="1:48">
      <c r="A262" s="142">
        <f t="shared" si="20"/>
        <v>46005</v>
      </c>
      <c r="B262" s="143">
        <f>YEAR(Table13[[#This Row],[Date]])+IF(MONTH(Table13[[#This Row],[Date]])&gt;=4,1,0)</f>
        <v>2026</v>
      </c>
      <c r="C262" s="116">
        <f>YEAR(Table13[[#This Row],[Date]])</f>
        <v>2025</v>
      </c>
      <c r="D262" s="144">
        <f>Table13[[#This Row],[Date]]-DAY(Table13[[#This Row],[Date]])+1</f>
        <v>45992</v>
      </c>
      <c r="E262" s="116">
        <f t="shared" si="17"/>
        <v>31</v>
      </c>
      <c r="F262" s="117" t="str">
        <f>IFERROR(_xlfn.XLOOKUP($A262,'Raw Data'!$G:$G,'Raw Data'!$AH:$AH),"")</f>
        <v/>
      </c>
      <c r="G262" s="118" t="str">
        <f>IFERROR(_xlfn.XLOOKUP($A262,'Raw Data'!$G:$G,'Raw Data'!$S:$S)/1000,"")</f>
        <v/>
      </c>
      <c r="H262" s="118"/>
      <c r="I262" s="118" t="str">
        <f>IFERROR(_xlfn.XLOOKUP($A262,'Raw Data'!$G:$G,'Raw Data'!$AF:$AF)/1000,"")</f>
        <v/>
      </c>
      <c r="J262" s="118"/>
      <c r="K262" s="118" t="str">
        <f>IFERROR(_xlfn.XLOOKUP($A262,'Raw Data'!$G:$G,'Raw Data'!W:W),"")</f>
        <v/>
      </c>
      <c r="L262" s="118" t="str">
        <f>IFERROR(_xlfn.XLOOKUP($A262,'Raw Data'!$G:$G,'Raw Data'!X:X),"")</f>
        <v/>
      </c>
      <c r="M262" s="118" t="str">
        <f>IFERROR(_xlfn.XLOOKUP($A262,'Raw Data'!$G:$G,'Raw Data'!Y:Y),"")</f>
        <v/>
      </c>
      <c r="N262" s="118" t="str">
        <f>IFERROR(_xlfn.XLOOKUP($A262,'Raw Data'!$G:$G,'Raw Data'!Z:Z),"")</f>
        <v/>
      </c>
      <c r="O262" s="145" t="str">
        <f>IFERROR(1-SUMIF('Plant BD'!$B:$B,$A262,'Plant BD'!$AM:$AM)/($AA262+SUMIF('Plant BD'!$B:$B,$A262,'Plant BD'!$AM:$AM)),"")</f>
        <v/>
      </c>
      <c r="P262" s="145"/>
      <c r="Q262" s="146"/>
      <c r="R262" s="145" t="str">
        <f>IFERROR(1-SUMIF('Grid BD'!$B:$B,$A262,'Grid BD'!$AE:$AE)/($AA262+SUMIF('Grid BD'!$B:$B,$A262,'Grid BD'!$AE:$AE)),"")</f>
        <v/>
      </c>
      <c r="T262" s="146" t="str">
        <f>IFERROR(1-SUMIF(Tracker_BD!$H:$H,$A262,Tracker_BD!AI:AI)/$F262,"")</f>
        <v/>
      </c>
      <c r="U262" s="147" t="str">
        <f t="shared" si="18"/>
        <v/>
      </c>
      <c r="V262" s="147"/>
      <c r="W262" s="148" t="str">
        <f t="shared" si="19"/>
        <v/>
      </c>
      <c r="X262" s="143" t="str">
        <f>IFERROR(_xlfn.XLOOKUP($A262,'Raw Data'!$G:$G,'Raw Data'!$AB:$AB),"")</f>
        <v/>
      </c>
      <c r="Y262" s="143" t="str">
        <f>IFERROR(_xlfn.XLOOKUP($A262,'Raw Data'!$G:$G,'Raw Data'!AC:AC),"")</f>
        <v/>
      </c>
      <c r="Z262" s="143" t="str">
        <f>IFERROR(_xlfn.XLOOKUP($A262,'Raw Data'!$G:$G,'Raw Data'!AD:AD),"")</f>
        <v/>
      </c>
      <c r="AA262" s="143" t="str">
        <f>IFERROR(_xlfn.XLOOKUP($A262,'Raw Data'!$G:$G,'Raw Data'!AE:AE)*(1+(_xlfn.XLOOKUP(Table13[[#This Row],[Month Year]],JMR!$A:$A,JMR!$J:$J))),"")</f>
        <v/>
      </c>
      <c r="AB262" s="143" t="str">
        <f>IFERROR(_xlfn.XLOOKUP($A262,'Raw Data'!$G:$G,'Raw Data'!$H:$H),"")</f>
        <v/>
      </c>
      <c r="AC262" s="149">
        <f>IFERROR(_xlfn.XLOOKUP($D262,'Modelling New'!$D:$D,'Modelling New'!$P:$P),"")</f>
        <v>5.3204721516128961</v>
      </c>
      <c r="AD262" s="143">
        <f>IFERROR(_xlfn.XLOOKUP($D262,'Modelling New'!$D:$D,'Modelling New'!$T:$T)*1000,"")</f>
        <v>48291.284576209961</v>
      </c>
      <c r="AE262" s="148">
        <f>IFERROR(_xlfn.XLOOKUP($D262,'Modelling New'!$D:$D,'Modelling New'!$O:$O),"")</f>
        <v>0.77444569867075796</v>
      </c>
      <c r="AF262" s="148">
        <f>IFERROR(_xlfn.XLOOKUP($D262,'Modelling New'!$D:$D,'Modelling New'!$W:$W),"")</f>
        <v>0.17168403219642334</v>
      </c>
      <c r="AG262" s="148">
        <f>IFERROR(_xlfn.XLOOKUP($D262,'Modelling New'!$D:$D,'Modelling New'!AE:AE),"")</f>
        <v>0.995</v>
      </c>
      <c r="AH262" s="148">
        <f>IFERROR(_xlfn.XLOOKUP($D262,'Modelling New'!$D:$D,'Modelling New'!AF:AF),"")</f>
        <v>0.98550000000000004</v>
      </c>
      <c r="AN262" s="145"/>
      <c r="AO262" s="148"/>
      <c r="AP262" s="148"/>
      <c r="AQ262" s="148"/>
      <c r="AR262" s="143">
        <f>IFERROR(_xlfn.XLOOKUP($D262,'Modelling New'!$D:$D,'Modelling New'!$N:$N),"")</f>
        <v>11.72</v>
      </c>
      <c r="AT262" s="143" t="str">
        <f>IFERROR(_xlfn.XLOOKUP(Table13[[#This Row],[Date]],'Raw Data'!$G:$G,'Raw Data'!$AJ:$AJ),"")</f>
        <v/>
      </c>
      <c r="AU262" s="143">
        <f>IFERROR(_xlfn.XLOOKUP(Table13[[#This Row],[Month Year]],'Modelling New'!$D:$D,'Modelling New'!$AO:$AO),"")</f>
        <v>10</v>
      </c>
      <c r="AV262" s="143"/>
    </row>
    <row r="263" spans="1:48">
      <c r="A263" s="142">
        <f t="shared" si="20"/>
        <v>46006</v>
      </c>
      <c r="B263" s="143">
        <f>YEAR(Table13[[#This Row],[Date]])+IF(MONTH(Table13[[#This Row],[Date]])&gt;=4,1,0)</f>
        <v>2026</v>
      </c>
      <c r="C263" s="116">
        <f>YEAR(Table13[[#This Row],[Date]])</f>
        <v>2025</v>
      </c>
      <c r="D263" s="144">
        <f>Table13[[#This Row],[Date]]-DAY(Table13[[#This Row],[Date]])+1</f>
        <v>45992</v>
      </c>
      <c r="E263" s="116">
        <f t="shared" si="17"/>
        <v>31</v>
      </c>
      <c r="F263" s="117" t="str">
        <f>IFERROR(_xlfn.XLOOKUP($A263,'Raw Data'!$G:$G,'Raw Data'!$AH:$AH),"")</f>
        <v/>
      </c>
      <c r="G263" s="118" t="str">
        <f>IFERROR(_xlfn.XLOOKUP($A263,'Raw Data'!$G:$G,'Raw Data'!$S:$S)/1000,"")</f>
        <v/>
      </c>
      <c r="H263" s="118"/>
      <c r="I263" s="118" t="str">
        <f>IFERROR(_xlfn.XLOOKUP($A263,'Raw Data'!$G:$G,'Raw Data'!$AF:$AF)/1000,"")</f>
        <v/>
      </c>
      <c r="J263" s="118"/>
      <c r="K263" s="118" t="str">
        <f>IFERROR(_xlfn.XLOOKUP($A263,'Raw Data'!$G:$G,'Raw Data'!W:W),"")</f>
        <v/>
      </c>
      <c r="L263" s="118" t="str">
        <f>IFERROR(_xlfn.XLOOKUP($A263,'Raw Data'!$G:$G,'Raw Data'!X:X),"")</f>
        <v/>
      </c>
      <c r="M263" s="118" t="str">
        <f>IFERROR(_xlfn.XLOOKUP($A263,'Raw Data'!$G:$G,'Raw Data'!Y:Y),"")</f>
        <v/>
      </c>
      <c r="N263" s="118" t="str">
        <f>IFERROR(_xlfn.XLOOKUP($A263,'Raw Data'!$G:$G,'Raw Data'!Z:Z),"")</f>
        <v/>
      </c>
      <c r="O263" s="145" t="str">
        <f>IFERROR(1-SUMIF('Plant BD'!$B:$B,$A263,'Plant BD'!$AM:$AM)/($AA263+SUMIF('Plant BD'!$B:$B,$A263,'Plant BD'!$AM:$AM)),"")</f>
        <v/>
      </c>
      <c r="P263" s="145"/>
      <c r="Q263" s="146"/>
      <c r="R263" s="145" t="str">
        <f>IFERROR(1-SUMIF('Grid BD'!$B:$B,$A263,'Grid BD'!$AE:$AE)/($AA263+SUMIF('Grid BD'!$B:$B,$A263,'Grid BD'!$AE:$AE)),"")</f>
        <v/>
      </c>
      <c r="T263" s="146" t="str">
        <f>IFERROR(1-SUMIF(Tracker_BD!$H:$H,$A263,Tracker_BD!AI:AI)/$F263,"")</f>
        <v/>
      </c>
      <c r="U263" s="147" t="str">
        <f t="shared" si="18"/>
        <v/>
      </c>
      <c r="V263" s="147"/>
      <c r="W263" s="148" t="str">
        <f t="shared" si="19"/>
        <v/>
      </c>
      <c r="X263" s="143" t="str">
        <f>IFERROR(_xlfn.XLOOKUP($A263,'Raw Data'!$G:$G,'Raw Data'!$AB:$AB),"")</f>
        <v/>
      </c>
      <c r="Y263" s="143" t="str">
        <f>IFERROR(_xlfn.XLOOKUP($A263,'Raw Data'!$G:$G,'Raw Data'!AC:AC),"")</f>
        <v/>
      </c>
      <c r="Z263" s="143" t="str">
        <f>IFERROR(_xlfn.XLOOKUP($A263,'Raw Data'!$G:$G,'Raw Data'!AD:AD),"")</f>
        <v/>
      </c>
      <c r="AA263" s="143" t="str">
        <f>IFERROR(_xlfn.XLOOKUP($A263,'Raw Data'!$G:$G,'Raw Data'!AE:AE)*(1+(_xlfn.XLOOKUP(Table13[[#This Row],[Month Year]],JMR!$A:$A,JMR!$J:$J))),"")</f>
        <v/>
      </c>
      <c r="AB263" s="143" t="str">
        <f>IFERROR(_xlfn.XLOOKUP($A263,'Raw Data'!$G:$G,'Raw Data'!$H:$H),"")</f>
        <v/>
      </c>
      <c r="AC263" s="149">
        <f>IFERROR(_xlfn.XLOOKUP($D263,'Modelling New'!$D:$D,'Modelling New'!$P:$P),"")</f>
        <v>5.3204721516128961</v>
      </c>
      <c r="AD263" s="143">
        <f>IFERROR(_xlfn.XLOOKUP($D263,'Modelling New'!$D:$D,'Modelling New'!$T:$T)*1000,"")</f>
        <v>48291.284576209961</v>
      </c>
      <c r="AE263" s="148">
        <f>IFERROR(_xlfn.XLOOKUP($D263,'Modelling New'!$D:$D,'Modelling New'!$O:$O),"")</f>
        <v>0.77444569867075796</v>
      </c>
      <c r="AF263" s="148">
        <f>IFERROR(_xlfn.XLOOKUP($D263,'Modelling New'!$D:$D,'Modelling New'!$W:$W),"")</f>
        <v>0.17168403219642334</v>
      </c>
      <c r="AG263" s="148">
        <f>IFERROR(_xlfn.XLOOKUP($D263,'Modelling New'!$D:$D,'Modelling New'!AE:AE),"")</f>
        <v>0.995</v>
      </c>
      <c r="AH263" s="148">
        <f>IFERROR(_xlfn.XLOOKUP($D263,'Modelling New'!$D:$D,'Modelling New'!AF:AF),"")</f>
        <v>0.98550000000000004</v>
      </c>
      <c r="AN263" s="145"/>
      <c r="AO263" s="148"/>
      <c r="AP263" s="148"/>
      <c r="AQ263" s="148"/>
      <c r="AR263" s="143">
        <f>IFERROR(_xlfn.XLOOKUP($D263,'Modelling New'!$D:$D,'Modelling New'!$N:$N),"")</f>
        <v>11.72</v>
      </c>
      <c r="AT263" s="143" t="str">
        <f>IFERROR(_xlfn.XLOOKUP(Table13[[#This Row],[Date]],'Raw Data'!$G:$G,'Raw Data'!$AJ:$AJ),"")</f>
        <v/>
      </c>
      <c r="AU263" s="143">
        <f>IFERROR(_xlfn.XLOOKUP(Table13[[#This Row],[Month Year]],'Modelling New'!$D:$D,'Modelling New'!$AO:$AO),"")</f>
        <v>10</v>
      </c>
      <c r="AV263" s="143"/>
    </row>
    <row r="264" spans="1:48">
      <c r="A264" s="142">
        <f t="shared" si="20"/>
        <v>46007</v>
      </c>
      <c r="B264" s="143">
        <f>YEAR(Table13[[#This Row],[Date]])+IF(MONTH(Table13[[#This Row],[Date]])&gt;=4,1,0)</f>
        <v>2026</v>
      </c>
      <c r="C264" s="116">
        <f>YEAR(Table13[[#This Row],[Date]])</f>
        <v>2025</v>
      </c>
      <c r="D264" s="144">
        <f>Table13[[#This Row],[Date]]-DAY(Table13[[#This Row],[Date]])+1</f>
        <v>45992</v>
      </c>
      <c r="E264" s="116">
        <f t="shared" si="17"/>
        <v>31</v>
      </c>
      <c r="F264" s="117" t="str">
        <f>IFERROR(_xlfn.XLOOKUP($A264,'Raw Data'!$G:$G,'Raw Data'!$AH:$AH),"")</f>
        <v/>
      </c>
      <c r="G264" s="118" t="str">
        <f>IFERROR(_xlfn.XLOOKUP($A264,'Raw Data'!$G:$G,'Raw Data'!$S:$S)/1000,"")</f>
        <v/>
      </c>
      <c r="H264" s="118"/>
      <c r="I264" s="118" t="str">
        <f>IFERROR(_xlfn.XLOOKUP($A264,'Raw Data'!$G:$G,'Raw Data'!$AF:$AF)/1000,"")</f>
        <v/>
      </c>
      <c r="J264" s="118"/>
      <c r="K264" s="118" t="str">
        <f>IFERROR(_xlfn.XLOOKUP($A264,'Raw Data'!$G:$G,'Raw Data'!W:W),"")</f>
        <v/>
      </c>
      <c r="L264" s="118" t="str">
        <f>IFERROR(_xlfn.XLOOKUP($A264,'Raw Data'!$G:$G,'Raw Data'!X:X),"")</f>
        <v/>
      </c>
      <c r="M264" s="118" t="str">
        <f>IFERROR(_xlfn.XLOOKUP($A264,'Raw Data'!$G:$G,'Raw Data'!Y:Y),"")</f>
        <v/>
      </c>
      <c r="N264" s="118" t="str">
        <f>IFERROR(_xlfn.XLOOKUP($A264,'Raw Data'!$G:$G,'Raw Data'!Z:Z),"")</f>
        <v/>
      </c>
      <c r="O264" s="145" t="str">
        <f>IFERROR(1-SUMIF('Plant BD'!$B:$B,$A264,'Plant BD'!$AM:$AM)/($AA264+SUMIF('Plant BD'!$B:$B,$A264,'Plant BD'!$AM:$AM)),"")</f>
        <v/>
      </c>
      <c r="P264" s="145"/>
      <c r="Q264" s="146"/>
      <c r="R264" s="145" t="str">
        <f>IFERROR(1-SUMIF('Grid BD'!$B:$B,$A264,'Grid BD'!$AE:$AE)/($AA264+SUMIF('Grid BD'!$B:$B,$A264,'Grid BD'!$AE:$AE)),"")</f>
        <v/>
      </c>
      <c r="T264" s="146" t="str">
        <f>IFERROR(1-SUMIF(Tracker_BD!$H:$H,$A264,Tracker_BD!AI:AI)/$F264,"")</f>
        <v/>
      </c>
      <c r="U264" s="147" t="str">
        <f t="shared" si="18"/>
        <v/>
      </c>
      <c r="V264" s="147"/>
      <c r="W264" s="148" t="str">
        <f t="shared" si="19"/>
        <v/>
      </c>
      <c r="X264" s="143" t="str">
        <f>IFERROR(_xlfn.XLOOKUP($A264,'Raw Data'!$G:$G,'Raw Data'!$AB:$AB),"")</f>
        <v/>
      </c>
      <c r="Y264" s="143" t="str">
        <f>IFERROR(_xlfn.XLOOKUP($A264,'Raw Data'!$G:$G,'Raw Data'!AC:AC),"")</f>
        <v/>
      </c>
      <c r="Z264" s="143" t="str">
        <f>IFERROR(_xlfn.XLOOKUP($A264,'Raw Data'!$G:$G,'Raw Data'!AD:AD),"")</f>
        <v/>
      </c>
      <c r="AA264" s="143" t="str">
        <f>IFERROR(_xlfn.XLOOKUP($A264,'Raw Data'!$G:$G,'Raw Data'!AE:AE)*(1+(_xlfn.XLOOKUP(Table13[[#This Row],[Month Year]],JMR!$A:$A,JMR!$J:$J))),"")</f>
        <v/>
      </c>
      <c r="AB264" s="143" t="str">
        <f>IFERROR(_xlfn.XLOOKUP($A264,'Raw Data'!$G:$G,'Raw Data'!$H:$H),"")</f>
        <v/>
      </c>
      <c r="AC264" s="149">
        <f>IFERROR(_xlfn.XLOOKUP($D264,'Modelling New'!$D:$D,'Modelling New'!$P:$P),"")</f>
        <v>5.3204721516128961</v>
      </c>
      <c r="AD264" s="143">
        <f>IFERROR(_xlfn.XLOOKUP($D264,'Modelling New'!$D:$D,'Modelling New'!$T:$T)*1000,"")</f>
        <v>48291.284576209961</v>
      </c>
      <c r="AE264" s="148">
        <f>IFERROR(_xlfn.XLOOKUP($D264,'Modelling New'!$D:$D,'Modelling New'!$O:$O),"")</f>
        <v>0.77444569867075796</v>
      </c>
      <c r="AF264" s="148">
        <f>IFERROR(_xlfn.XLOOKUP($D264,'Modelling New'!$D:$D,'Modelling New'!$W:$W),"")</f>
        <v>0.17168403219642334</v>
      </c>
      <c r="AG264" s="148">
        <f>IFERROR(_xlfn.XLOOKUP($D264,'Modelling New'!$D:$D,'Modelling New'!AE:AE),"")</f>
        <v>0.995</v>
      </c>
      <c r="AH264" s="148">
        <f>IFERROR(_xlfn.XLOOKUP($D264,'Modelling New'!$D:$D,'Modelling New'!AF:AF),"")</f>
        <v>0.98550000000000004</v>
      </c>
      <c r="AN264" s="145"/>
      <c r="AO264" s="148"/>
      <c r="AP264" s="148"/>
      <c r="AQ264" s="148"/>
      <c r="AR264" s="143">
        <f>IFERROR(_xlfn.XLOOKUP($D264,'Modelling New'!$D:$D,'Modelling New'!$N:$N),"")</f>
        <v>11.72</v>
      </c>
      <c r="AT264" s="143" t="str">
        <f>IFERROR(_xlfn.XLOOKUP(Table13[[#This Row],[Date]],'Raw Data'!$G:$G,'Raw Data'!$AJ:$AJ),"")</f>
        <v/>
      </c>
      <c r="AU264" s="143">
        <f>IFERROR(_xlfn.XLOOKUP(Table13[[#This Row],[Month Year]],'Modelling New'!$D:$D,'Modelling New'!$AO:$AO),"")</f>
        <v>10</v>
      </c>
      <c r="AV264" s="143"/>
    </row>
    <row r="265" spans="1:48">
      <c r="A265" s="142">
        <f t="shared" si="20"/>
        <v>46008</v>
      </c>
      <c r="B265" s="143">
        <f>YEAR(Table13[[#This Row],[Date]])+IF(MONTH(Table13[[#This Row],[Date]])&gt;=4,1,0)</f>
        <v>2026</v>
      </c>
      <c r="C265" s="116">
        <f>YEAR(Table13[[#This Row],[Date]])</f>
        <v>2025</v>
      </c>
      <c r="D265" s="144">
        <f>Table13[[#This Row],[Date]]-DAY(Table13[[#This Row],[Date]])+1</f>
        <v>45992</v>
      </c>
      <c r="E265" s="116">
        <f t="shared" si="17"/>
        <v>31</v>
      </c>
      <c r="F265" s="117" t="str">
        <f>IFERROR(_xlfn.XLOOKUP($A265,'Raw Data'!$G:$G,'Raw Data'!$AH:$AH),"")</f>
        <v/>
      </c>
      <c r="G265" s="118" t="str">
        <f>IFERROR(_xlfn.XLOOKUP($A265,'Raw Data'!$G:$G,'Raw Data'!$S:$S)/1000,"")</f>
        <v/>
      </c>
      <c r="H265" s="118"/>
      <c r="I265" s="118" t="str">
        <f>IFERROR(_xlfn.XLOOKUP($A265,'Raw Data'!$G:$G,'Raw Data'!$AF:$AF)/1000,"")</f>
        <v/>
      </c>
      <c r="J265" s="118"/>
      <c r="K265" s="118" t="str">
        <f>IFERROR(_xlfn.XLOOKUP($A265,'Raw Data'!$G:$G,'Raw Data'!W:W),"")</f>
        <v/>
      </c>
      <c r="L265" s="118" t="str">
        <f>IFERROR(_xlfn.XLOOKUP($A265,'Raw Data'!$G:$G,'Raw Data'!X:X),"")</f>
        <v/>
      </c>
      <c r="M265" s="118" t="str">
        <f>IFERROR(_xlfn.XLOOKUP($A265,'Raw Data'!$G:$G,'Raw Data'!Y:Y),"")</f>
        <v/>
      </c>
      <c r="N265" s="118" t="str">
        <f>IFERROR(_xlfn.XLOOKUP($A265,'Raw Data'!$G:$G,'Raw Data'!Z:Z),"")</f>
        <v/>
      </c>
      <c r="O265" s="145" t="str">
        <f>IFERROR(1-SUMIF('Plant BD'!$B:$B,$A265,'Plant BD'!$AM:$AM)/($AA265+SUMIF('Plant BD'!$B:$B,$A265,'Plant BD'!$AM:$AM)),"")</f>
        <v/>
      </c>
      <c r="P265" s="145"/>
      <c r="Q265" s="146"/>
      <c r="R265" s="145" t="str">
        <f>IFERROR(1-SUMIF('Grid BD'!$B:$B,$A265,'Grid BD'!$AE:$AE)/($AA265+SUMIF('Grid BD'!$B:$B,$A265,'Grid BD'!$AE:$AE)),"")</f>
        <v/>
      </c>
      <c r="T265" s="146" t="str">
        <f>IFERROR(1-SUMIF(Tracker_BD!$H:$H,$A265,Tracker_BD!AI:AI)/$F265,"")</f>
        <v/>
      </c>
      <c r="U265" s="147" t="str">
        <f t="shared" si="18"/>
        <v/>
      </c>
      <c r="V265" s="147"/>
      <c r="W265" s="148" t="str">
        <f t="shared" si="19"/>
        <v/>
      </c>
      <c r="X265" s="143" t="str">
        <f>IFERROR(_xlfn.XLOOKUP($A265,'Raw Data'!$G:$G,'Raw Data'!$AB:$AB),"")</f>
        <v/>
      </c>
      <c r="Y265" s="143" t="str">
        <f>IFERROR(_xlfn.XLOOKUP($A265,'Raw Data'!$G:$G,'Raw Data'!AC:AC),"")</f>
        <v/>
      </c>
      <c r="Z265" s="143" t="str">
        <f>IFERROR(_xlfn.XLOOKUP($A265,'Raw Data'!$G:$G,'Raw Data'!AD:AD),"")</f>
        <v/>
      </c>
      <c r="AA265" s="143" t="str">
        <f>IFERROR(_xlfn.XLOOKUP($A265,'Raw Data'!$G:$G,'Raw Data'!AE:AE)*(1+(_xlfn.XLOOKUP(Table13[[#This Row],[Month Year]],JMR!$A:$A,JMR!$J:$J))),"")</f>
        <v/>
      </c>
      <c r="AB265" s="143" t="str">
        <f>IFERROR(_xlfn.XLOOKUP($A265,'Raw Data'!$G:$G,'Raw Data'!$H:$H),"")</f>
        <v/>
      </c>
      <c r="AC265" s="149">
        <f>IFERROR(_xlfn.XLOOKUP($D265,'Modelling New'!$D:$D,'Modelling New'!$P:$P),"")</f>
        <v>5.3204721516128961</v>
      </c>
      <c r="AD265" s="143">
        <f>IFERROR(_xlfn.XLOOKUP($D265,'Modelling New'!$D:$D,'Modelling New'!$T:$T)*1000,"")</f>
        <v>48291.284576209961</v>
      </c>
      <c r="AE265" s="148">
        <f>IFERROR(_xlfn.XLOOKUP($D265,'Modelling New'!$D:$D,'Modelling New'!$O:$O),"")</f>
        <v>0.77444569867075796</v>
      </c>
      <c r="AF265" s="148">
        <f>IFERROR(_xlfn.XLOOKUP($D265,'Modelling New'!$D:$D,'Modelling New'!$W:$W),"")</f>
        <v>0.17168403219642334</v>
      </c>
      <c r="AG265" s="148">
        <f>IFERROR(_xlfn.XLOOKUP($D265,'Modelling New'!$D:$D,'Modelling New'!AE:AE),"")</f>
        <v>0.995</v>
      </c>
      <c r="AH265" s="148">
        <f>IFERROR(_xlfn.XLOOKUP($D265,'Modelling New'!$D:$D,'Modelling New'!AF:AF),"")</f>
        <v>0.98550000000000004</v>
      </c>
      <c r="AN265" s="145"/>
      <c r="AO265" s="148"/>
      <c r="AP265" s="148"/>
      <c r="AQ265" s="148"/>
      <c r="AR265" s="143">
        <f>IFERROR(_xlfn.XLOOKUP($D265,'Modelling New'!$D:$D,'Modelling New'!$N:$N),"")</f>
        <v>11.72</v>
      </c>
      <c r="AT265" s="143" t="str">
        <f>IFERROR(_xlfn.XLOOKUP(Table13[[#This Row],[Date]],'Raw Data'!$G:$G,'Raw Data'!$AJ:$AJ),"")</f>
        <v/>
      </c>
      <c r="AU265" s="143">
        <f>IFERROR(_xlfn.XLOOKUP(Table13[[#This Row],[Month Year]],'Modelling New'!$D:$D,'Modelling New'!$AO:$AO),"")</f>
        <v>10</v>
      </c>
      <c r="AV265" s="143"/>
    </row>
    <row r="266" spans="1:48">
      <c r="A266" s="142">
        <f t="shared" si="20"/>
        <v>46009</v>
      </c>
      <c r="B266" s="143">
        <f>YEAR(Table13[[#This Row],[Date]])+IF(MONTH(Table13[[#This Row],[Date]])&gt;=4,1,0)</f>
        <v>2026</v>
      </c>
      <c r="C266" s="116">
        <f>YEAR(Table13[[#This Row],[Date]])</f>
        <v>2025</v>
      </c>
      <c r="D266" s="144">
        <f>Table13[[#This Row],[Date]]-DAY(Table13[[#This Row],[Date]])+1</f>
        <v>45992</v>
      </c>
      <c r="E266" s="116">
        <f t="shared" si="17"/>
        <v>31</v>
      </c>
      <c r="F266" s="117" t="str">
        <f>IFERROR(_xlfn.XLOOKUP($A266,'Raw Data'!$G:$G,'Raw Data'!$AH:$AH),"")</f>
        <v/>
      </c>
      <c r="G266" s="118" t="str">
        <f>IFERROR(_xlfn.XLOOKUP($A266,'Raw Data'!$G:$G,'Raw Data'!$S:$S)/1000,"")</f>
        <v/>
      </c>
      <c r="H266" s="118"/>
      <c r="I266" s="118" t="str">
        <f>IFERROR(_xlfn.XLOOKUP($A266,'Raw Data'!$G:$G,'Raw Data'!$AF:$AF)/1000,"")</f>
        <v/>
      </c>
      <c r="J266" s="118"/>
      <c r="K266" s="118" t="str">
        <f>IFERROR(_xlfn.XLOOKUP($A266,'Raw Data'!$G:$G,'Raw Data'!W:W),"")</f>
        <v/>
      </c>
      <c r="L266" s="118" t="str">
        <f>IFERROR(_xlfn.XLOOKUP($A266,'Raw Data'!$G:$G,'Raw Data'!X:X),"")</f>
        <v/>
      </c>
      <c r="M266" s="118" t="str">
        <f>IFERROR(_xlfn.XLOOKUP($A266,'Raw Data'!$G:$G,'Raw Data'!Y:Y),"")</f>
        <v/>
      </c>
      <c r="N266" s="118" t="str">
        <f>IFERROR(_xlfn.XLOOKUP($A266,'Raw Data'!$G:$G,'Raw Data'!Z:Z),"")</f>
        <v/>
      </c>
      <c r="O266" s="145" t="str">
        <f>IFERROR(1-SUMIF('Plant BD'!$B:$B,$A266,'Plant BD'!$AM:$AM)/($AA266+SUMIF('Plant BD'!$B:$B,$A266,'Plant BD'!$AM:$AM)),"")</f>
        <v/>
      </c>
      <c r="P266" s="145"/>
      <c r="Q266" s="146"/>
      <c r="R266" s="145" t="str">
        <f>IFERROR(1-SUMIF('Grid BD'!$B:$B,$A266,'Grid BD'!$AE:$AE)/($AA266+SUMIF('Grid BD'!$B:$B,$A266,'Grid BD'!$AE:$AE)),"")</f>
        <v/>
      </c>
      <c r="T266" s="146" t="str">
        <f>IFERROR(1-SUMIF(Tracker_BD!$H:$H,$A266,Tracker_BD!AI:AI)/$F266,"")</f>
        <v/>
      </c>
      <c r="U266" s="147" t="str">
        <f t="shared" si="18"/>
        <v/>
      </c>
      <c r="V266" s="147"/>
      <c r="W266" s="148" t="str">
        <f t="shared" si="19"/>
        <v/>
      </c>
      <c r="X266" s="143" t="str">
        <f>IFERROR(_xlfn.XLOOKUP($A266,'Raw Data'!$G:$G,'Raw Data'!$AB:$AB),"")</f>
        <v/>
      </c>
      <c r="Y266" s="143" t="str">
        <f>IFERROR(_xlfn.XLOOKUP($A266,'Raw Data'!$G:$G,'Raw Data'!AC:AC),"")</f>
        <v/>
      </c>
      <c r="Z266" s="143" t="str">
        <f>IFERROR(_xlfn.XLOOKUP($A266,'Raw Data'!$G:$G,'Raw Data'!AD:AD),"")</f>
        <v/>
      </c>
      <c r="AA266" s="143" t="str">
        <f>IFERROR(_xlfn.XLOOKUP($A266,'Raw Data'!$G:$G,'Raw Data'!AE:AE)*(1+(_xlfn.XLOOKUP(Table13[[#This Row],[Month Year]],JMR!$A:$A,JMR!$J:$J))),"")</f>
        <v/>
      </c>
      <c r="AB266" s="143" t="str">
        <f>IFERROR(_xlfn.XLOOKUP($A266,'Raw Data'!$G:$G,'Raw Data'!$H:$H),"")</f>
        <v/>
      </c>
      <c r="AC266" s="149">
        <f>IFERROR(_xlfn.XLOOKUP($D266,'Modelling New'!$D:$D,'Modelling New'!$P:$P),"")</f>
        <v>5.3204721516128961</v>
      </c>
      <c r="AD266" s="143">
        <f>IFERROR(_xlfn.XLOOKUP($D266,'Modelling New'!$D:$D,'Modelling New'!$T:$T)*1000,"")</f>
        <v>48291.284576209961</v>
      </c>
      <c r="AE266" s="148">
        <f>IFERROR(_xlfn.XLOOKUP($D266,'Modelling New'!$D:$D,'Modelling New'!$O:$O),"")</f>
        <v>0.77444569867075796</v>
      </c>
      <c r="AF266" s="148">
        <f>IFERROR(_xlfn.XLOOKUP($D266,'Modelling New'!$D:$D,'Modelling New'!$W:$W),"")</f>
        <v>0.17168403219642334</v>
      </c>
      <c r="AG266" s="148">
        <f>IFERROR(_xlfn.XLOOKUP($D266,'Modelling New'!$D:$D,'Modelling New'!AE:AE),"")</f>
        <v>0.995</v>
      </c>
      <c r="AH266" s="148">
        <f>IFERROR(_xlfn.XLOOKUP($D266,'Modelling New'!$D:$D,'Modelling New'!AF:AF),"")</f>
        <v>0.98550000000000004</v>
      </c>
      <c r="AN266" s="145"/>
      <c r="AO266" s="148"/>
      <c r="AP266" s="148"/>
      <c r="AQ266" s="148"/>
      <c r="AR266" s="143">
        <f>IFERROR(_xlfn.XLOOKUP($D266,'Modelling New'!$D:$D,'Modelling New'!$N:$N),"")</f>
        <v>11.72</v>
      </c>
      <c r="AT266" s="143" t="str">
        <f>IFERROR(_xlfn.XLOOKUP(Table13[[#This Row],[Date]],'Raw Data'!$G:$G,'Raw Data'!$AJ:$AJ),"")</f>
        <v/>
      </c>
      <c r="AU266" s="143">
        <f>IFERROR(_xlfn.XLOOKUP(Table13[[#This Row],[Month Year]],'Modelling New'!$D:$D,'Modelling New'!$AO:$AO),"")</f>
        <v>10</v>
      </c>
      <c r="AV266" s="143"/>
    </row>
    <row r="267" spans="1:48">
      <c r="A267" s="142">
        <f t="shared" si="20"/>
        <v>46010</v>
      </c>
      <c r="B267" s="143">
        <f>YEAR(Table13[[#This Row],[Date]])+IF(MONTH(Table13[[#This Row],[Date]])&gt;=4,1,0)</f>
        <v>2026</v>
      </c>
      <c r="C267" s="116">
        <f>YEAR(Table13[[#This Row],[Date]])</f>
        <v>2025</v>
      </c>
      <c r="D267" s="144">
        <f>Table13[[#This Row],[Date]]-DAY(Table13[[#This Row],[Date]])+1</f>
        <v>45992</v>
      </c>
      <c r="E267" s="116">
        <f t="shared" si="17"/>
        <v>31</v>
      </c>
      <c r="F267" s="117" t="str">
        <f>IFERROR(_xlfn.XLOOKUP($A267,'Raw Data'!$G:$G,'Raw Data'!$AH:$AH),"")</f>
        <v/>
      </c>
      <c r="G267" s="118" t="str">
        <f>IFERROR(_xlfn.XLOOKUP($A267,'Raw Data'!$G:$G,'Raw Data'!$S:$S)/1000,"")</f>
        <v/>
      </c>
      <c r="H267" s="118"/>
      <c r="I267" s="118" t="str">
        <f>IFERROR(_xlfn.XLOOKUP($A267,'Raw Data'!$G:$G,'Raw Data'!$AF:$AF)/1000,"")</f>
        <v/>
      </c>
      <c r="J267" s="118"/>
      <c r="K267" s="118" t="str">
        <f>IFERROR(_xlfn.XLOOKUP($A267,'Raw Data'!$G:$G,'Raw Data'!W:W),"")</f>
        <v/>
      </c>
      <c r="L267" s="118" t="str">
        <f>IFERROR(_xlfn.XLOOKUP($A267,'Raw Data'!$G:$G,'Raw Data'!X:X),"")</f>
        <v/>
      </c>
      <c r="M267" s="118" t="str">
        <f>IFERROR(_xlfn.XLOOKUP($A267,'Raw Data'!$G:$G,'Raw Data'!Y:Y),"")</f>
        <v/>
      </c>
      <c r="N267" s="118" t="str">
        <f>IFERROR(_xlfn.XLOOKUP($A267,'Raw Data'!$G:$G,'Raw Data'!Z:Z),"")</f>
        <v/>
      </c>
      <c r="O267" s="145" t="str">
        <f>IFERROR(1-SUMIF('Plant BD'!$B:$B,$A267,'Plant BD'!$AM:$AM)/($AA267+SUMIF('Plant BD'!$B:$B,$A267,'Plant BD'!$AM:$AM)),"")</f>
        <v/>
      </c>
      <c r="P267" s="145"/>
      <c r="Q267" s="146"/>
      <c r="R267" s="145" t="str">
        <f>IFERROR(1-SUMIF('Grid BD'!$B:$B,$A267,'Grid BD'!$AE:$AE)/($AA267+SUMIF('Grid BD'!$B:$B,$A267,'Grid BD'!$AE:$AE)),"")</f>
        <v/>
      </c>
      <c r="T267" s="146" t="str">
        <f>IFERROR(1-SUMIF(Tracker_BD!$H:$H,$A267,Tracker_BD!AI:AI)/$F267,"")</f>
        <v/>
      </c>
      <c r="U267" s="147" t="str">
        <f t="shared" si="18"/>
        <v/>
      </c>
      <c r="V267" s="147"/>
      <c r="W267" s="148" t="str">
        <f t="shared" si="19"/>
        <v/>
      </c>
      <c r="X267" s="143" t="str">
        <f>IFERROR(_xlfn.XLOOKUP($A267,'Raw Data'!$G:$G,'Raw Data'!$AB:$AB),"")</f>
        <v/>
      </c>
      <c r="Y267" s="143" t="str">
        <f>IFERROR(_xlfn.XLOOKUP($A267,'Raw Data'!$G:$G,'Raw Data'!AC:AC),"")</f>
        <v/>
      </c>
      <c r="Z267" s="143" t="str">
        <f>IFERROR(_xlfn.XLOOKUP($A267,'Raw Data'!$G:$G,'Raw Data'!AD:AD),"")</f>
        <v/>
      </c>
      <c r="AA267" s="143" t="str">
        <f>IFERROR(_xlfn.XLOOKUP($A267,'Raw Data'!$G:$G,'Raw Data'!AE:AE)*(1+(_xlfn.XLOOKUP(Table13[[#This Row],[Month Year]],JMR!$A:$A,JMR!$J:$J))),"")</f>
        <v/>
      </c>
      <c r="AB267" s="143" t="str">
        <f>IFERROR(_xlfn.XLOOKUP($A267,'Raw Data'!$G:$G,'Raw Data'!$H:$H),"")</f>
        <v/>
      </c>
      <c r="AC267" s="149">
        <f>IFERROR(_xlfn.XLOOKUP($D267,'Modelling New'!$D:$D,'Modelling New'!$P:$P),"")</f>
        <v>5.3204721516128961</v>
      </c>
      <c r="AD267" s="143">
        <f>IFERROR(_xlfn.XLOOKUP($D267,'Modelling New'!$D:$D,'Modelling New'!$T:$T)*1000,"")</f>
        <v>48291.284576209961</v>
      </c>
      <c r="AE267" s="148">
        <f>IFERROR(_xlfn.XLOOKUP($D267,'Modelling New'!$D:$D,'Modelling New'!$O:$O),"")</f>
        <v>0.77444569867075796</v>
      </c>
      <c r="AF267" s="148">
        <f>IFERROR(_xlfn.XLOOKUP($D267,'Modelling New'!$D:$D,'Modelling New'!$W:$W),"")</f>
        <v>0.17168403219642334</v>
      </c>
      <c r="AG267" s="148">
        <f>IFERROR(_xlfn.XLOOKUP($D267,'Modelling New'!$D:$D,'Modelling New'!AE:AE),"")</f>
        <v>0.995</v>
      </c>
      <c r="AH267" s="148">
        <f>IFERROR(_xlfn.XLOOKUP($D267,'Modelling New'!$D:$D,'Modelling New'!AF:AF),"")</f>
        <v>0.98550000000000004</v>
      </c>
      <c r="AN267" s="145"/>
      <c r="AO267" s="148"/>
      <c r="AP267" s="148"/>
      <c r="AQ267" s="148"/>
      <c r="AR267" s="143">
        <f>IFERROR(_xlfn.XLOOKUP($D267,'Modelling New'!$D:$D,'Modelling New'!$N:$N),"")</f>
        <v>11.72</v>
      </c>
      <c r="AT267" s="143" t="str">
        <f>IFERROR(_xlfn.XLOOKUP(Table13[[#This Row],[Date]],'Raw Data'!$G:$G,'Raw Data'!$AJ:$AJ),"")</f>
        <v/>
      </c>
      <c r="AU267" s="143">
        <f>IFERROR(_xlfn.XLOOKUP(Table13[[#This Row],[Month Year]],'Modelling New'!$D:$D,'Modelling New'!$AO:$AO),"")</f>
        <v>10</v>
      </c>
      <c r="AV267" s="143"/>
    </row>
    <row r="268" spans="1:48">
      <c r="A268" s="142">
        <f t="shared" si="20"/>
        <v>46011</v>
      </c>
      <c r="B268" s="143">
        <f>YEAR(Table13[[#This Row],[Date]])+IF(MONTH(Table13[[#This Row],[Date]])&gt;=4,1,0)</f>
        <v>2026</v>
      </c>
      <c r="C268" s="116">
        <f>YEAR(Table13[[#This Row],[Date]])</f>
        <v>2025</v>
      </c>
      <c r="D268" s="144">
        <f>Table13[[#This Row],[Date]]-DAY(Table13[[#This Row],[Date]])+1</f>
        <v>45992</v>
      </c>
      <c r="E268" s="116">
        <f t="shared" si="17"/>
        <v>31</v>
      </c>
      <c r="F268" s="117" t="str">
        <f>IFERROR(_xlfn.XLOOKUP($A268,'Raw Data'!$G:$G,'Raw Data'!$AH:$AH),"")</f>
        <v/>
      </c>
      <c r="G268" s="118" t="str">
        <f>IFERROR(_xlfn.XLOOKUP($A268,'Raw Data'!$G:$G,'Raw Data'!$S:$S)/1000,"")</f>
        <v/>
      </c>
      <c r="H268" s="118"/>
      <c r="I268" s="118" t="str">
        <f>IFERROR(_xlfn.XLOOKUP($A268,'Raw Data'!$G:$G,'Raw Data'!$AF:$AF)/1000,"")</f>
        <v/>
      </c>
      <c r="J268" s="118"/>
      <c r="K268" s="118" t="str">
        <f>IFERROR(_xlfn.XLOOKUP($A268,'Raw Data'!$G:$G,'Raw Data'!W:W),"")</f>
        <v/>
      </c>
      <c r="L268" s="118" t="str">
        <f>IFERROR(_xlfn.XLOOKUP($A268,'Raw Data'!$G:$G,'Raw Data'!X:X),"")</f>
        <v/>
      </c>
      <c r="M268" s="118" t="str">
        <f>IFERROR(_xlfn.XLOOKUP($A268,'Raw Data'!$G:$G,'Raw Data'!Y:Y),"")</f>
        <v/>
      </c>
      <c r="N268" s="118" t="str">
        <f>IFERROR(_xlfn.XLOOKUP($A268,'Raw Data'!$G:$G,'Raw Data'!Z:Z),"")</f>
        <v/>
      </c>
      <c r="O268" s="145" t="str">
        <f>IFERROR(1-SUMIF('Plant BD'!$B:$B,$A268,'Plant BD'!$AM:$AM)/($AA268+SUMIF('Plant BD'!$B:$B,$A268,'Plant BD'!$AM:$AM)),"")</f>
        <v/>
      </c>
      <c r="P268" s="145"/>
      <c r="Q268" s="146"/>
      <c r="R268" s="145" t="str">
        <f>IFERROR(1-SUMIF('Grid BD'!$B:$B,$A268,'Grid BD'!$AE:$AE)/($AA268+SUMIF('Grid BD'!$B:$B,$A268,'Grid BD'!$AE:$AE)),"")</f>
        <v/>
      </c>
      <c r="T268" s="146" t="str">
        <f>IFERROR(1-SUMIF(Tracker_BD!$H:$H,$A268,Tracker_BD!AI:AI)/$F268,"")</f>
        <v/>
      </c>
      <c r="U268" s="147" t="str">
        <f t="shared" si="18"/>
        <v/>
      </c>
      <c r="V268" s="147"/>
      <c r="W268" s="148" t="str">
        <f t="shared" si="19"/>
        <v/>
      </c>
      <c r="X268" s="143" t="str">
        <f>IFERROR(_xlfn.XLOOKUP($A268,'Raw Data'!$G:$G,'Raw Data'!$AB:$AB),"")</f>
        <v/>
      </c>
      <c r="Y268" s="143" t="str">
        <f>IFERROR(_xlfn.XLOOKUP($A268,'Raw Data'!$G:$G,'Raw Data'!AC:AC),"")</f>
        <v/>
      </c>
      <c r="Z268" s="143" t="str">
        <f>IFERROR(_xlfn.XLOOKUP($A268,'Raw Data'!$G:$G,'Raw Data'!AD:AD),"")</f>
        <v/>
      </c>
      <c r="AA268" s="143" t="str">
        <f>IFERROR(_xlfn.XLOOKUP($A268,'Raw Data'!$G:$G,'Raw Data'!AE:AE)*(1+(_xlfn.XLOOKUP(Table13[[#This Row],[Month Year]],JMR!$A:$A,JMR!$J:$J))),"")</f>
        <v/>
      </c>
      <c r="AB268" s="143" t="str">
        <f>IFERROR(_xlfn.XLOOKUP($A268,'Raw Data'!$G:$G,'Raw Data'!$H:$H),"")</f>
        <v/>
      </c>
      <c r="AC268" s="149">
        <f>IFERROR(_xlfn.XLOOKUP($D268,'Modelling New'!$D:$D,'Modelling New'!$P:$P),"")</f>
        <v>5.3204721516128961</v>
      </c>
      <c r="AD268" s="143">
        <f>IFERROR(_xlfn.XLOOKUP($D268,'Modelling New'!$D:$D,'Modelling New'!$T:$T)*1000,"")</f>
        <v>48291.284576209961</v>
      </c>
      <c r="AE268" s="148">
        <f>IFERROR(_xlfn.XLOOKUP($D268,'Modelling New'!$D:$D,'Modelling New'!$O:$O),"")</f>
        <v>0.77444569867075796</v>
      </c>
      <c r="AF268" s="148">
        <f>IFERROR(_xlfn.XLOOKUP($D268,'Modelling New'!$D:$D,'Modelling New'!$W:$W),"")</f>
        <v>0.17168403219642334</v>
      </c>
      <c r="AG268" s="148">
        <f>IFERROR(_xlfn.XLOOKUP($D268,'Modelling New'!$D:$D,'Modelling New'!AE:AE),"")</f>
        <v>0.995</v>
      </c>
      <c r="AH268" s="148">
        <f>IFERROR(_xlfn.XLOOKUP($D268,'Modelling New'!$D:$D,'Modelling New'!AF:AF),"")</f>
        <v>0.98550000000000004</v>
      </c>
      <c r="AN268" s="145"/>
      <c r="AO268" s="148"/>
      <c r="AP268" s="148"/>
      <c r="AQ268" s="148"/>
      <c r="AR268" s="143">
        <f>IFERROR(_xlfn.XLOOKUP($D268,'Modelling New'!$D:$D,'Modelling New'!$N:$N),"")</f>
        <v>11.72</v>
      </c>
      <c r="AT268" s="143" t="str">
        <f>IFERROR(_xlfn.XLOOKUP(Table13[[#This Row],[Date]],'Raw Data'!$G:$G,'Raw Data'!$AJ:$AJ),"")</f>
        <v/>
      </c>
      <c r="AU268" s="143">
        <f>IFERROR(_xlfn.XLOOKUP(Table13[[#This Row],[Month Year]],'Modelling New'!$D:$D,'Modelling New'!$AO:$AO),"")</f>
        <v>10</v>
      </c>
      <c r="AV268" s="143"/>
    </row>
    <row r="269" spans="1:48">
      <c r="A269" s="142">
        <f t="shared" si="20"/>
        <v>46012</v>
      </c>
      <c r="B269" s="143">
        <f>YEAR(Table13[[#This Row],[Date]])+IF(MONTH(Table13[[#This Row],[Date]])&gt;=4,1,0)</f>
        <v>2026</v>
      </c>
      <c r="C269" s="116">
        <f>YEAR(Table13[[#This Row],[Date]])</f>
        <v>2025</v>
      </c>
      <c r="D269" s="144">
        <f>Table13[[#This Row],[Date]]-DAY(Table13[[#This Row],[Date]])+1</f>
        <v>45992</v>
      </c>
      <c r="E269" s="116">
        <f t="shared" si="17"/>
        <v>31</v>
      </c>
      <c r="F269" s="117" t="str">
        <f>IFERROR(_xlfn.XLOOKUP($A269,'Raw Data'!$G:$G,'Raw Data'!$AH:$AH),"")</f>
        <v/>
      </c>
      <c r="G269" s="118" t="str">
        <f>IFERROR(_xlfn.XLOOKUP($A269,'Raw Data'!$G:$G,'Raw Data'!$S:$S)/1000,"")</f>
        <v/>
      </c>
      <c r="H269" s="118"/>
      <c r="I269" s="118" t="str">
        <f>IFERROR(_xlfn.XLOOKUP($A269,'Raw Data'!$G:$G,'Raw Data'!$AF:$AF)/1000,"")</f>
        <v/>
      </c>
      <c r="J269" s="118"/>
      <c r="K269" s="118" t="str">
        <f>IFERROR(_xlfn.XLOOKUP($A269,'Raw Data'!$G:$G,'Raw Data'!W:W),"")</f>
        <v/>
      </c>
      <c r="L269" s="118" t="str">
        <f>IFERROR(_xlfn.XLOOKUP($A269,'Raw Data'!$G:$G,'Raw Data'!X:X),"")</f>
        <v/>
      </c>
      <c r="M269" s="118" t="str">
        <f>IFERROR(_xlfn.XLOOKUP($A269,'Raw Data'!$G:$G,'Raw Data'!Y:Y),"")</f>
        <v/>
      </c>
      <c r="N269" s="118" t="str">
        <f>IFERROR(_xlfn.XLOOKUP($A269,'Raw Data'!$G:$G,'Raw Data'!Z:Z),"")</f>
        <v/>
      </c>
      <c r="O269" s="145" t="str">
        <f>IFERROR(1-SUMIF('Plant BD'!$B:$B,$A269,'Plant BD'!$AM:$AM)/($AA269+SUMIF('Plant BD'!$B:$B,$A269,'Plant BD'!$AM:$AM)),"")</f>
        <v/>
      </c>
      <c r="P269" s="145"/>
      <c r="Q269" s="146"/>
      <c r="R269" s="145" t="str">
        <f>IFERROR(1-SUMIF('Grid BD'!$B:$B,$A269,'Grid BD'!$AE:$AE)/($AA269+SUMIF('Grid BD'!$B:$B,$A269,'Grid BD'!$AE:$AE)),"")</f>
        <v/>
      </c>
      <c r="T269" s="146" t="str">
        <f>IFERROR(1-SUMIF(Tracker_BD!$H:$H,$A269,Tracker_BD!AI:AI)/$F269,"")</f>
        <v/>
      </c>
      <c r="U269" s="147" t="str">
        <f t="shared" si="18"/>
        <v/>
      </c>
      <c r="V269" s="147"/>
      <c r="W269" s="148" t="str">
        <f t="shared" si="19"/>
        <v/>
      </c>
      <c r="X269" s="143" t="str">
        <f>IFERROR(_xlfn.XLOOKUP($A269,'Raw Data'!$G:$G,'Raw Data'!$AB:$AB),"")</f>
        <v/>
      </c>
      <c r="Y269" s="143" t="str">
        <f>IFERROR(_xlfn.XLOOKUP($A269,'Raw Data'!$G:$G,'Raw Data'!AC:AC),"")</f>
        <v/>
      </c>
      <c r="Z269" s="143" t="str">
        <f>IFERROR(_xlfn.XLOOKUP($A269,'Raw Data'!$G:$G,'Raw Data'!AD:AD),"")</f>
        <v/>
      </c>
      <c r="AA269" s="143" t="str">
        <f>IFERROR(_xlfn.XLOOKUP($A269,'Raw Data'!$G:$G,'Raw Data'!AE:AE)*(1+(_xlfn.XLOOKUP(Table13[[#This Row],[Month Year]],JMR!$A:$A,JMR!$J:$J))),"")</f>
        <v/>
      </c>
      <c r="AB269" s="143" t="str">
        <f>IFERROR(_xlfn.XLOOKUP($A269,'Raw Data'!$G:$G,'Raw Data'!$H:$H),"")</f>
        <v/>
      </c>
      <c r="AC269" s="149">
        <f>IFERROR(_xlfn.XLOOKUP($D269,'Modelling New'!$D:$D,'Modelling New'!$P:$P),"")</f>
        <v>5.3204721516128961</v>
      </c>
      <c r="AD269" s="143">
        <f>IFERROR(_xlfn.XLOOKUP($D269,'Modelling New'!$D:$D,'Modelling New'!$T:$T)*1000,"")</f>
        <v>48291.284576209961</v>
      </c>
      <c r="AE269" s="148">
        <f>IFERROR(_xlfn.XLOOKUP($D269,'Modelling New'!$D:$D,'Modelling New'!$O:$O),"")</f>
        <v>0.77444569867075796</v>
      </c>
      <c r="AF269" s="148">
        <f>IFERROR(_xlfn.XLOOKUP($D269,'Modelling New'!$D:$D,'Modelling New'!$W:$W),"")</f>
        <v>0.17168403219642334</v>
      </c>
      <c r="AG269" s="148">
        <f>IFERROR(_xlfn.XLOOKUP($D269,'Modelling New'!$D:$D,'Modelling New'!AE:AE),"")</f>
        <v>0.995</v>
      </c>
      <c r="AH269" s="148">
        <f>IFERROR(_xlfn.XLOOKUP($D269,'Modelling New'!$D:$D,'Modelling New'!AF:AF),"")</f>
        <v>0.98550000000000004</v>
      </c>
      <c r="AN269" s="145"/>
      <c r="AO269" s="148"/>
      <c r="AP269" s="148"/>
      <c r="AQ269" s="148"/>
      <c r="AR269" s="143">
        <f>IFERROR(_xlfn.XLOOKUP($D269,'Modelling New'!$D:$D,'Modelling New'!$N:$N),"")</f>
        <v>11.72</v>
      </c>
      <c r="AT269" s="143" t="str">
        <f>IFERROR(_xlfn.XLOOKUP(Table13[[#This Row],[Date]],'Raw Data'!$G:$G,'Raw Data'!$AJ:$AJ),"")</f>
        <v/>
      </c>
      <c r="AU269" s="143">
        <f>IFERROR(_xlfn.XLOOKUP(Table13[[#This Row],[Month Year]],'Modelling New'!$D:$D,'Modelling New'!$AO:$AO),"")</f>
        <v>10</v>
      </c>
      <c r="AV269" s="143"/>
    </row>
    <row r="270" spans="1:48">
      <c r="A270" s="142">
        <f t="shared" si="20"/>
        <v>46013</v>
      </c>
      <c r="B270" s="143">
        <f>YEAR(Table13[[#This Row],[Date]])+IF(MONTH(Table13[[#This Row],[Date]])&gt;=4,1,0)</f>
        <v>2026</v>
      </c>
      <c r="C270" s="116">
        <f>YEAR(Table13[[#This Row],[Date]])</f>
        <v>2025</v>
      </c>
      <c r="D270" s="144">
        <f>Table13[[#This Row],[Date]]-DAY(Table13[[#This Row],[Date]])+1</f>
        <v>45992</v>
      </c>
      <c r="E270" s="116">
        <f t="shared" si="17"/>
        <v>31</v>
      </c>
      <c r="F270" s="117" t="str">
        <f>IFERROR(_xlfn.XLOOKUP($A270,'Raw Data'!$G:$G,'Raw Data'!$AH:$AH),"")</f>
        <v/>
      </c>
      <c r="G270" s="118" t="str">
        <f>IFERROR(_xlfn.XLOOKUP($A270,'Raw Data'!$G:$G,'Raw Data'!$S:$S)/1000,"")</f>
        <v/>
      </c>
      <c r="H270" s="118"/>
      <c r="I270" s="118" t="str">
        <f>IFERROR(_xlfn.XLOOKUP($A270,'Raw Data'!$G:$G,'Raw Data'!$AF:$AF)/1000,"")</f>
        <v/>
      </c>
      <c r="J270" s="118"/>
      <c r="K270" s="118" t="str">
        <f>IFERROR(_xlfn.XLOOKUP($A270,'Raw Data'!$G:$G,'Raw Data'!W:W),"")</f>
        <v/>
      </c>
      <c r="L270" s="118" t="str">
        <f>IFERROR(_xlfn.XLOOKUP($A270,'Raw Data'!$G:$G,'Raw Data'!X:X),"")</f>
        <v/>
      </c>
      <c r="M270" s="118" t="str">
        <f>IFERROR(_xlfn.XLOOKUP($A270,'Raw Data'!$G:$G,'Raw Data'!Y:Y),"")</f>
        <v/>
      </c>
      <c r="N270" s="118" t="str">
        <f>IFERROR(_xlfn.XLOOKUP($A270,'Raw Data'!$G:$G,'Raw Data'!Z:Z),"")</f>
        <v/>
      </c>
      <c r="O270" s="145" t="str">
        <f>IFERROR(1-SUMIF('Plant BD'!$B:$B,$A270,'Plant BD'!$AM:$AM)/($AA270+SUMIF('Plant BD'!$B:$B,$A270,'Plant BD'!$AM:$AM)),"")</f>
        <v/>
      </c>
      <c r="P270" s="145"/>
      <c r="Q270" s="146"/>
      <c r="R270" s="145" t="str">
        <f>IFERROR(1-SUMIF('Grid BD'!$B:$B,$A270,'Grid BD'!$AE:$AE)/($AA270+SUMIF('Grid BD'!$B:$B,$A270,'Grid BD'!$AE:$AE)),"")</f>
        <v/>
      </c>
      <c r="T270" s="146" t="str">
        <f>IFERROR(1-SUMIF(Tracker_BD!$H:$H,$A270,Tracker_BD!AI:AI)/$F270,"")</f>
        <v/>
      </c>
      <c r="U270" s="147" t="str">
        <f t="shared" si="18"/>
        <v/>
      </c>
      <c r="V270" s="147"/>
      <c r="W270" s="148" t="str">
        <f t="shared" si="19"/>
        <v/>
      </c>
      <c r="X270" s="143" t="str">
        <f>IFERROR(_xlfn.XLOOKUP($A270,'Raw Data'!$G:$G,'Raw Data'!$AB:$AB),"")</f>
        <v/>
      </c>
      <c r="Y270" s="143" t="str">
        <f>IFERROR(_xlfn.XLOOKUP($A270,'Raw Data'!$G:$G,'Raw Data'!AC:AC),"")</f>
        <v/>
      </c>
      <c r="Z270" s="143" t="str">
        <f>IFERROR(_xlfn.XLOOKUP($A270,'Raw Data'!$G:$G,'Raw Data'!AD:AD),"")</f>
        <v/>
      </c>
      <c r="AA270" s="143" t="str">
        <f>IFERROR(_xlfn.XLOOKUP($A270,'Raw Data'!$G:$G,'Raw Data'!AE:AE)*(1+(_xlfn.XLOOKUP(Table13[[#This Row],[Month Year]],JMR!$A:$A,JMR!$J:$J))),"")</f>
        <v/>
      </c>
      <c r="AB270" s="143" t="str">
        <f>IFERROR(_xlfn.XLOOKUP($A270,'Raw Data'!$G:$G,'Raw Data'!$H:$H),"")</f>
        <v/>
      </c>
      <c r="AC270" s="149">
        <f>IFERROR(_xlfn.XLOOKUP($D270,'Modelling New'!$D:$D,'Modelling New'!$P:$P),"")</f>
        <v>5.3204721516128961</v>
      </c>
      <c r="AD270" s="143">
        <f>IFERROR(_xlfn.XLOOKUP($D270,'Modelling New'!$D:$D,'Modelling New'!$T:$T)*1000,"")</f>
        <v>48291.284576209961</v>
      </c>
      <c r="AE270" s="148">
        <f>IFERROR(_xlfn.XLOOKUP($D270,'Modelling New'!$D:$D,'Modelling New'!$O:$O),"")</f>
        <v>0.77444569867075796</v>
      </c>
      <c r="AF270" s="148">
        <f>IFERROR(_xlfn.XLOOKUP($D270,'Modelling New'!$D:$D,'Modelling New'!$W:$W),"")</f>
        <v>0.17168403219642334</v>
      </c>
      <c r="AG270" s="148">
        <f>IFERROR(_xlfn.XLOOKUP($D270,'Modelling New'!$D:$D,'Modelling New'!AE:AE),"")</f>
        <v>0.995</v>
      </c>
      <c r="AH270" s="148">
        <f>IFERROR(_xlfn.XLOOKUP($D270,'Modelling New'!$D:$D,'Modelling New'!AF:AF),"")</f>
        <v>0.98550000000000004</v>
      </c>
      <c r="AN270" s="145"/>
      <c r="AO270" s="148"/>
      <c r="AP270" s="148"/>
      <c r="AQ270" s="148"/>
      <c r="AR270" s="143">
        <f>IFERROR(_xlfn.XLOOKUP($D270,'Modelling New'!$D:$D,'Modelling New'!$N:$N),"")</f>
        <v>11.72</v>
      </c>
      <c r="AT270" s="143" t="str">
        <f>IFERROR(_xlfn.XLOOKUP(Table13[[#This Row],[Date]],'Raw Data'!$G:$G,'Raw Data'!$AJ:$AJ),"")</f>
        <v/>
      </c>
      <c r="AU270" s="143">
        <f>IFERROR(_xlfn.XLOOKUP(Table13[[#This Row],[Month Year]],'Modelling New'!$D:$D,'Modelling New'!$AO:$AO),"")</f>
        <v>10</v>
      </c>
      <c r="AV270" s="143"/>
    </row>
    <row r="271" spans="1:48">
      <c r="A271" s="142">
        <f t="shared" si="20"/>
        <v>46014</v>
      </c>
      <c r="B271" s="143">
        <f>YEAR(Table13[[#This Row],[Date]])+IF(MONTH(Table13[[#This Row],[Date]])&gt;=4,1,0)</f>
        <v>2026</v>
      </c>
      <c r="C271" s="116">
        <f>YEAR(Table13[[#This Row],[Date]])</f>
        <v>2025</v>
      </c>
      <c r="D271" s="144">
        <f>Table13[[#This Row],[Date]]-DAY(Table13[[#This Row],[Date]])+1</f>
        <v>45992</v>
      </c>
      <c r="E271" s="116">
        <f t="shared" si="17"/>
        <v>31</v>
      </c>
      <c r="F271" s="117" t="str">
        <f>IFERROR(_xlfn.XLOOKUP($A271,'Raw Data'!$G:$G,'Raw Data'!$AH:$AH),"")</f>
        <v/>
      </c>
      <c r="G271" s="118" t="str">
        <f>IFERROR(_xlfn.XLOOKUP($A271,'Raw Data'!$G:$G,'Raw Data'!$S:$S)/1000,"")</f>
        <v/>
      </c>
      <c r="H271" s="118"/>
      <c r="I271" s="118" t="str">
        <f>IFERROR(_xlfn.XLOOKUP($A271,'Raw Data'!$G:$G,'Raw Data'!$AF:$AF)/1000,"")</f>
        <v/>
      </c>
      <c r="J271" s="118"/>
      <c r="K271" s="118" t="str">
        <f>IFERROR(_xlfn.XLOOKUP($A271,'Raw Data'!$G:$G,'Raw Data'!W:W),"")</f>
        <v/>
      </c>
      <c r="L271" s="118" t="str">
        <f>IFERROR(_xlfn.XLOOKUP($A271,'Raw Data'!$G:$G,'Raw Data'!X:X),"")</f>
        <v/>
      </c>
      <c r="M271" s="118" t="str">
        <f>IFERROR(_xlfn.XLOOKUP($A271,'Raw Data'!$G:$G,'Raw Data'!Y:Y),"")</f>
        <v/>
      </c>
      <c r="N271" s="118" t="str">
        <f>IFERROR(_xlfn.XLOOKUP($A271,'Raw Data'!$G:$G,'Raw Data'!Z:Z),"")</f>
        <v/>
      </c>
      <c r="O271" s="145" t="str">
        <f>IFERROR(1-SUMIF('Plant BD'!$B:$B,$A271,'Plant BD'!$AM:$AM)/($AA271+SUMIF('Plant BD'!$B:$B,$A271,'Plant BD'!$AM:$AM)),"")</f>
        <v/>
      </c>
      <c r="P271" s="145"/>
      <c r="Q271" s="146"/>
      <c r="R271" s="145" t="str">
        <f>IFERROR(1-SUMIF('Grid BD'!$B:$B,$A271,'Grid BD'!$AE:$AE)/($AA271+SUMIF('Grid BD'!$B:$B,$A271,'Grid BD'!$AE:$AE)),"")</f>
        <v/>
      </c>
      <c r="T271" s="146" t="str">
        <f>IFERROR(1-SUMIF(Tracker_BD!$H:$H,$A271,Tracker_BD!AI:AI)/$F271,"")</f>
        <v/>
      </c>
      <c r="U271" s="147" t="str">
        <f t="shared" si="18"/>
        <v/>
      </c>
      <c r="V271" s="147"/>
      <c r="W271" s="148" t="str">
        <f t="shared" si="19"/>
        <v/>
      </c>
      <c r="X271" s="143" t="str">
        <f>IFERROR(_xlfn.XLOOKUP($A271,'Raw Data'!$G:$G,'Raw Data'!$AB:$AB),"")</f>
        <v/>
      </c>
      <c r="Y271" s="143" t="str">
        <f>IFERROR(_xlfn.XLOOKUP($A271,'Raw Data'!$G:$G,'Raw Data'!AC:AC),"")</f>
        <v/>
      </c>
      <c r="Z271" s="143" t="str">
        <f>IFERROR(_xlfn.XLOOKUP($A271,'Raw Data'!$G:$G,'Raw Data'!AD:AD),"")</f>
        <v/>
      </c>
      <c r="AA271" s="143" t="str">
        <f>IFERROR(_xlfn.XLOOKUP($A271,'Raw Data'!$G:$G,'Raw Data'!AE:AE)*(1+(_xlfn.XLOOKUP(Table13[[#This Row],[Month Year]],JMR!$A:$A,JMR!$J:$J))),"")</f>
        <v/>
      </c>
      <c r="AB271" s="143" t="str">
        <f>IFERROR(_xlfn.XLOOKUP($A271,'Raw Data'!$G:$G,'Raw Data'!$H:$H),"")</f>
        <v/>
      </c>
      <c r="AC271" s="149">
        <f>IFERROR(_xlfn.XLOOKUP($D271,'Modelling New'!$D:$D,'Modelling New'!$P:$P),"")</f>
        <v>5.3204721516128961</v>
      </c>
      <c r="AD271" s="143">
        <f>IFERROR(_xlfn.XLOOKUP($D271,'Modelling New'!$D:$D,'Modelling New'!$T:$T)*1000,"")</f>
        <v>48291.284576209961</v>
      </c>
      <c r="AE271" s="148">
        <f>IFERROR(_xlfn.XLOOKUP($D271,'Modelling New'!$D:$D,'Modelling New'!$O:$O),"")</f>
        <v>0.77444569867075796</v>
      </c>
      <c r="AF271" s="148">
        <f>IFERROR(_xlfn.XLOOKUP($D271,'Modelling New'!$D:$D,'Modelling New'!$W:$W),"")</f>
        <v>0.17168403219642334</v>
      </c>
      <c r="AG271" s="148">
        <f>IFERROR(_xlfn.XLOOKUP($D271,'Modelling New'!$D:$D,'Modelling New'!AE:AE),"")</f>
        <v>0.995</v>
      </c>
      <c r="AH271" s="148">
        <f>IFERROR(_xlfn.XLOOKUP($D271,'Modelling New'!$D:$D,'Modelling New'!AF:AF),"")</f>
        <v>0.98550000000000004</v>
      </c>
      <c r="AN271" s="145"/>
      <c r="AO271" s="148"/>
      <c r="AP271" s="148"/>
      <c r="AQ271" s="148"/>
      <c r="AR271" s="143">
        <f>IFERROR(_xlfn.XLOOKUP($D271,'Modelling New'!$D:$D,'Modelling New'!$N:$N),"")</f>
        <v>11.72</v>
      </c>
      <c r="AT271" s="143" t="str">
        <f>IFERROR(_xlfn.XLOOKUP(Table13[[#This Row],[Date]],'Raw Data'!$G:$G,'Raw Data'!$AJ:$AJ),"")</f>
        <v/>
      </c>
      <c r="AU271" s="143">
        <f>IFERROR(_xlfn.XLOOKUP(Table13[[#This Row],[Month Year]],'Modelling New'!$D:$D,'Modelling New'!$AO:$AO),"")</f>
        <v>10</v>
      </c>
      <c r="AV271" s="143"/>
    </row>
    <row r="272" spans="1:48">
      <c r="A272" s="142">
        <f t="shared" si="20"/>
        <v>46015</v>
      </c>
      <c r="B272" s="143">
        <f>YEAR(Table13[[#This Row],[Date]])+IF(MONTH(Table13[[#This Row],[Date]])&gt;=4,1,0)</f>
        <v>2026</v>
      </c>
      <c r="C272" s="116">
        <f>YEAR(Table13[[#This Row],[Date]])</f>
        <v>2025</v>
      </c>
      <c r="D272" s="144">
        <f>Table13[[#This Row],[Date]]-DAY(Table13[[#This Row],[Date]])+1</f>
        <v>45992</v>
      </c>
      <c r="E272" s="116">
        <f t="shared" si="17"/>
        <v>31</v>
      </c>
      <c r="F272" s="117" t="str">
        <f>IFERROR(_xlfn.XLOOKUP($A272,'Raw Data'!$G:$G,'Raw Data'!$AH:$AH),"")</f>
        <v/>
      </c>
      <c r="G272" s="118" t="str">
        <f>IFERROR(_xlfn.XLOOKUP($A272,'Raw Data'!$G:$G,'Raw Data'!$S:$S)/1000,"")</f>
        <v/>
      </c>
      <c r="H272" s="118"/>
      <c r="I272" s="118" t="str">
        <f>IFERROR(_xlfn.XLOOKUP($A272,'Raw Data'!$G:$G,'Raw Data'!$AF:$AF)/1000,"")</f>
        <v/>
      </c>
      <c r="J272" s="118"/>
      <c r="K272" s="118" t="str">
        <f>IFERROR(_xlfn.XLOOKUP($A272,'Raw Data'!$G:$G,'Raw Data'!W:W),"")</f>
        <v/>
      </c>
      <c r="L272" s="118" t="str">
        <f>IFERROR(_xlfn.XLOOKUP($A272,'Raw Data'!$G:$G,'Raw Data'!X:X),"")</f>
        <v/>
      </c>
      <c r="M272" s="118" t="str">
        <f>IFERROR(_xlfn.XLOOKUP($A272,'Raw Data'!$G:$G,'Raw Data'!Y:Y),"")</f>
        <v/>
      </c>
      <c r="N272" s="118" t="str">
        <f>IFERROR(_xlfn.XLOOKUP($A272,'Raw Data'!$G:$G,'Raw Data'!Z:Z),"")</f>
        <v/>
      </c>
      <c r="O272" s="145" t="str">
        <f>IFERROR(1-SUMIF('Plant BD'!$B:$B,$A272,'Plant BD'!$AM:$AM)/($AA272+SUMIF('Plant BD'!$B:$B,$A272,'Plant BD'!$AM:$AM)),"")</f>
        <v/>
      </c>
      <c r="P272" s="145"/>
      <c r="Q272" s="146"/>
      <c r="R272" s="145" t="str">
        <f>IFERROR(1-SUMIF('Grid BD'!$B:$B,$A272,'Grid BD'!$AE:$AE)/($AA272+SUMIF('Grid BD'!$B:$B,$A272,'Grid BD'!$AE:$AE)),"")</f>
        <v/>
      </c>
      <c r="T272" s="146" t="str">
        <f>IFERROR(1-SUMIF(Tracker_BD!$H:$H,$A272,Tracker_BD!AI:AI)/$F272,"")</f>
        <v/>
      </c>
      <c r="U272" s="147" t="str">
        <f t="shared" si="18"/>
        <v/>
      </c>
      <c r="V272" s="147"/>
      <c r="W272" s="148" t="str">
        <f t="shared" si="19"/>
        <v/>
      </c>
      <c r="X272" s="143" t="str">
        <f>IFERROR(_xlfn.XLOOKUP($A272,'Raw Data'!$G:$G,'Raw Data'!$AB:$AB),"")</f>
        <v/>
      </c>
      <c r="Y272" s="143" t="str">
        <f>IFERROR(_xlfn.XLOOKUP($A272,'Raw Data'!$G:$G,'Raw Data'!AC:AC),"")</f>
        <v/>
      </c>
      <c r="Z272" s="143" t="str">
        <f>IFERROR(_xlfn.XLOOKUP($A272,'Raw Data'!$G:$G,'Raw Data'!AD:AD),"")</f>
        <v/>
      </c>
      <c r="AA272" s="143" t="str">
        <f>IFERROR(_xlfn.XLOOKUP($A272,'Raw Data'!$G:$G,'Raw Data'!AE:AE)*(1+(_xlfn.XLOOKUP(Table13[[#This Row],[Month Year]],JMR!$A:$A,JMR!$J:$J))),"")</f>
        <v/>
      </c>
      <c r="AB272" s="143" t="str">
        <f>IFERROR(_xlfn.XLOOKUP($A272,'Raw Data'!$G:$G,'Raw Data'!$H:$H),"")</f>
        <v/>
      </c>
      <c r="AC272" s="149">
        <f>IFERROR(_xlfn.XLOOKUP($D272,'Modelling New'!$D:$D,'Modelling New'!$P:$P),"")</f>
        <v>5.3204721516128961</v>
      </c>
      <c r="AD272" s="143">
        <f>IFERROR(_xlfn.XLOOKUP($D272,'Modelling New'!$D:$D,'Modelling New'!$T:$T)*1000,"")</f>
        <v>48291.284576209961</v>
      </c>
      <c r="AE272" s="148">
        <f>IFERROR(_xlfn.XLOOKUP($D272,'Modelling New'!$D:$D,'Modelling New'!$O:$O),"")</f>
        <v>0.77444569867075796</v>
      </c>
      <c r="AF272" s="148">
        <f>IFERROR(_xlfn.XLOOKUP($D272,'Modelling New'!$D:$D,'Modelling New'!$W:$W),"")</f>
        <v>0.17168403219642334</v>
      </c>
      <c r="AG272" s="148">
        <f>IFERROR(_xlfn.XLOOKUP($D272,'Modelling New'!$D:$D,'Modelling New'!AE:AE),"")</f>
        <v>0.995</v>
      </c>
      <c r="AH272" s="148">
        <f>IFERROR(_xlfn.XLOOKUP($D272,'Modelling New'!$D:$D,'Modelling New'!AF:AF),"")</f>
        <v>0.98550000000000004</v>
      </c>
      <c r="AN272" s="145"/>
      <c r="AO272" s="148"/>
      <c r="AP272" s="148"/>
      <c r="AQ272" s="148"/>
      <c r="AR272" s="143">
        <f>IFERROR(_xlfn.XLOOKUP($D272,'Modelling New'!$D:$D,'Modelling New'!$N:$N),"")</f>
        <v>11.72</v>
      </c>
      <c r="AT272" s="143" t="str">
        <f>IFERROR(_xlfn.XLOOKUP(Table13[[#This Row],[Date]],'Raw Data'!$G:$G,'Raw Data'!$AJ:$AJ),"")</f>
        <v/>
      </c>
      <c r="AU272" s="143">
        <f>IFERROR(_xlfn.XLOOKUP(Table13[[#This Row],[Month Year]],'Modelling New'!$D:$D,'Modelling New'!$AO:$AO),"")</f>
        <v>10</v>
      </c>
      <c r="AV272" s="143"/>
    </row>
    <row r="273" spans="1:48">
      <c r="A273" s="142">
        <f t="shared" si="20"/>
        <v>46016</v>
      </c>
      <c r="B273" s="143">
        <f>YEAR(Table13[[#This Row],[Date]])+IF(MONTH(Table13[[#This Row],[Date]])&gt;=4,1,0)</f>
        <v>2026</v>
      </c>
      <c r="C273" s="116">
        <f>YEAR(Table13[[#This Row],[Date]])</f>
        <v>2025</v>
      </c>
      <c r="D273" s="144">
        <f>Table13[[#This Row],[Date]]-DAY(Table13[[#This Row],[Date]])+1</f>
        <v>45992</v>
      </c>
      <c r="E273" s="116">
        <f t="shared" si="17"/>
        <v>31</v>
      </c>
      <c r="F273" s="117" t="str">
        <f>IFERROR(_xlfn.XLOOKUP($A273,'Raw Data'!$G:$G,'Raw Data'!$AH:$AH),"")</f>
        <v/>
      </c>
      <c r="G273" s="118" t="str">
        <f>IFERROR(_xlfn.XLOOKUP($A273,'Raw Data'!$G:$G,'Raw Data'!$S:$S)/1000,"")</f>
        <v/>
      </c>
      <c r="H273" s="118"/>
      <c r="I273" s="118" t="str">
        <f>IFERROR(_xlfn.XLOOKUP($A273,'Raw Data'!$G:$G,'Raw Data'!$AF:$AF)/1000,"")</f>
        <v/>
      </c>
      <c r="J273" s="118"/>
      <c r="K273" s="118" t="str">
        <f>IFERROR(_xlfn.XLOOKUP($A273,'Raw Data'!$G:$G,'Raw Data'!W:W),"")</f>
        <v/>
      </c>
      <c r="L273" s="118" t="str">
        <f>IFERROR(_xlfn.XLOOKUP($A273,'Raw Data'!$G:$G,'Raw Data'!X:X),"")</f>
        <v/>
      </c>
      <c r="M273" s="118" t="str">
        <f>IFERROR(_xlfn.XLOOKUP($A273,'Raw Data'!$G:$G,'Raw Data'!Y:Y),"")</f>
        <v/>
      </c>
      <c r="N273" s="118" t="str">
        <f>IFERROR(_xlfn.XLOOKUP($A273,'Raw Data'!$G:$G,'Raw Data'!Z:Z),"")</f>
        <v/>
      </c>
      <c r="O273" s="145" t="str">
        <f>IFERROR(1-SUMIF('Plant BD'!$B:$B,$A273,'Plant BD'!$AM:$AM)/($AA273+SUMIF('Plant BD'!$B:$B,$A273,'Plant BD'!$AM:$AM)),"")</f>
        <v/>
      </c>
      <c r="P273" s="145"/>
      <c r="Q273" s="146"/>
      <c r="R273" s="145" t="str">
        <f>IFERROR(1-SUMIF('Grid BD'!$B:$B,$A273,'Grid BD'!$AE:$AE)/($AA273+SUMIF('Grid BD'!$B:$B,$A273,'Grid BD'!$AE:$AE)),"")</f>
        <v/>
      </c>
      <c r="T273" s="146" t="str">
        <f>IFERROR(1-SUMIF(Tracker_BD!$H:$H,$A273,Tracker_BD!AI:AI)/$F273,"")</f>
        <v/>
      </c>
      <c r="U273" s="147" t="str">
        <f t="shared" si="18"/>
        <v/>
      </c>
      <c r="V273" s="147"/>
      <c r="W273" s="148" t="str">
        <f t="shared" si="19"/>
        <v/>
      </c>
      <c r="X273" s="143" t="str">
        <f>IFERROR(_xlfn.XLOOKUP($A273,'Raw Data'!$G:$G,'Raw Data'!$AB:$AB),"")</f>
        <v/>
      </c>
      <c r="Y273" s="143" t="str">
        <f>IFERROR(_xlfn.XLOOKUP($A273,'Raw Data'!$G:$G,'Raw Data'!AC:AC),"")</f>
        <v/>
      </c>
      <c r="Z273" s="143" t="str">
        <f>IFERROR(_xlfn.XLOOKUP($A273,'Raw Data'!$G:$G,'Raw Data'!AD:AD),"")</f>
        <v/>
      </c>
      <c r="AA273" s="143" t="str">
        <f>IFERROR(_xlfn.XLOOKUP($A273,'Raw Data'!$G:$G,'Raw Data'!AE:AE)*(1+(_xlfn.XLOOKUP(Table13[[#This Row],[Month Year]],JMR!$A:$A,JMR!$J:$J))),"")</f>
        <v/>
      </c>
      <c r="AB273" s="143" t="str">
        <f>IFERROR(_xlfn.XLOOKUP($A273,'Raw Data'!$G:$G,'Raw Data'!$H:$H),"")</f>
        <v/>
      </c>
      <c r="AC273" s="149">
        <f>IFERROR(_xlfn.XLOOKUP($D273,'Modelling New'!$D:$D,'Modelling New'!$P:$P),"")</f>
        <v>5.3204721516128961</v>
      </c>
      <c r="AD273" s="143">
        <f>IFERROR(_xlfn.XLOOKUP($D273,'Modelling New'!$D:$D,'Modelling New'!$T:$T)*1000,"")</f>
        <v>48291.284576209961</v>
      </c>
      <c r="AE273" s="148">
        <f>IFERROR(_xlfn.XLOOKUP($D273,'Modelling New'!$D:$D,'Modelling New'!$O:$O),"")</f>
        <v>0.77444569867075796</v>
      </c>
      <c r="AF273" s="148">
        <f>IFERROR(_xlfn.XLOOKUP($D273,'Modelling New'!$D:$D,'Modelling New'!$W:$W),"")</f>
        <v>0.17168403219642334</v>
      </c>
      <c r="AG273" s="148">
        <f>IFERROR(_xlfn.XLOOKUP($D273,'Modelling New'!$D:$D,'Modelling New'!AE:AE),"")</f>
        <v>0.995</v>
      </c>
      <c r="AH273" s="148">
        <f>IFERROR(_xlfn.XLOOKUP($D273,'Modelling New'!$D:$D,'Modelling New'!AF:AF),"")</f>
        <v>0.98550000000000004</v>
      </c>
      <c r="AN273" s="145"/>
      <c r="AO273" s="148"/>
      <c r="AP273" s="148"/>
      <c r="AQ273" s="148"/>
      <c r="AR273" s="143">
        <f>IFERROR(_xlfn.XLOOKUP($D273,'Modelling New'!$D:$D,'Modelling New'!$N:$N),"")</f>
        <v>11.72</v>
      </c>
      <c r="AT273" s="143" t="str">
        <f>IFERROR(_xlfn.XLOOKUP(Table13[[#This Row],[Date]],'Raw Data'!$G:$G,'Raw Data'!$AJ:$AJ),"")</f>
        <v/>
      </c>
      <c r="AU273" s="143">
        <f>IFERROR(_xlfn.XLOOKUP(Table13[[#This Row],[Month Year]],'Modelling New'!$D:$D,'Modelling New'!$AO:$AO),"")</f>
        <v>10</v>
      </c>
      <c r="AV273" s="143"/>
    </row>
    <row r="274" spans="1:48">
      <c r="A274" s="142">
        <f t="shared" si="20"/>
        <v>46017</v>
      </c>
      <c r="B274" s="143">
        <f>YEAR(Table13[[#This Row],[Date]])+IF(MONTH(Table13[[#This Row],[Date]])&gt;=4,1,0)</f>
        <v>2026</v>
      </c>
      <c r="C274" s="116">
        <f>YEAR(Table13[[#This Row],[Date]])</f>
        <v>2025</v>
      </c>
      <c r="D274" s="144">
        <f>Table13[[#This Row],[Date]]-DAY(Table13[[#This Row],[Date]])+1</f>
        <v>45992</v>
      </c>
      <c r="E274" s="116">
        <f t="shared" si="17"/>
        <v>31</v>
      </c>
      <c r="F274" s="117" t="str">
        <f>IFERROR(_xlfn.XLOOKUP($A274,'Raw Data'!$G:$G,'Raw Data'!$AH:$AH),"")</f>
        <v/>
      </c>
      <c r="G274" s="118" t="str">
        <f>IFERROR(_xlfn.XLOOKUP($A274,'Raw Data'!$G:$G,'Raw Data'!$S:$S)/1000,"")</f>
        <v/>
      </c>
      <c r="H274" s="118"/>
      <c r="I274" s="118" t="str">
        <f>IFERROR(_xlfn.XLOOKUP($A274,'Raw Data'!$G:$G,'Raw Data'!$AF:$AF)/1000,"")</f>
        <v/>
      </c>
      <c r="J274" s="118"/>
      <c r="K274" s="118" t="str">
        <f>IFERROR(_xlfn.XLOOKUP($A274,'Raw Data'!$G:$G,'Raw Data'!W:W),"")</f>
        <v/>
      </c>
      <c r="L274" s="118" t="str">
        <f>IFERROR(_xlfn.XLOOKUP($A274,'Raw Data'!$G:$G,'Raw Data'!X:X),"")</f>
        <v/>
      </c>
      <c r="M274" s="118" t="str">
        <f>IFERROR(_xlfn.XLOOKUP($A274,'Raw Data'!$G:$G,'Raw Data'!Y:Y),"")</f>
        <v/>
      </c>
      <c r="N274" s="118" t="str">
        <f>IFERROR(_xlfn.XLOOKUP($A274,'Raw Data'!$G:$G,'Raw Data'!Z:Z),"")</f>
        <v/>
      </c>
      <c r="O274" s="145" t="str">
        <f>IFERROR(1-SUMIF('Plant BD'!$B:$B,$A274,'Plant BD'!$AM:$AM)/($AA274+SUMIF('Plant BD'!$B:$B,$A274,'Plant BD'!$AM:$AM)),"")</f>
        <v/>
      </c>
      <c r="P274" s="145"/>
      <c r="Q274" s="146"/>
      <c r="R274" s="145" t="str">
        <f>IFERROR(1-SUMIF('Grid BD'!$B:$B,$A274,'Grid BD'!$AE:$AE)/($AA274+SUMIF('Grid BD'!$B:$B,$A274,'Grid BD'!$AE:$AE)),"")</f>
        <v/>
      </c>
      <c r="T274" s="146" t="str">
        <f>IFERROR(1-SUMIF(Tracker_BD!$H:$H,$A274,Tracker_BD!AI:AI)/$F274,"")</f>
        <v/>
      </c>
      <c r="U274" s="147" t="str">
        <f t="shared" si="18"/>
        <v/>
      </c>
      <c r="V274" s="147"/>
      <c r="W274" s="148" t="str">
        <f t="shared" si="19"/>
        <v/>
      </c>
      <c r="X274" s="143" t="str">
        <f>IFERROR(_xlfn.XLOOKUP($A274,'Raw Data'!$G:$G,'Raw Data'!$AB:$AB),"")</f>
        <v/>
      </c>
      <c r="Y274" s="143" t="str">
        <f>IFERROR(_xlfn.XLOOKUP($A274,'Raw Data'!$G:$G,'Raw Data'!AC:AC),"")</f>
        <v/>
      </c>
      <c r="Z274" s="143" t="str">
        <f>IFERROR(_xlfn.XLOOKUP($A274,'Raw Data'!$G:$G,'Raw Data'!AD:AD),"")</f>
        <v/>
      </c>
      <c r="AA274" s="143" t="str">
        <f>IFERROR(_xlfn.XLOOKUP($A274,'Raw Data'!$G:$G,'Raw Data'!AE:AE)*(1+(_xlfn.XLOOKUP(Table13[[#This Row],[Month Year]],JMR!$A:$A,JMR!$J:$J))),"")</f>
        <v/>
      </c>
      <c r="AB274" s="143" t="str">
        <f>IFERROR(_xlfn.XLOOKUP($A274,'Raw Data'!$G:$G,'Raw Data'!$H:$H),"")</f>
        <v/>
      </c>
      <c r="AC274" s="149">
        <f>IFERROR(_xlfn.XLOOKUP($D274,'Modelling New'!$D:$D,'Modelling New'!$P:$P),"")</f>
        <v>5.3204721516128961</v>
      </c>
      <c r="AD274" s="143">
        <f>IFERROR(_xlfn.XLOOKUP($D274,'Modelling New'!$D:$D,'Modelling New'!$T:$T)*1000,"")</f>
        <v>48291.284576209961</v>
      </c>
      <c r="AE274" s="148">
        <f>IFERROR(_xlfn.XLOOKUP($D274,'Modelling New'!$D:$D,'Modelling New'!$O:$O),"")</f>
        <v>0.77444569867075796</v>
      </c>
      <c r="AF274" s="148">
        <f>IFERROR(_xlfn.XLOOKUP($D274,'Modelling New'!$D:$D,'Modelling New'!$W:$W),"")</f>
        <v>0.17168403219642334</v>
      </c>
      <c r="AG274" s="148">
        <f>IFERROR(_xlfn.XLOOKUP($D274,'Modelling New'!$D:$D,'Modelling New'!AE:AE),"")</f>
        <v>0.995</v>
      </c>
      <c r="AH274" s="148">
        <f>IFERROR(_xlfn.XLOOKUP($D274,'Modelling New'!$D:$D,'Modelling New'!AF:AF),"")</f>
        <v>0.98550000000000004</v>
      </c>
      <c r="AN274" s="145"/>
      <c r="AO274" s="148"/>
      <c r="AP274" s="148"/>
      <c r="AQ274" s="148"/>
      <c r="AR274" s="143">
        <f>IFERROR(_xlfn.XLOOKUP($D274,'Modelling New'!$D:$D,'Modelling New'!$N:$N),"")</f>
        <v>11.72</v>
      </c>
      <c r="AT274" s="143" t="str">
        <f>IFERROR(_xlfn.XLOOKUP(Table13[[#This Row],[Date]],'Raw Data'!$G:$G,'Raw Data'!$AJ:$AJ),"")</f>
        <v/>
      </c>
      <c r="AU274" s="143">
        <f>IFERROR(_xlfn.XLOOKUP(Table13[[#This Row],[Month Year]],'Modelling New'!$D:$D,'Modelling New'!$AO:$AO),"")</f>
        <v>10</v>
      </c>
      <c r="AV274" s="143"/>
    </row>
    <row r="275" spans="1:48">
      <c r="A275" s="142">
        <f t="shared" si="20"/>
        <v>46018</v>
      </c>
      <c r="B275" s="143">
        <f>YEAR(Table13[[#This Row],[Date]])+IF(MONTH(Table13[[#This Row],[Date]])&gt;=4,1,0)</f>
        <v>2026</v>
      </c>
      <c r="C275" s="116">
        <f>YEAR(Table13[[#This Row],[Date]])</f>
        <v>2025</v>
      </c>
      <c r="D275" s="144">
        <f>Table13[[#This Row],[Date]]-DAY(Table13[[#This Row],[Date]])+1</f>
        <v>45992</v>
      </c>
      <c r="E275" s="116">
        <f t="shared" si="17"/>
        <v>31</v>
      </c>
      <c r="F275" s="117" t="str">
        <f>IFERROR(_xlfn.XLOOKUP($A275,'Raw Data'!$G:$G,'Raw Data'!$AH:$AH),"")</f>
        <v/>
      </c>
      <c r="G275" s="118" t="str">
        <f>IFERROR(_xlfn.XLOOKUP($A275,'Raw Data'!$G:$G,'Raw Data'!$S:$S)/1000,"")</f>
        <v/>
      </c>
      <c r="H275" s="118"/>
      <c r="I275" s="118" t="str">
        <f>IFERROR(_xlfn.XLOOKUP($A275,'Raw Data'!$G:$G,'Raw Data'!$AF:$AF)/1000,"")</f>
        <v/>
      </c>
      <c r="J275" s="118"/>
      <c r="K275" s="118" t="str">
        <f>IFERROR(_xlfn.XLOOKUP($A275,'Raw Data'!$G:$G,'Raw Data'!W:W),"")</f>
        <v/>
      </c>
      <c r="L275" s="118" t="str">
        <f>IFERROR(_xlfn.XLOOKUP($A275,'Raw Data'!$G:$G,'Raw Data'!X:X),"")</f>
        <v/>
      </c>
      <c r="M275" s="118" t="str">
        <f>IFERROR(_xlfn.XLOOKUP($A275,'Raw Data'!$G:$G,'Raw Data'!Y:Y),"")</f>
        <v/>
      </c>
      <c r="N275" s="118" t="str">
        <f>IFERROR(_xlfn.XLOOKUP($A275,'Raw Data'!$G:$G,'Raw Data'!Z:Z),"")</f>
        <v/>
      </c>
      <c r="O275" s="145" t="str">
        <f>IFERROR(1-SUMIF('Plant BD'!$B:$B,$A275,'Plant BD'!$AM:$AM)/($AA275+SUMIF('Plant BD'!$B:$B,$A275,'Plant BD'!$AM:$AM)),"")</f>
        <v/>
      </c>
      <c r="P275" s="145"/>
      <c r="Q275" s="146"/>
      <c r="R275" s="145" t="str">
        <f>IFERROR(1-SUMIF('Grid BD'!$B:$B,$A275,'Grid BD'!$AE:$AE)/($AA275+SUMIF('Grid BD'!$B:$B,$A275,'Grid BD'!$AE:$AE)),"")</f>
        <v/>
      </c>
      <c r="T275" s="146" t="str">
        <f>IFERROR(1-SUMIF(Tracker_BD!$H:$H,$A275,Tracker_BD!AI:AI)/$F275,"")</f>
        <v/>
      </c>
      <c r="U275" s="147" t="str">
        <f t="shared" si="18"/>
        <v/>
      </c>
      <c r="V275" s="147"/>
      <c r="W275" s="148" t="str">
        <f t="shared" si="19"/>
        <v/>
      </c>
      <c r="X275" s="143" t="str">
        <f>IFERROR(_xlfn.XLOOKUP($A275,'Raw Data'!$G:$G,'Raw Data'!$AB:$AB),"")</f>
        <v/>
      </c>
      <c r="Y275" s="143" t="str">
        <f>IFERROR(_xlfn.XLOOKUP($A275,'Raw Data'!$G:$G,'Raw Data'!AC:AC),"")</f>
        <v/>
      </c>
      <c r="Z275" s="143" t="str">
        <f>IFERROR(_xlfn.XLOOKUP($A275,'Raw Data'!$G:$G,'Raw Data'!AD:AD),"")</f>
        <v/>
      </c>
      <c r="AA275" s="143" t="str">
        <f>IFERROR(_xlfn.XLOOKUP($A275,'Raw Data'!$G:$G,'Raw Data'!AE:AE)*(1+(_xlfn.XLOOKUP(Table13[[#This Row],[Month Year]],JMR!$A:$A,JMR!$J:$J))),"")</f>
        <v/>
      </c>
      <c r="AB275" s="143" t="str">
        <f>IFERROR(_xlfn.XLOOKUP($A275,'Raw Data'!$G:$G,'Raw Data'!$H:$H),"")</f>
        <v/>
      </c>
      <c r="AC275" s="149">
        <f>IFERROR(_xlfn.XLOOKUP($D275,'Modelling New'!$D:$D,'Modelling New'!$P:$P),"")</f>
        <v>5.3204721516128961</v>
      </c>
      <c r="AD275" s="143">
        <f>IFERROR(_xlfn.XLOOKUP($D275,'Modelling New'!$D:$D,'Modelling New'!$T:$T)*1000,"")</f>
        <v>48291.284576209961</v>
      </c>
      <c r="AE275" s="148">
        <f>IFERROR(_xlfn.XLOOKUP($D275,'Modelling New'!$D:$D,'Modelling New'!$O:$O),"")</f>
        <v>0.77444569867075796</v>
      </c>
      <c r="AF275" s="148">
        <f>IFERROR(_xlfn.XLOOKUP($D275,'Modelling New'!$D:$D,'Modelling New'!$W:$W),"")</f>
        <v>0.17168403219642334</v>
      </c>
      <c r="AG275" s="148">
        <f>IFERROR(_xlfn.XLOOKUP($D275,'Modelling New'!$D:$D,'Modelling New'!AE:AE),"")</f>
        <v>0.995</v>
      </c>
      <c r="AH275" s="148">
        <f>IFERROR(_xlfn.XLOOKUP($D275,'Modelling New'!$D:$D,'Modelling New'!AF:AF),"")</f>
        <v>0.98550000000000004</v>
      </c>
      <c r="AN275" s="145"/>
      <c r="AO275" s="148"/>
      <c r="AP275" s="148"/>
      <c r="AQ275" s="148"/>
      <c r="AR275" s="143">
        <f>IFERROR(_xlfn.XLOOKUP($D275,'Modelling New'!$D:$D,'Modelling New'!$N:$N),"")</f>
        <v>11.72</v>
      </c>
      <c r="AT275" s="143" t="str">
        <f>IFERROR(_xlfn.XLOOKUP(Table13[[#This Row],[Date]],'Raw Data'!$G:$G,'Raw Data'!$AJ:$AJ),"")</f>
        <v/>
      </c>
      <c r="AU275" s="143">
        <f>IFERROR(_xlfn.XLOOKUP(Table13[[#This Row],[Month Year]],'Modelling New'!$D:$D,'Modelling New'!$AO:$AO),"")</f>
        <v>10</v>
      </c>
      <c r="AV275" s="143"/>
    </row>
    <row r="276" spans="1:48">
      <c r="A276" s="142">
        <f t="shared" si="20"/>
        <v>46019</v>
      </c>
      <c r="B276" s="143">
        <f>YEAR(Table13[[#This Row],[Date]])+IF(MONTH(Table13[[#This Row],[Date]])&gt;=4,1,0)</f>
        <v>2026</v>
      </c>
      <c r="C276" s="116">
        <f>YEAR(Table13[[#This Row],[Date]])</f>
        <v>2025</v>
      </c>
      <c r="D276" s="144">
        <f>Table13[[#This Row],[Date]]-DAY(Table13[[#This Row],[Date]])+1</f>
        <v>45992</v>
      </c>
      <c r="E276" s="116">
        <f t="shared" si="17"/>
        <v>31</v>
      </c>
      <c r="F276" s="117" t="str">
        <f>IFERROR(_xlfn.XLOOKUP($A276,'Raw Data'!$G:$G,'Raw Data'!$AH:$AH),"")</f>
        <v/>
      </c>
      <c r="G276" s="118" t="str">
        <f>IFERROR(_xlfn.XLOOKUP($A276,'Raw Data'!$G:$G,'Raw Data'!$S:$S)/1000,"")</f>
        <v/>
      </c>
      <c r="H276" s="118"/>
      <c r="I276" s="118" t="str">
        <f>IFERROR(_xlfn.XLOOKUP($A276,'Raw Data'!$G:$G,'Raw Data'!$AF:$AF)/1000,"")</f>
        <v/>
      </c>
      <c r="J276" s="118"/>
      <c r="K276" s="118" t="str">
        <f>IFERROR(_xlfn.XLOOKUP($A276,'Raw Data'!$G:$G,'Raw Data'!W:W),"")</f>
        <v/>
      </c>
      <c r="L276" s="118" t="str">
        <f>IFERROR(_xlfn.XLOOKUP($A276,'Raw Data'!$G:$G,'Raw Data'!X:X),"")</f>
        <v/>
      </c>
      <c r="M276" s="118" t="str">
        <f>IFERROR(_xlfn.XLOOKUP($A276,'Raw Data'!$G:$G,'Raw Data'!Y:Y),"")</f>
        <v/>
      </c>
      <c r="N276" s="118" t="str">
        <f>IFERROR(_xlfn.XLOOKUP($A276,'Raw Data'!$G:$G,'Raw Data'!Z:Z),"")</f>
        <v/>
      </c>
      <c r="O276" s="145" t="str">
        <f>IFERROR(1-SUMIF('Plant BD'!$B:$B,$A276,'Plant BD'!$AM:$AM)/($AA276+SUMIF('Plant BD'!$B:$B,$A276,'Plant BD'!$AM:$AM)),"")</f>
        <v/>
      </c>
      <c r="P276" s="145"/>
      <c r="Q276" s="146"/>
      <c r="R276" s="145" t="str">
        <f>IFERROR(1-SUMIF('Grid BD'!$B:$B,$A276,'Grid BD'!$AE:$AE)/($AA276+SUMIF('Grid BD'!$B:$B,$A276,'Grid BD'!$AE:$AE)),"")</f>
        <v/>
      </c>
      <c r="T276" s="146" t="str">
        <f>IFERROR(1-SUMIF(Tracker_BD!$H:$H,$A276,Tracker_BD!AI:AI)/$F276,"")</f>
        <v/>
      </c>
      <c r="U276" s="147" t="str">
        <f t="shared" si="18"/>
        <v/>
      </c>
      <c r="V276" s="147"/>
      <c r="W276" s="148" t="str">
        <f t="shared" si="19"/>
        <v/>
      </c>
      <c r="X276" s="143" t="str">
        <f>IFERROR(_xlfn.XLOOKUP($A276,'Raw Data'!$G:$G,'Raw Data'!$AB:$AB),"")</f>
        <v/>
      </c>
      <c r="Y276" s="143" t="str">
        <f>IFERROR(_xlfn.XLOOKUP($A276,'Raw Data'!$G:$G,'Raw Data'!AC:AC),"")</f>
        <v/>
      </c>
      <c r="Z276" s="143" t="str">
        <f>IFERROR(_xlfn.XLOOKUP($A276,'Raw Data'!$G:$G,'Raw Data'!AD:AD),"")</f>
        <v/>
      </c>
      <c r="AA276" s="143" t="str">
        <f>IFERROR(_xlfn.XLOOKUP($A276,'Raw Data'!$G:$G,'Raw Data'!AE:AE)*(1+(_xlfn.XLOOKUP(Table13[[#This Row],[Month Year]],JMR!$A:$A,JMR!$J:$J))),"")</f>
        <v/>
      </c>
      <c r="AB276" s="143" t="str">
        <f>IFERROR(_xlfn.XLOOKUP($A276,'Raw Data'!$G:$G,'Raw Data'!$H:$H),"")</f>
        <v/>
      </c>
      <c r="AC276" s="149">
        <f>IFERROR(_xlfn.XLOOKUP($D276,'Modelling New'!$D:$D,'Modelling New'!$P:$P),"")</f>
        <v>5.3204721516128961</v>
      </c>
      <c r="AD276" s="143">
        <f>IFERROR(_xlfn.XLOOKUP($D276,'Modelling New'!$D:$D,'Modelling New'!$T:$T)*1000,"")</f>
        <v>48291.284576209961</v>
      </c>
      <c r="AE276" s="148">
        <f>IFERROR(_xlfn.XLOOKUP($D276,'Modelling New'!$D:$D,'Modelling New'!$O:$O),"")</f>
        <v>0.77444569867075796</v>
      </c>
      <c r="AF276" s="148">
        <f>IFERROR(_xlfn.XLOOKUP($D276,'Modelling New'!$D:$D,'Modelling New'!$W:$W),"")</f>
        <v>0.17168403219642334</v>
      </c>
      <c r="AG276" s="148">
        <f>IFERROR(_xlfn.XLOOKUP($D276,'Modelling New'!$D:$D,'Modelling New'!AE:AE),"")</f>
        <v>0.995</v>
      </c>
      <c r="AH276" s="148">
        <f>IFERROR(_xlfn.XLOOKUP($D276,'Modelling New'!$D:$D,'Modelling New'!AF:AF),"")</f>
        <v>0.98550000000000004</v>
      </c>
      <c r="AN276" s="145"/>
      <c r="AO276" s="148"/>
      <c r="AP276" s="148"/>
      <c r="AQ276" s="148"/>
      <c r="AR276" s="143">
        <f>IFERROR(_xlfn.XLOOKUP($D276,'Modelling New'!$D:$D,'Modelling New'!$N:$N),"")</f>
        <v>11.72</v>
      </c>
      <c r="AT276" s="143" t="str">
        <f>IFERROR(_xlfn.XLOOKUP(Table13[[#This Row],[Date]],'Raw Data'!$G:$G,'Raw Data'!$AJ:$AJ),"")</f>
        <v/>
      </c>
      <c r="AU276" s="143">
        <f>IFERROR(_xlfn.XLOOKUP(Table13[[#This Row],[Month Year]],'Modelling New'!$D:$D,'Modelling New'!$AO:$AO),"")</f>
        <v>10</v>
      </c>
      <c r="AV276" s="143"/>
    </row>
    <row r="277" spans="1:48">
      <c r="A277" s="142">
        <f t="shared" si="20"/>
        <v>46020</v>
      </c>
      <c r="B277" s="143">
        <f>YEAR(Table13[[#This Row],[Date]])+IF(MONTH(Table13[[#This Row],[Date]])&gt;=4,1,0)</f>
        <v>2026</v>
      </c>
      <c r="C277" s="116">
        <f>YEAR(Table13[[#This Row],[Date]])</f>
        <v>2025</v>
      </c>
      <c r="D277" s="144">
        <f>Table13[[#This Row],[Date]]-DAY(Table13[[#This Row],[Date]])+1</f>
        <v>45992</v>
      </c>
      <c r="E277" s="116">
        <f t="shared" si="17"/>
        <v>31</v>
      </c>
      <c r="F277" s="117" t="str">
        <f>IFERROR(_xlfn.XLOOKUP($A277,'Raw Data'!$G:$G,'Raw Data'!$AH:$AH),"")</f>
        <v/>
      </c>
      <c r="G277" s="118" t="str">
        <f>IFERROR(_xlfn.XLOOKUP($A277,'Raw Data'!$G:$G,'Raw Data'!$S:$S)/1000,"")</f>
        <v/>
      </c>
      <c r="H277" s="118"/>
      <c r="I277" s="118" t="str">
        <f>IFERROR(_xlfn.XLOOKUP($A277,'Raw Data'!$G:$G,'Raw Data'!$AF:$AF)/1000,"")</f>
        <v/>
      </c>
      <c r="J277" s="118"/>
      <c r="K277" s="118" t="str">
        <f>IFERROR(_xlfn.XLOOKUP($A277,'Raw Data'!$G:$G,'Raw Data'!W:W),"")</f>
        <v/>
      </c>
      <c r="L277" s="118" t="str">
        <f>IFERROR(_xlfn.XLOOKUP($A277,'Raw Data'!$G:$G,'Raw Data'!X:X),"")</f>
        <v/>
      </c>
      <c r="M277" s="118" t="str">
        <f>IFERROR(_xlfn.XLOOKUP($A277,'Raw Data'!$G:$G,'Raw Data'!Y:Y),"")</f>
        <v/>
      </c>
      <c r="N277" s="118" t="str">
        <f>IFERROR(_xlfn.XLOOKUP($A277,'Raw Data'!$G:$G,'Raw Data'!Z:Z),"")</f>
        <v/>
      </c>
      <c r="O277" s="145" t="str">
        <f>IFERROR(1-SUMIF('Plant BD'!$B:$B,$A277,'Plant BD'!$AM:$AM)/($AA277+SUMIF('Plant BD'!$B:$B,$A277,'Plant BD'!$AM:$AM)),"")</f>
        <v/>
      </c>
      <c r="P277" s="145"/>
      <c r="Q277" s="146"/>
      <c r="R277" s="145" t="str">
        <f>IFERROR(1-SUMIF('Grid BD'!$B:$B,$A277,'Grid BD'!$AE:$AE)/($AA277+SUMIF('Grid BD'!$B:$B,$A277,'Grid BD'!$AE:$AE)),"")</f>
        <v/>
      </c>
      <c r="T277" s="146" t="str">
        <f>IFERROR(1-SUMIF(Tracker_BD!$H:$H,$A277,Tracker_BD!AI:AI)/$F277,"")</f>
        <v/>
      </c>
      <c r="U277" s="147" t="str">
        <f t="shared" si="18"/>
        <v/>
      </c>
      <c r="V277" s="147"/>
      <c r="W277" s="148" t="str">
        <f t="shared" si="19"/>
        <v/>
      </c>
      <c r="X277" s="143" t="str">
        <f>IFERROR(_xlfn.XLOOKUP($A277,'Raw Data'!$G:$G,'Raw Data'!$AB:$AB),"")</f>
        <v/>
      </c>
      <c r="Y277" s="143" t="str">
        <f>IFERROR(_xlfn.XLOOKUP($A277,'Raw Data'!$G:$G,'Raw Data'!AC:AC),"")</f>
        <v/>
      </c>
      <c r="Z277" s="143" t="str">
        <f>IFERROR(_xlfn.XLOOKUP($A277,'Raw Data'!$G:$G,'Raw Data'!AD:AD),"")</f>
        <v/>
      </c>
      <c r="AA277" s="143" t="str">
        <f>IFERROR(_xlfn.XLOOKUP($A277,'Raw Data'!$G:$G,'Raw Data'!AE:AE)*(1+(_xlfn.XLOOKUP(Table13[[#This Row],[Month Year]],JMR!$A:$A,JMR!$J:$J))),"")</f>
        <v/>
      </c>
      <c r="AB277" s="143" t="str">
        <f>IFERROR(_xlfn.XLOOKUP($A277,'Raw Data'!$G:$G,'Raw Data'!$H:$H),"")</f>
        <v/>
      </c>
      <c r="AC277" s="149">
        <f>IFERROR(_xlfn.XLOOKUP($D277,'Modelling New'!$D:$D,'Modelling New'!$P:$P),"")</f>
        <v>5.3204721516128961</v>
      </c>
      <c r="AD277" s="143">
        <f>IFERROR(_xlfn.XLOOKUP($D277,'Modelling New'!$D:$D,'Modelling New'!$T:$T)*1000,"")</f>
        <v>48291.284576209961</v>
      </c>
      <c r="AE277" s="148">
        <f>IFERROR(_xlfn.XLOOKUP($D277,'Modelling New'!$D:$D,'Modelling New'!$O:$O),"")</f>
        <v>0.77444569867075796</v>
      </c>
      <c r="AF277" s="148">
        <f>IFERROR(_xlfn.XLOOKUP($D277,'Modelling New'!$D:$D,'Modelling New'!$W:$W),"")</f>
        <v>0.17168403219642334</v>
      </c>
      <c r="AG277" s="148">
        <f>IFERROR(_xlfn.XLOOKUP($D277,'Modelling New'!$D:$D,'Modelling New'!AE:AE),"")</f>
        <v>0.995</v>
      </c>
      <c r="AH277" s="148">
        <f>IFERROR(_xlfn.XLOOKUP($D277,'Modelling New'!$D:$D,'Modelling New'!AF:AF),"")</f>
        <v>0.98550000000000004</v>
      </c>
      <c r="AN277" s="145"/>
      <c r="AO277" s="148"/>
      <c r="AP277" s="148"/>
      <c r="AQ277" s="148"/>
      <c r="AR277" s="143">
        <f>IFERROR(_xlfn.XLOOKUP($D277,'Modelling New'!$D:$D,'Modelling New'!$N:$N),"")</f>
        <v>11.72</v>
      </c>
      <c r="AT277" s="143" t="str">
        <f>IFERROR(_xlfn.XLOOKUP(Table13[[#This Row],[Date]],'Raw Data'!$G:$G,'Raw Data'!$AJ:$AJ),"")</f>
        <v/>
      </c>
      <c r="AU277" s="143">
        <f>IFERROR(_xlfn.XLOOKUP(Table13[[#This Row],[Month Year]],'Modelling New'!$D:$D,'Modelling New'!$AO:$AO),"")</f>
        <v>10</v>
      </c>
      <c r="AV277" s="143"/>
    </row>
    <row r="278" spans="1:48">
      <c r="A278" s="142">
        <f t="shared" si="20"/>
        <v>46021</v>
      </c>
      <c r="B278" s="143">
        <f>YEAR(Table13[[#This Row],[Date]])+IF(MONTH(Table13[[#This Row],[Date]])&gt;=4,1,0)</f>
        <v>2026</v>
      </c>
      <c r="C278" s="116">
        <f>YEAR(Table13[[#This Row],[Date]])</f>
        <v>2025</v>
      </c>
      <c r="D278" s="144">
        <f>Table13[[#This Row],[Date]]-DAY(Table13[[#This Row],[Date]])+1</f>
        <v>45992</v>
      </c>
      <c r="E278" s="116">
        <f t="shared" si="17"/>
        <v>31</v>
      </c>
      <c r="F278" s="117" t="str">
        <f>IFERROR(_xlfn.XLOOKUP($A278,'Raw Data'!$G:$G,'Raw Data'!$AH:$AH),"")</f>
        <v/>
      </c>
      <c r="G278" s="118" t="str">
        <f>IFERROR(_xlfn.XLOOKUP($A278,'Raw Data'!$G:$G,'Raw Data'!$S:$S)/1000,"")</f>
        <v/>
      </c>
      <c r="H278" s="118"/>
      <c r="I278" s="118" t="str">
        <f>IFERROR(_xlfn.XLOOKUP($A278,'Raw Data'!$G:$G,'Raw Data'!$AF:$AF)/1000,"")</f>
        <v/>
      </c>
      <c r="J278" s="118"/>
      <c r="K278" s="118" t="str">
        <f>IFERROR(_xlfn.XLOOKUP($A278,'Raw Data'!$G:$G,'Raw Data'!W:W),"")</f>
        <v/>
      </c>
      <c r="L278" s="118" t="str">
        <f>IFERROR(_xlfn.XLOOKUP($A278,'Raw Data'!$G:$G,'Raw Data'!X:X),"")</f>
        <v/>
      </c>
      <c r="M278" s="118" t="str">
        <f>IFERROR(_xlfn.XLOOKUP($A278,'Raw Data'!$G:$G,'Raw Data'!Y:Y),"")</f>
        <v/>
      </c>
      <c r="N278" s="118" t="str">
        <f>IFERROR(_xlfn.XLOOKUP($A278,'Raw Data'!$G:$G,'Raw Data'!Z:Z),"")</f>
        <v/>
      </c>
      <c r="O278" s="145" t="str">
        <f>IFERROR(1-SUMIF('Plant BD'!$B:$B,$A278,'Plant BD'!$AM:$AM)/($AA278+SUMIF('Plant BD'!$B:$B,$A278,'Plant BD'!$AM:$AM)),"")</f>
        <v/>
      </c>
      <c r="P278" s="145"/>
      <c r="Q278" s="146"/>
      <c r="R278" s="145" t="str">
        <f>IFERROR(1-SUMIF('Grid BD'!$B:$B,$A278,'Grid BD'!$AE:$AE)/($AA278+SUMIF('Grid BD'!$B:$B,$A278,'Grid BD'!$AE:$AE)),"")</f>
        <v/>
      </c>
      <c r="T278" s="146" t="str">
        <f>IFERROR(1-SUMIF(Tracker_BD!$H:$H,$A278,Tracker_BD!AI:AI)/$F278,"")</f>
        <v/>
      </c>
      <c r="U278" s="147" t="str">
        <f t="shared" si="18"/>
        <v/>
      </c>
      <c r="V278" s="147"/>
      <c r="W278" s="148" t="str">
        <f t="shared" si="19"/>
        <v/>
      </c>
      <c r="X278" s="143" t="str">
        <f>IFERROR(_xlfn.XLOOKUP($A278,'Raw Data'!$G:$G,'Raw Data'!$AB:$AB),"")</f>
        <v/>
      </c>
      <c r="Y278" s="143" t="str">
        <f>IFERROR(_xlfn.XLOOKUP($A278,'Raw Data'!$G:$G,'Raw Data'!AC:AC),"")</f>
        <v/>
      </c>
      <c r="Z278" s="143" t="str">
        <f>IFERROR(_xlfn.XLOOKUP($A278,'Raw Data'!$G:$G,'Raw Data'!AD:AD),"")</f>
        <v/>
      </c>
      <c r="AA278" s="143" t="str">
        <f>IFERROR(_xlfn.XLOOKUP($A278,'Raw Data'!$G:$G,'Raw Data'!AE:AE)*(1+(_xlfn.XLOOKUP(Table13[[#This Row],[Month Year]],JMR!$A:$A,JMR!$J:$J))),"")</f>
        <v/>
      </c>
      <c r="AB278" s="143" t="str">
        <f>IFERROR(_xlfn.XLOOKUP($A278,'Raw Data'!$G:$G,'Raw Data'!$H:$H),"")</f>
        <v/>
      </c>
      <c r="AC278" s="149">
        <f>IFERROR(_xlfn.XLOOKUP($D278,'Modelling New'!$D:$D,'Modelling New'!$P:$P),"")</f>
        <v>5.3204721516128961</v>
      </c>
      <c r="AD278" s="143">
        <f>IFERROR(_xlfn.XLOOKUP($D278,'Modelling New'!$D:$D,'Modelling New'!$T:$T)*1000,"")</f>
        <v>48291.284576209961</v>
      </c>
      <c r="AE278" s="148">
        <f>IFERROR(_xlfn.XLOOKUP($D278,'Modelling New'!$D:$D,'Modelling New'!$O:$O),"")</f>
        <v>0.77444569867075796</v>
      </c>
      <c r="AF278" s="148">
        <f>IFERROR(_xlfn.XLOOKUP($D278,'Modelling New'!$D:$D,'Modelling New'!$W:$W),"")</f>
        <v>0.17168403219642334</v>
      </c>
      <c r="AG278" s="148">
        <f>IFERROR(_xlfn.XLOOKUP($D278,'Modelling New'!$D:$D,'Modelling New'!AE:AE),"")</f>
        <v>0.995</v>
      </c>
      <c r="AH278" s="148">
        <f>IFERROR(_xlfn.XLOOKUP($D278,'Modelling New'!$D:$D,'Modelling New'!AF:AF),"")</f>
        <v>0.98550000000000004</v>
      </c>
      <c r="AN278" s="145"/>
      <c r="AO278" s="148"/>
      <c r="AP278" s="148"/>
      <c r="AQ278" s="148"/>
      <c r="AR278" s="143">
        <f>IFERROR(_xlfn.XLOOKUP($D278,'Modelling New'!$D:$D,'Modelling New'!$N:$N),"")</f>
        <v>11.72</v>
      </c>
      <c r="AT278" s="143" t="str">
        <f>IFERROR(_xlfn.XLOOKUP(Table13[[#This Row],[Date]],'Raw Data'!$G:$G,'Raw Data'!$AJ:$AJ),"")</f>
        <v/>
      </c>
      <c r="AU278" s="143">
        <f>IFERROR(_xlfn.XLOOKUP(Table13[[#This Row],[Month Year]],'Modelling New'!$D:$D,'Modelling New'!$AO:$AO),"")</f>
        <v>10</v>
      </c>
      <c r="AV278" s="143"/>
    </row>
    <row r="279" spans="1:48">
      <c r="A279" s="142">
        <f t="shared" si="20"/>
        <v>46022</v>
      </c>
      <c r="B279" s="143">
        <f>YEAR(Table13[[#This Row],[Date]])+IF(MONTH(Table13[[#This Row],[Date]])&gt;=4,1,0)</f>
        <v>2026</v>
      </c>
      <c r="C279" s="116">
        <f>YEAR(Table13[[#This Row],[Date]])</f>
        <v>2025</v>
      </c>
      <c r="D279" s="144">
        <f>Table13[[#This Row],[Date]]-DAY(Table13[[#This Row],[Date]])+1</f>
        <v>45992</v>
      </c>
      <c r="E279" s="116">
        <f t="shared" si="17"/>
        <v>31</v>
      </c>
      <c r="F279" s="117" t="str">
        <f>IFERROR(_xlfn.XLOOKUP($A279,'Raw Data'!$G:$G,'Raw Data'!$AH:$AH),"")</f>
        <v/>
      </c>
      <c r="G279" s="118" t="str">
        <f>IFERROR(_xlfn.XLOOKUP($A279,'Raw Data'!$G:$G,'Raw Data'!$S:$S)/1000,"")</f>
        <v/>
      </c>
      <c r="H279" s="118"/>
      <c r="I279" s="118" t="str">
        <f>IFERROR(_xlfn.XLOOKUP($A279,'Raw Data'!$G:$G,'Raw Data'!$AF:$AF)/1000,"")</f>
        <v/>
      </c>
      <c r="J279" s="118"/>
      <c r="K279" s="118" t="str">
        <f>IFERROR(_xlfn.XLOOKUP($A279,'Raw Data'!$G:$G,'Raw Data'!W:W),"")</f>
        <v/>
      </c>
      <c r="L279" s="118" t="str">
        <f>IFERROR(_xlfn.XLOOKUP($A279,'Raw Data'!$G:$G,'Raw Data'!X:X),"")</f>
        <v/>
      </c>
      <c r="M279" s="118" t="str">
        <f>IFERROR(_xlfn.XLOOKUP($A279,'Raw Data'!$G:$G,'Raw Data'!Y:Y),"")</f>
        <v/>
      </c>
      <c r="N279" s="118" t="str">
        <f>IFERROR(_xlfn.XLOOKUP($A279,'Raw Data'!$G:$G,'Raw Data'!Z:Z),"")</f>
        <v/>
      </c>
      <c r="O279" s="145" t="str">
        <f>IFERROR(1-SUMIF('Plant BD'!$B:$B,$A279,'Plant BD'!$AM:$AM)/($AA279+SUMIF('Plant BD'!$B:$B,$A279,'Plant BD'!$AM:$AM)),"")</f>
        <v/>
      </c>
      <c r="P279" s="145"/>
      <c r="Q279" s="146"/>
      <c r="R279" s="145" t="str">
        <f>IFERROR(1-SUMIF('Grid BD'!$B:$B,$A279,'Grid BD'!$AE:$AE)/($AA279+SUMIF('Grid BD'!$B:$B,$A279,'Grid BD'!$AE:$AE)),"")</f>
        <v/>
      </c>
      <c r="T279" s="146" t="str">
        <f>IFERROR(1-SUMIF(Tracker_BD!$H:$H,$A279,Tracker_BD!AI:AI)/$F279,"")</f>
        <v/>
      </c>
      <c r="U279" s="147" t="str">
        <f t="shared" si="18"/>
        <v/>
      </c>
      <c r="V279" s="147"/>
      <c r="W279" s="148" t="str">
        <f t="shared" si="19"/>
        <v/>
      </c>
      <c r="X279" s="143" t="str">
        <f>IFERROR(_xlfn.XLOOKUP($A279,'Raw Data'!$G:$G,'Raw Data'!$AB:$AB),"")</f>
        <v/>
      </c>
      <c r="Y279" s="143" t="str">
        <f>IFERROR(_xlfn.XLOOKUP($A279,'Raw Data'!$G:$G,'Raw Data'!AC:AC),"")</f>
        <v/>
      </c>
      <c r="Z279" s="143" t="str">
        <f>IFERROR(_xlfn.XLOOKUP($A279,'Raw Data'!$G:$G,'Raw Data'!AD:AD),"")</f>
        <v/>
      </c>
      <c r="AA279" s="143" t="str">
        <f>IFERROR(_xlfn.XLOOKUP($A279,'Raw Data'!$G:$G,'Raw Data'!AE:AE)*(1+(_xlfn.XLOOKUP(Table13[[#This Row],[Month Year]],JMR!$A:$A,JMR!$J:$J))),"")</f>
        <v/>
      </c>
      <c r="AB279" s="143" t="str">
        <f>IFERROR(_xlfn.XLOOKUP($A279,'Raw Data'!$G:$G,'Raw Data'!$H:$H),"")</f>
        <v/>
      </c>
      <c r="AC279" s="149">
        <f>IFERROR(_xlfn.XLOOKUP($D279,'Modelling New'!$D:$D,'Modelling New'!$P:$P),"")</f>
        <v>5.3204721516128961</v>
      </c>
      <c r="AD279" s="143">
        <f>IFERROR(_xlfn.XLOOKUP($D279,'Modelling New'!$D:$D,'Modelling New'!$T:$T)*1000,"")</f>
        <v>48291.284576209961</v>
      </c>
      <c r="AE279" s="148">
        <f>IFERROR(_xlfn.XLOOKUP($D279,'Modelling New'!$D:$D,'Modelling New'!$O:$O),"")</f>
        <v>0.77444569867075796</v>
      </c>
      <c r="AF279" s="148">
        <f>IFERROR(_xlfn.XLOOKUP($D279,'Modelling New'!$D:$D,'Modelling New'!$W:$W),"")</f>
        <v>0.17168403219642334</v>
      </c>
      <c r="AG279" s="148">
        <f>IFERROR(_xlfn.XLOOKUP($D279,'Modelling New'!$D:$D,'Modelling New'!AE:AE),"")</f>
        <v>0.995</v>
      </c>
      <c r="AH279" s="148">
        <f>IFERROR(_xlfn.XLOOKUP($D279,'Modelling New'!$D:$D,'Modelling New'!AF:AF),"")</f>
        <v>0.98550000000000004</v>
      </c>
      <c r="AN279" s="145"/>
      <c r="AO279" s="148"/>
      <c r="AP279" s="148"/>
      <c r="AQ279" s="148"/>
      <c r="AR279" s="143">
        <f>IFERROR(_xlfn.XLOOKUP($D279,'Modelling New'!$D:$D,'Modelling New'!$N:$N),"")</f>
        <v>11.72</v>
      </c>
      <c r="AT279" s="143" t="str">
        <f>IFERROR(_xlfn.XLOOKUP(Table13[[#This Row],[Date]],'Raw Data'!$G:$G,'Raw Data'!$AJ:$AJ),"")</f>
        <v/>
      </c>
      <c r="AU279" s="143">
        <f>IFERROR(_xlfn.XLOOKUP(Table13[[#This Row],[Month Year]],'Modelling New'!$D:$D,'Modelling New'!$AO:$AO),"")</f>
        <v>10</v>
      </c>
      <c r="AV279" s="143"/>
    </row>
    <row r="280" spans="1:48">
      <c r="A280" s="142">
        <f t="shared" si="20"/>
        <v>46023</v>
      </c>
      <c r="B280" s="143">
        <f>YEAR(Table13[[#This Row],[Date]])+IF(MONTH(Table13[[#This Row],[Date]])&gt;=4,1,0)</f>
        <v>2026</v>
      </c>
      <c r="C280" s="116">
        <f>YEAR(Table13[[#This Row],[Date]])</f>
        <v>2026</v>
      </c>
      <c r="D280" s="144">
        <f>Table13[[#This Row],[Date]]-DAY(Table13[[#This Row],[Date]])+1</f>
        <v>46023</v>
      </c>
      <c r="E280" s="116">
        <f t="shared" si="17"/>
        <v>31</v>
      </c>
      <c r="F280" s="117" t="str">
        <f>IFERROR(_xlfn.XLOOKUP($A280,'Raw Data'!$G:$G,'Raw Data'!$AH:$AH),"")</f>
        <v/>
      </c>
      <c r="G280" s="118" t="str">
        <f>IFERROR(_xlfn.XLOOKUP($A280,'Raw Data'!$G:$G,'Raw Data'!$S:$S)/1000,"")</f>
        <v/>
      </c>
      <c r="H280" s="118"/>
      <c r="I280" s="118" t="str">
        <f>IFERROR(_xlfn.XLOOKUP($A280,'Raw Data'!$G:$G,'Raw Data'!$AF:$AF)/1000,"")</f>
        <v/>
      </c>
      <c r="J280" s="118"/>
      <c r="K280" s="118" t="str">
        <f>IFERROR(_xlfn.XLOOKUP($A280,'Raw Data'!$G:$G,'Raw Data'!W:W),"")</f>
        <v/>
      </c>
      <c r="L280" s="118" t="str">
        <f>IFERROR(_xlfn.XLOOKUP($A280,'Raw Data'!$G:$G,'Raw Data'!X:X),"")</f>
        <v/>
      </c>
      <c r="M280" s="118" t="str">
        <f>IFERROR(_xlfn.XLOOKUP($A280,'Raw Data'!$G:$G,'Raw Data'!Y:Y),"")</f>
        <v/>
      </c>
      <c r="N280" s="118" t="str">
        <f>IFERROR(_xlfn.XLOOKUP($A280,'Raw Data'!$G:$G,'Raw Data'!Z:Z),"")</f>
        <v/>
      </c>
      <c r="O280" s="145" t="str">
        <f>IFERROR(1-SUMIF('Plant BD'!$B:$B,$A280,'Plant BD'!$AM:$AM)/($AA280+SUMIF('Plant BD'!$B:$B,$A280,'Plant BD'!$AM:$AM)),"")</f>
        <v/>
      </c>
      <c r="P280" s="145"/>
      <c r="Q280" s="146"/>
      <c r="R280" s="145" t="str">
        <f>IFERROR(1-SUMIF('Grid BD'!$B:$B,$A280,'Grid BD'!$AE:$AE)/($AA280+SUMIF('Grid BD'!$B:$B,$A280,'Grid BD'!$AE:$AE)),"")</f>
        <v/>
      </c>
      <c r="T280" s="146" t="str">
        <f>IFERROR(1-SUMIF(Tracker_BD!$H:$H,$A280,Tracker_BD!AI:AI)/$F280,"")</f>
        <v/>
      </c>
      <c r="U280" s="147" t="str">
        <f t="shared" si="18"/>
        <v/>
      </c>
      <c r="V280" s="147"/>
      <c r="W280" s="148" t="str">
        <f t="shared" si="19"/>
        <v/>
      </c>
      <c r="X280" s="143" t="str">
        <f>IFERROR(_xlfn.XLOOKUP($A280,'Raw Data'!$G:$G,'Raw Data'!$AB:$AB),"")</f>
        <v/>
      </c>
      <c r="Y280" s="143" t="str">
        <f>IFERROR(_xlfn.XLOOKUP($A280,'Raw Data'!$G:$G,'Raw Data'!AC:AC),"")</f>
        <v/>
      </c>
      <c r="Z280" s="143" t="str">
        <f>IFERROR(_xlfn.XLOOKUP($A280,'Raw Data'!$G:$G,'Raw Data'!AD:AD),"")</f>
        <v/>
      </c>
      <c r="AA280" s="143" t="str">
        <f>IFERROR(_xlfn.XLOOKUP($A280,'Raw Data'!$G:$G,'Raw Data'!AE:AE)*(1+(_xlfn.XLOOKUP(Table13[[#This Row],[Month Year]],JMR!$A:$A,JMR!$J:$J))),"")</f>
        <v/>
      </c>
      <c r="AB280" s="143" t="str">
        <f>IFERROR(_xlfn.XLOOKUP($A280,'Raw Data'!$G:$G,'Raw Data'!$H:$H),"")</f>
        <v/>
      </c>
      <c r="AC280" s="149">
        <f>IFERROR(_xlfn.XLOOKUP($D280,'Modelling New'!$D:$D,'Modelling New'!$P:$P),"")</f>
        <v>6.0175946709677417</v>
      </c>
      <c r="AD280" s="143">
        <f>IFERROR(_xlfn.XLOOKUP($D280,'Modelling New'!$D:$D,'Modelling New'!$T:$T)*1000,"")</f>
        <v>54155.22627474973</v>
      </c>
      <c r="AE280" s="148">
        <f>IFERROR(_xlfn.XLOOKUP($D280,'Modelling New'!$D:$D,'Modelling New'!$O:$O),"")</f>
        <v>0.76787376813667318</v>
      </c>
      <c r="AF280" s="148">
        <f>IFERROR(_xlfn.XLOOKUP($D280,'Modelling New'!$D:$D,'Modelling New'!$W:$W),"")</f>
        <v>0.19253137896313183</v>
      </c>
      <c r="AG280" s="148">
        <f>IFERROR(_xlfn.XLOOKUP($D280,'Modelling New'!$D:$D,'Modelling New'!AE:AE),"")</f>
        <v>0.995</v>
      </c>
      <c r="AH280" s="148">
        <f>IFERROR(_xlfn.XLOOKUP($D280,'Modelling New'!$D:$D,'Modelling New'!AF:AF),"")</f>
        <v>0.98550000000000004</v>
      </c>
      <c r="AN280" s="145"/>
      <c r="AO280" s="148"/>
      <c r="AP280" s="148"/>
      <c r="AQ280" s="148"/>
      <c r="AR280" s="143">
        <f>IFERROR(_xlfn.XLOOKUP($D280,'Modelling New'!$D:$D,'Modelling New'!$N:$N),"")</f>
        <v>11.72</v>
      </c>
      <c r="AT280" s="143" t="str">
        <f>IFERROR(_xlfn.XLOOKUP(Table13[[#This Row],[Date]],'Raw Data'!$G:$G,'Raw Data'!$AJ:$AJ),"")</f>
        <v/>
      </c>
      <c r="AU280" s="143">
        <f>IFERROR(_xlfn.XLOOKUP(Table13[[#This Row],[Month Year]],'Modelling New'!$D:$D,'Modelling New'!$AO:$AO),"")</f>
        <v>10</v>
      </c>
      <c r="AV280" s="143"/>
    </row>
    <row r="281" spans="1:48">
      <c r="A281" s="142">
        <f t="shared" si="20"/>
        <v>46024</v>
      </c>
      <c r="B281" s="143">
        <f>YEAR(Table13[[#This Row],[Date]])+IF(MONTH(Table13[[#This Row],[Date]])&gt;=4,1,0)</f>
        <v>2026</v>
      </c>
      <c r="C281" s="116">
        <f>YEAR(Table13[[#This Row],[Date]])</f>
        <v>2026</v>
      </c>
      <c r="D281" s="144">
        <f>Table13[[#This Row],[Date]]-DAY(Table13[[#This Row],[Date]])+1</f>
        <v>46023</v>
      </c>
      <c r="E281" s="116">
        <f t="shared" si="17"/>
        <v>31</v>
      </c>
      <c r="F281" s="117" t="str">
        <f>IFERROR(_xlfn.XLOOKUP($A281,'Raw Data'!$G:$G,'Raw Data'!$AH:$AH),"")</f>
        <v/>
      </c>
      <c r="G281" s="118" t="str">
        <f>IFERROR(_xlfn.XLOOKUP($A281,'Raw Data'!$G:$G,'Raw Data'!$S:$S)/1000,"")</f>
        <v/>
      </c>
      <c r="H281" s="118"/>
      <c r="I281" s="118" t="str">
        <f>IFERROR(_xlfn.XLOOKUP($A281,'Raw Data'!$G:$G,'Raw Data'!$AF:$AF)/1000,"")</f>
        <v/>
      </c>
      <c r="J281" s="118"/>
      <c r="K281" s="118" t="str">
        <f>IFERROR(_xlfn.XLOOKUP($A281,'Raw Data'!$G:$G,'Raw Data'!W:W),"")</f>
        <v/>
      </c>
      <c r="L281" s="118" t="str">
        <f>IFERROR(_xlfn.XLOOKUP($A281,'Raw Data'!$G:$G,'Raw Data'!X:X),"")</f>
        <v/>
      </c>
      <c r="M281" s="118" t="str">
        <f>IFERROR(_xlfn.XLOOKUP($A281,'Raw Data'!$G:$G,'Raw Data'!Y:Y),"")</f>
        <v/>
      </c>
      <c r="N281" s="118" t="str">
        <f>IFERROR(_xlfn.XLOOKUP($A281,'Raw Data'!$G:$G,'Raw Data'!Z:Z),"")</f>
        <v/>
      </c>
      <c r="O281" s="145" t="str">
        <f>IFERROR(1-SUMIF('Plant BD'!$B:$B,$A281,'Plant BD'!$AM:$AM)/($AA281+SUMIF('Plant BD'!$B:$B,$A281,'Plant BD'!$AM:$AM)),"")</f>
        <v/>
      </c>
      <c r="P281" s="145"/>
      <c r="Q281" s="146"/>
      <c r="R281" s="145" t="str">
        <f>IFERROR(1-SUMIF('Grid BD'!$B:$B,$A281,'Grid BD'!$AE:$AE)/($AA281+SUMIF('Grid BD'!$B:$B,$A281,'Grid BD'!$AE:$AE)),"")</f>
        <v/>
      </c>
      <c r="T281" s="146" t="str">
        <f>IFERROR(1-SUMIF(Tracker_BD!$H:$H,$A281,Tracker_BD!AI:AI)/$F281,"")</f>
        <v/>
      </c>
      <c r="U281" s="147" t="str">
        <f t="shared" si="18"/>
        <v/>
      </c>
      <c r="V281" s="147"/>
      <c r="W281" s="148" t="str">
        <f t="shared" si="19"/>
        <v/>
      </c>
      <c r="X281" s="143" t="str">
        <f>IFERROR(_xlfn.XLOOKUP($A281,'Raw Data'!$G:$G,'Raw Data'!$AB:$AB),"")</f>
        <v/>
      </c>
      <c r="Y281" s="143" t="str">
        <f>IFERROR(_xlfn.XLOOKUP($A281,'Raw Data'!$G:$G,'Raw Data'!AC:AC),"")</f>
        <v/>
      </c>
      <c r="Z281" s="143" t="str">
        <f>IFERROR(_xlfn.XLOOKUP($A281,'Raw Data'!$G:$G,'Raw Data'!AD:AD),"")</f>
        <v/>
      </c>
      <c r="AA281" s="143" t="str">
        <f>IFERROR(_xlfn.XLOOKUP($A281,'Raw Data'!$G:$G,'Raw Data'!AE:AE)*(1+(_xlfn.XLOOKUP(Table13[[#This Row],[Month Year]],JMR!$A:$A,JMR!$J:$J))),"")</f>
        <v/>
      </c>
      <c r="AB281" s="143" t="str">
        <f>IFERROR(_xlfn.XLOOKUP($A281,'Raw Data'!$G:$G,'Raw Data'!$H:$H),"")</f>
        <v/>
      </c>
      <c r="AC281" s="149">
        <f>IFERROR(_xlfn.XLOOKUP($D281,'Modelling New'!$D:$D,'Modelling New'!$P:$P),"")</f>
        <v>6.0175946709677417</v>
      </c>
      <c r="AD281" s="143">
        <f>IFERROR(_xlfn.XLOOKUP($D281,'Modelling New'!$D:$D,'Modelling New'!$T:$T)*1000,"")</f>
        <v>54155.22627474973</v>
      </c>
      <c r="AE281" s="148">
        <f>IFERROR(_xlfn.XLOOKUP($D281,'Modelling New'!$D:$D,'Modelling New'!$O:$O),"")</f>
        <v>0.76787376813667318</v>
      </c>
      <c r="AF281" s="148">
        <f>IFERROR(_xlfn.XLOOKUP($D281,'Modelling New'!$D:$D,'Modelling New'!$W:$W),"")</f>
        <v>0.19253137896313183</v>
      </c>
      <c r="AG281" s="148">
        <f>IFERROR(_xlfn.XLOOKUP($D281,'Modelling New'!$D:$D,'Modelling New'!AE:AE),"")</f>
        <v>0.995</v>
      </c>
      <c r="AH281" s="148">
        <f>IFERROR(_xlfn.XLOOKUP($D281,'Modelling New'!$D:$D,'Modelling New'!AF:AF),"")</f>
        <v>0.98550000000000004</v>
      </c>
      <c r="AN281" s="145"/>
      <c r="AO281" s="148"/>
      <c r="AP281" s="148"/>
      <c r="AQ281" s="148"/>
      <c r="AR281" s="143">
        <f>IFERROR(_xlfn.XLOOKUP($D281,'Modelling New'!$D:$D,'Modelling New'!$N:$N),"")</f>
        <v>11.72</v>
      </c>
      <c r="AT281" s="143" t="str">
        <f>IFERROR(_xlfn.XLOOKUP(Table13[[#This Row],[Date]],'Raw Data'!$G:$G,'Raw Data'!$AJ:$AJ),"")</f>
        <v/>
      </c>
      <c r="AU281" s="143">
        <f>IFERROR(_xlfn.XLOOKUP(Table13[[#This Row],[Month Year]],'Modelling New'!$D:$D,'Modelling New'!$AO:$AO),"")</f>
        <v>10</v>
      </c>
      <c r="AV281" s="143"/>
    </row>
    <row r="282" spans="1:48">
      <c r="A282" s="142">
        <f t="shared" si="20"/>
        <v>46025</v>
      </c>
      <c r="B282" s="143">
        <f>YEAR(Table13[[#This Row],[Date]])+IF(MONTH(Table13[[#This Row],[Date]])&gt;=4,1,0)</f>
        <v>2026</v>
      </c>
      <c r="C282" s="116">
        <f>YEAR(Table13[[#This Row],[Date]])</f>
        <v>2026</v>
      </c>
      <c r="D282" s="144">
        <f>Table13[[#This Row],[Date]]-DAY(Table13[[#This Row],[Date]])+1</f>
        <v>46023</v>
      </c>
      <c r="E282" s="116">
        <f t="shared" si="17"/>
        <v>31</v>
      </c>
      <c r="F282" s="117" t="str">
        <f>IFERROR(_xlfn.XLOOKUP($A282,'Raw Data'!$G:$G,'Raw Data'!$AH:$AH),"")</f>
        <v/>
      </c>
      <c r="G282" s="118" t="str">
        <f>IFERROR(_xlfn.XLOOKUP($A282,'Raw Data'!$G:$G,'Raw Data'!$S:$S)/1000,"")</f>
        <v/>
      </c>
      <c r="H282" s="118"/>
      <c r="I282" s="118" t="str">
        <f>IFERROR(_xlfn.XLOOKUP($A282,'Raw Data'!$G:$G,'Raw Data'!$AF:$AF)/1000,"")</f>
        <v/>
      </c>
      <c r="J282" s="118"/>
      <c r="K282" s="118" t="str">
        <f>IFERROR(_xlfn.XLOOKUP($A282,'Raw Data'!$G:$G,'Raw Data'!W:W),"")</f>
        <v/>
      </c>
      <c r="L282" s="118" t="str">
        <f>IFERROR(_xlfn.XLOOKUP($A282,'Raw Data'!$G:$G,'Raw Data'!X:X),"")</f>
        <v/>
      </c>
      <c r="M282" s="118" t="str">
        <f>IFERROR(_xlfn.XLOOKUP($A282,'Raw Data'!$G:$G,'Raw Data'!Y:Y),"")</f>
        <v/>
      </c>
      <c r="N282" s="118" t="str">
        <f>IFERROR(_xlfn.XLOOKUP($A282,'Raw Data'!$G:$G,'Raw Data'!Z:Z),"")</f>
        <v/>
      </c>
      <c r="O282" s="145" t="str">
        <f>IFERROR(1-SUMIF('Plant BD'!$B:$B,$A282,'Plant BD'!$AM:$AM)/($AA282+SUMIF('Plant BD'!$B:$B,$A282,'Plant BD'!$AM:$AM)),"")</f>
        <v/>
      </c>
      <c r="P282" s="145"/>
      <c r="Q282" s="146"/>
      <c r="R282" s="145" t="str">
        <f>IFERROR(1-SUMIF('Grid BD'!$B:$B,$A282,'Grid BD'!$AE:$AE)/($AA282+SUMIF('Grid BD'!$B:$B,$A282,'Grid BD'!$AE:$AE)),"")</f>
        <v/>
      </c>
      <c r="T282" s="146" t="str">
        <f>IFERROR(1-SUMIF(Tracker_BD!$H:$H,$A282,Tracker_BD!AI:AI)/$F282,"")</f>
        <v/>
      </c>
      <c r="U282" s="147" t="str">
        <f t="shared" si="18"/>
        <v/>
      </c>
      <c r="V282" s="147"/>
      <c r="W282" s="148" t="str">
        <f t="shared" si="19"/>
        <v/>
      </c>
      <c r="X282" s="143" t="str">
        <f>IFERROR(_xlfn.XLOOKUP($A282,'Raw Data'!$G:$G,'Raw Data'!$AB:$AB),"")</f>
        <v/>
      </c>
      <c r="Y282" s="143" t="str">
        <f>IFERROR(_xlfn.XLOOKUP($A282,'Raw Data'!$G:$G,'Raw Data'!AC:AC),"")</f>
        <v/>
      </c>
      <c r="Z282" s="143" t="str">
        <f>IFERROR(_xlfn.XLOOKUP($A282,'Raw Data'!$G:$G,'Raw Data'!AD:AD),"")</f>
        <v/>
      </c>
      <c r="AA282" s="143" t="str">
        <f>IFERROR(_xlfn.XLOOKUP($A282,'Raw Data'!$G:$G,'Raw Data'!AE:AE)*(1+(_xlfn.XLOOKUP(Table13[[#This Row],[Month Year]],JMR!$A:$A,JMR!$J:$J))),"")</f>
        <v/>
      </c>
      <c r="AB282" s="143" t="str">
        <f>IFERROR(_xlfn.XLOOKUP($A282,'Raw Data'!$G:$G,'Raw Data'!$H:$H),"")</f>
        <v/>
      </c>
      <c r="AC282" s="149">
        <f>IFERROR(_xlfn.XLOOKUP($D282,'Modelling New'!$D:$D,'Modelling New'!$P:$P),"")</f>
        <v>6.0175946709677417</v>
      </c>
      <c r="AD282" s="143">
        <f>IFERROR(_xlfn.XLOOKUP($D282,'Modelling New'!$D:$D,'Modelling New'!$T:$T)*1000,"")</f>
        <v>54155.22627474973</v>
      </c>
      <c r="AE282" s="148">
        <f>IFERROR(_xlfn.XLOOKUP($D282,'Modelling New'!$D:$D,'Modelling New'!$O:$O),"")</f>
        <v>0.76787376813667318</v>
      </c>
      <c r="AF282" s="148">
        <f>IFERROR(_xlfn.XLOOKUP($D282,'Modelling New'!$D:$D,'Modelling New'!$W:$W),"")</f>
        <v>0.19253137896313183</v>
      </c>
      <c r="AG282" s="148">
        <f>IFERROR(_xlfn.XLOOKUP($D282,'Modelling New'!$D:$D,'Modelling New'!AE:AE),"")</f>
        <v>0.995</v>
      </c>
      <c r="AH282" s="148">
        <f>IFERROR(_xlfn.XLOOKUP($D282,'Modelling New'!$D:$D,'Modelling New'!AF:AF),"")</f>
        <v>0.98550000000000004</v>
      </c>
      <c r="AN282" s="145"/>
      <c r="AO282" s="148"/>
      <c r="AP282" s="148"/>
      <c r="AQ282" s="148"/>
      <c r="AR282" s="143">
        <f>IFERROR(_xlfn.XLOOKUP($D282,'Modelling New'!$D:$D,'Modelling New'!$N:$N),"")</f>
        <v>11.72</v>
      </c>
      <c r="AT282" s="143" t="str">
        <f>IFERROR(_xlfn.XLOOKUP(Table13[[#This Row],[Date]],'Raw Data'!$G:$G,'Raw Data'!$AJ:$AJ),"")</f>
        <v/>
      </c>
      <c r="AU282" s="143">
        <f>IFERROR(_xlfn.XLOOKUP(Table13[[#This Row],[Month Year]],'Modelling New'!$D:$D,'Modelling New'!$AO:$AO),"")</f>
        <v>10</v>
      </c>
      <c r="AV282" s="143"/>
    </row>
    <row r="283" spans="1:48">
      <c r="A283" s="142">
        <f t="shared" si="20"/>
        <v>46026</v>
      </c>
      <c r="B283" s="143">
        <f>YEAR(Table13[[#This Row],[Date]])+IF(MONTH(Table13[[#This Row],[Date]])&gt;=4,1,0)</f>
        <v>2026</v>
      </c>
      <c r="C283" s="116">
        <f>YEAR(Table13[[#This Row],[Date]])</f>
        <v>2026</v>
      </c>
      <c r="D283" s="144">
        <f>Table13[[#This Row],[Date]]-DAY(Table13[[#This Row],[Date]])+1</f>
        <v>46023</v>
      </c>
      <c r="E283" s="116">
        <f t="shared" si="17"/>
        <v>31</v>
      </c>
      <c r="F283" s="117" t="str">
        <f>IFERROR(_xlfn.XLOOKUP($A283,'Raw Data'!$G:$G,'Raw Data'!$AH:$AH),"")</f>
        <v/>
      </c>
      <c r="G283" s="118" t="str">
        <f>IFERROR(_xlfn.XLOOKUP($A283,'Raw Data'!$G:$G,'Raw Data'!$S:$S)/1000,"")</f>
        <v/>
      </c>
      <c r="H283" s="118"/>
      <c r="I283" s="118" t="str">
        <f>IFERROR(_xlfn.XLOOKUP($A283,'Raw Data'!$G:$G,'Raw Data'!$AF:$AF)/1000,"")</f>
        <v/>
      </c>
      <c r="J283" s="118"/>
      <c r="K283" s="118" t="str">
        <f>IFERROR(_xlfn.XLOOKUP($A283,'Raw Data'!$G:$G,'Raw Data'!W:W),"")</f>
        <v/>
      </c>
      <c r="L283" s="118" t="str">
        <f>IFERROR(_xlfn.XLOOKUP($A283,'Raw Data'!$G:$G,'Raw Data'!X:X),"")</f>
        <v/>
      </c>
      <c r="M283" s="118" t="str">
        <f>IFERROR(_xlfn.XLOOKUP($A283,'Raw Data'!$G:$G,'Raw Data'!Y:Y),"")</f>
        <v/>
      </c>
      <c r="N283" s="118" t="str">
        <f>IFERROR(_xlfn.XLOOKUP($A283,'Raw Data'!$G:$G,'Raw Data'!Z:Z),"")</f>
        <v/>
      </c>
      <c r="O283" s="145" t="str">
        <f>IFERROR(1-SUMIF('Plant BD'!$B:$B,$A283,'Plant BD'!$AM:$AM)/($AA283+SUMIF('Plant BD'!$B:$B,$A283,'Plant BD'!$AM:$AM)),"")</f>
        <v/>
      </c>
      <c r="P283" s="145"/>
      <c r="Q283" s="146"/>
      <c r="R283" s="145" t="str">
        <f>IFERROR(1-SUMIF('Grid BD'!$B:$B,$A283,'Grid BD'!$AE:$AE)/($AA283+SUMIF('Grid BD'!$B:$B,$A283,'Grid BD'!$AE:$AE)),"")</f>
        <v/>
      </c>
      <c r="T283" s="146" t="str">
        <f>IFERROR(1-SUMIF(Tracker_BD!$H:$H,$A283,Tracker_BD!AI:AI)/$F283,"")</f>
        <v/>
      </c>
      <c r="U283" s="147" t="str">
        <f t="shared" si="18"/>
        <v/>
      </c>
      <c r="V283" s="147"/>
      <c r="W283" s="148" t="str">
        <f t="shared" si="19"/>
        <v/>
      </c>
      <c r="X283" s="143" t="str">
        <f>IFERROR(_xlfn.XLOOKUP($A283,'Raw Data'!$G:$G,'Raw Data'!$AB:$AB),"")</f>
        <v/>
      </c>
      <c r="Y283" s="143" t="str">
        <f>IFERROR(_xlfn.XLOOKUP($A283,'Raw Data'!$G:$G,'Raw Data'!AC:AC),"")</f>
        <v/>
      </c>
      <c r="Z283" s="143" t="str">
        <f>IFERROR(_xlfn.XLOOKUP($A283,'Raw Data'!$G:$G,'Raw Data'!AD:AD),"")</f>
        <v/>
      </c>
      <c r="AA283" s="143" t="str">
        <f>IFERROR(_xlfn.XLOOKUP($A283,'Raw Data'!$G:$G,'Raw Data'!AE:AE)*(1+(_xlfn.XLOOKUP(Table13[[#This Row],[Month Year]],JMR!$A:$A,JMR!$J:$J))),"")</f>
        <v/>
      </c>
      <c r="AB283" s="143" t="str">
        <f>IFERROR(_xlfn.XLOOKUP($A283,'Raw Data'!$G:$G,'Raw Data'!$H:$H),"")</f>
        <v/>
      </c>
      <c r="AC283" s="149">
        <f>IFERROR(_xlfn.XLOOKUP($D283,'Modelling New'!$D:$D,'Modelling New'!$P:$P),"")</f>
        <v>6.0175946709677417</v>
      </c>
      <c r="AD283" s="143">
        <f>IFERROR(_xlfn.XLOOKUP($D283,'Modelling New'!$D:$D,'Modelling New'!$T:$T)*1000,"")</f>
        <v>54155.22627474973</v>
      </c>
      <c r="AE283" s="148">
        <f>IFERROR(_xlfn.XLOOKUP($D283,'Modelling New'!$D:$D,'Modelling New'!$O:$O),"")</f>
        <v>0.76787376813667318</v>
      </c>
      <c r="AF283" s="148">
        <f>IFERROR(_xlfn.XLOOKUP($D283,'Modelling New'!$D:$D,'Modelling New'!$W:$W),"")</f>
        <v>0.19253137896313183</v>
      </c>
      <c r="AG283" s="148">
        <f>IFERROR(_xlfn.XLOOKUP($D283,'Modelling New'!$D:$D,'Modelling New'!AE:AE),"")</f>
        <v>0.995</v>
      </c>
      <c r="AH283" s="148">
        <f>IFERROR(_xlfn.XLOOKUP($D283,'Modelling New'!$D:$D,'Modelling New'!AF:AF),"")</f>
        <v>0.98550000000000004</v>
      </c>
      <c r="AN283" s="145"/>
      <c r="AO283" s="148"/>
      <c r="AP283" s="148"/>
      <c r="AQ283" s="148"/>
      <c r="AR283" s="143">
        <f>IFERROR(_xlfn.XLOOKUP($D283,'Modelling New'!$D:$D,'Modelling New'!$N:$N),"")</f>
        <v>11.72</v>
      </c>
      <c r="AT283" s="143" t="str">
        <f>IFERROR(_xlfn.XLOOKUP(Table13[[#This Row],[Date]],'Raw Data'!$G:$G,'Raw Data'!$AJ:$AJ),"")</f>
        <v/>
      </c>
      <c r="AU283" s="143">
        <f>IFERROR(_xlfn.XLOOKUP(Table13[[#This Row],[Month Year]],'Modelling New'!$D:$D,'Modelling New'!$AO:$AO),"")</f>
        <v>10</v>
      </c>
      <c r="AV283" s="143"/>
    </row>
    <row r="284" spans="1:48">
      <c r="A284" s="142">
        <f t="shared" si="20"/>
        <v>46027</v>
      </c>
      <c r="B284" s="143">
        <f>YEAR(Table13[[#This Row],[Date]])+IF(MONTH(Table13[[#This Row],[Date]])&gt;=4,1,0)</f>
        <v>2026</v>
      </c>
      <c r="C284" s="116">
        <f>YEAR(Table13[[#This Row],[Date]])</f>
        <v>2026</v>
      </c>
      <c r="D284" s="144">
        <f>Table13[[#This Row],[Date]]-DAY(Table13[[#This Row],[Date]])+1</f>
        <v>46023</v>
      </c>
      <c r="E284" s="116">
        <f t="shared" si="17"/>
        <v>31</v>
      </c>
      <c r="F284" s="117" t="str">
        <f>IFERROR(_xlfn.XLOOKUP($A284,'Raw Data'!$G:$G,'Raw Data'!$AH:$AH),"")</f>
        <v/>
      </c>
      <c r="G284" s="118" t="str">
        <f>IFERROR(_xlfn.XLOOKUP($A284,'Raw Data'!$G:$G,'Raw Data'!$S:$S)/1000,"")</f>
        <v/>
      </c>
      <c r="H284" s="118"/>
      <c r="I284" s="118" t="str">
        <f>IFERROR(_xlfn.XLOOKUP($A284,'Raw Data'!$G:$G,'Raw Data'!$AF:$AF)/1000,"")</f>
        <v/>
      </c>
      <c r="J284" s="118"/>
      <c r="K284" s="118" t="str">
        <f>IFERROR(_xlfn.XLOOKUP($A284,'Raw Data'!$G:$G,'Raw Data'!W:W),"")</f>
        <v/>
      </c>
      <c r="L284" s="118" t="str">
        <f>IFERROR(_xlfn.XLOOKUP($A284,'Raw Data'!$G:$G,'Raw Data'!X:X),"")</f>
        <v/>
      </c>
      <c r="M284" s="118" t="str">
        <f>IFERROR(_xlfn.XLOOKUP($A284,'Raw Data'!$G:$G,'Raw Data'!Y:Y),"")</f>
        <v/>
      </c>
      <c r="N284" s="118" t="str">
        <f>IFERROR(_xlfn.XLOOKUP($A284,'Raw Data'!$G:$G,'Raw Data'!Z:Z),"")</f>
        <v/>
      </c>
      <c r="O284" s="145" t="str">
        <f>IFERROR(1-SUMIF('Plant BD'!$B:$B,$A284,'Plant BD'!$AM:$AM)/($AA284+SUMIF('Plant BD'!$B:$B,$A284,'Plant BD'!$AM:$AM)),"")</f>
        <v/>
      </c>
      <c r="P284" s="145"/>
      <c r="Q284" s="146"/>
      <c r="R284" s="145" t="str">
        <f>IFERROR(1-SUMIF('Grid BD'!$B:$B,$A284,'Grid BD'!$AE:$AE)/($AA284+SUMIF('Grid BD'!$B:$B,$A284,'Grid BD'!$AE:$AE)),"")</f>
        <v/>
      </c>
      <c r="T284" s="146" t="str">
        <f>IFERROR(1-SUMIF(Tracker_BD!$H:$H,$A284,Tracker_BD!AI:AI)/$F284,"")</f>
        <v/>
      </c>
      <c r="U284" s="147" t="str">
        <f t="shared" si="18"/>
        <v/>
      </c>
      <c r="V284" s="147"/>
      <c r="W284" s="148" t="str">
        <f t="shared" si="19"/>
        <v/>
      </c>
      <c r="X284" s="143" t="str">
        <f>IFERROR(_xlfn.XLOOKUP($A284,'Raw Data'!$G:$G,'Raw Data'!$AB:$AB),"")</f>
        <v/>
      </c>
      <c r="Y284" s="143" t="str">
        <f>IFERROR(_xlfn.XLOOKUP($A284,'Raw Data'!$G:$G,'Raw Data'!AC:AC),"")</f>
        <v/>
      </c>
      <c r="Z284" s="143" t="str">
        <f>IFERROR(_xlfn.XLOOKUP($A284,'Raw Data'!$G:$G,'Raw Data'!AD:AD),"")</f>
        <v/>
      </c>
      <c r="AA284" s="143" t="str">
        <f>IFERROR(_xlfn.XLOOKUP($A284,'Raw Data'!$G:$G,'Raw Data'!AE:AE)*(1+(_xlfn.XLOOKUP(Table13[[#This Row],[Month Year]],JMR!$A:$A,JMR!$J:$J))),"")</f>
        <v/>
      </c>
      <c r="AB284" s="143" t="str">
        <f>IFERROR(_xlfn.XLOOKUP($A284,'Raw Data'!$G:$G,'Raw Data'!$H:$H),"")</f>
        <v/>
      </c>
      <c r="AC284" s="149">
        <f>IFERROR(_xlfn.XLOOKUP($D284,'Modelling New'!$D:$D,'Modelling New'!$P:$P),"")</f>
        <v>6.0175946709677417</v>
      </c>
      <c r="AD284" s="143">
        <f>IFERROR(_xlfn.XLOOKUP($D284,'Modelling New'!$D:$D,'Modelling New'!$T:$T)*1000,"")</f>
        <v>54155.22627474973</v>
      </c>
      <c r="AE284" s="148">
        <f>IFERROR(_xlfn.XLOOKUP($D284,'Modelling New'!$D:$D,'Modelling New'!$O:$O),"")</f>
        <v>0.76787376813667318</v>
      </c>
      <c r="AF284" s="148">
        <f>IFERROR(_xlfn.XLOOKUP($D284,'Modelling New'!$D:$D,'Modelling New'!$W:$W),"")</f>
        <v>0.19253137896313183</v>
      </c>
      <c r="AG284" s="148">
        <f>IFERROR(_xlfn.XLOOKUP($D284,'Modelling New'!$D:$D,'Modelling New'!AE:AE),"")</f>
        <v>0.995</v>
      </c>
      <c r="AH284" s="148">
        <f>IFERROR(_xlfn.XLOOKUP($D284,'Modelling New'!$D:$D,'Modelling New'!AF:AF),"")</f>
        <v>0.98550000000000004</v>
      </c>
      <c r="AN284" s="145"/>
      <c r="AO284" s="148"/>
      <c r="AP284" s="148"/>
      <c r="AQ284" s="148"/>
      <c r="AR284" s="143">
        <f>IFERROR(_xlfn.XLOOKUP($D284,'Modelling New'!$D:$D,'Modelling New'!$N:$N),"")</f>
        <v>11.72</v>
      </c>
      <c r="AT284" s="143" t="str">
        <f>IFERROR(_xlfn.XLOOKUP(Table13[[#This Row],[Date]],'Raw Data'!$G:$G,'Raw Data'!$AJ:$AJ),"")</f>
        <v/>
      </c>
      <c r="AU284" s="143">
        <f>IFERROR(_xlfn.XLOOKUP(Table13[[#This Row],[Month Year]],'Modelling New'!$D:$D,'Modelling New'!$AO:$AO),"")</f>
        <v>10</v>
      </c>
      <c r="AV284" s="143"/>
    </row>
    <row r="285" spans="1:48">
      <c r="A285" s="142">
        <f t="shared" si="20"/>
        <v>46028</v>
      </c>
      <c r="B285" s="143">
        <f>YEAR(Table13[[#This Row],[Date]])+IF(MONTH(Table13[[#This Row],[Date]])&gt;=4,1,0)</f>
        <v>2026</v>
      </c>
      <c r="C285" s="116">
        <f>YEAR(Table13[[#This Row],[Date]])</f>
        <v>2026</v>
      </c>
      <c r="D285" s="144">
        <f>Table13[[#This Row],[Date]]-DAY(Table13[[#This Row],[Date]])+1</f>
        <v>46023</v>
      </c>
      <c r="E285" s="116">
        <f t="shared" si="17"/>
        <v>31</v>
      </c>
      <c r="F285" s="117" t="str">
        <f>IFERROR(_xlfn.XLOOKUP($A285,'Raw Data'!$G:$G,'Raw Data'!$AH:$AH),"")</f>
        <v/>
      </c>
      <c r="G285" s="118" t="str">
        <f>IFERROR(_xlfn.XLOOKUP($A285,'Raw Data'!$G:$G,'Raw Data'!$S:$S)/1000,"")</f>
        <v/>
      </c>
      <c r="H285" s="118"/>
      <c r="I285" s="118" t="str">
        <f>IFERROR(_xlfn.XLOOKUP($A285,'Raw Data'!$G:$G,'Raw Data'!$AF:$AF)/1000,"")</f>
        <v/>
      </c>
      <c r="J285" s="118"/>
      <c r="K285" s="118" t="str">
        <f>IFERROR(_xlfn.XLOOKUP($A285,'Raw Data'!$G:$G,'Raw Data'!W:W),"")</f>
        <v/>
      </c>
      <c r="L285" s="118" t="str">
        <f>IFERROR(_xlfn.XLOOKUP($A285,'Raw Data'!$G:$G,'Raw Data'!X:X),"")</f>
        <v/>
      </c>
      <c r="M285" s="118" t="str">
        <f>IFERROR(_xlfn.XLOOKUP($A285,'Raw Data'!$G:$G,'Raw Data'!Y:Y),"")</f>
        <v/>
      </c>
      <c r="N285" s="118" t="str">
        <f>IFERROR(_xlfn.XLOOKUP($A285,'Raw Data'!$G:$G,'Raw Data'!Z:Z),"")</f>
        <v/>
      </c>
      <c r="O285" s="145" t="str">
        <f>IFERROR(1-SUMIF('Plant BD'!$B:$B,$A285,'Plant BD'!$AM:$AM)/($AA285+SUMIF('Plant BD'!$B:$B,$A285,'Plant BD'!$AM:$AM)),"")</f>
        <v/>
      </c>
      <c r="P285" s="145"/>
      <c r="Q285" s="146"/>
      <c r="R285" s="145" t="str">
        <f>IFERROR(1-SUMIF('Grid BD'!$B:$B,$A285,'Grid BD'!$AE:$AE)/($AA285+SUMIF('Grid BD'!$B:$B,$A285,'Grid BD'!$AE:$AE)),"")</f>
        <v/>
      </c>
      <c r="T285" s="146" t="str">
        <f>IFERROR(1-SUMIF(Tracker_BD!$H:$H,$A285,Tracker_BD!AI:AI)/$F285,"")</f>
        <v/>
      </c>
      <c r="U285" s="147" t="str">
        <f t="shared" si="18"/>
        <v/>
      </c>
      <c r="V285" s="147"/>
      <c r="W285" s="148" t="str">
        <f t="shared" si="19"/>
        <v/>
      </c>
      <c r="X285" s="143" t="str">
        <f>IFERROR(_xlfn.XLOOKUP($A285,'Raw Data'!$G:$G,'Raw Data'!$AB:$AB),"")</f>
        <v/>
      </c>
      <c r="Y285" s="143" t="str">
        <f>IFERROR(_xlfn.XLOOKUP($A285,'Raw Data'!$G:$G,'Raw Data'!AC:AC),"")</f>
        <v/>
      </c>
      <c r="Z285" s="143" t="str">
        <f>IFERROR(_xlfn.XLOOKUP($A285,'Raw Data'!$G:$G,'Raw Data'!AD:AD),"")</f>
        <v/>
      </c>
      <c r="AA285" s="143" t="str">
        <f>IFERROR(_xlfn.XLOOKUP($A285,'Raw Data'!$G:$G,'Raw Data'!AE:AE)*(1+(_xlfn.XLOOKUP(Table13[[#This Row],[Month Year]],JMR!$A:$A,JMR!$J:$J))),"")</f>
        <v/>
      </c>
      <c r="AB285" s="143" t="str">
        <f>IFERROR(_xlfn.XLOOKUP($A285,'Raw Data'!$G:$G,'Raw Data'!$H:$H),"")</f>
        <v/>
      </c>
      <c r="AC285" s="149">
        <f>IFERROR(_xlfn.XLOOKUP($D285,'Modelling New'!$D:$D,'Modelling New'!$P:$P),"")</f>
        <v>6.0175946709677417</v>
      </c>
      <c r="AD285" s="143">
        <f>IFERROR(_xlfn.XLOOKUP($D285,'Modelling New'!$D:$D,'Modelling New'!$T:$T)*1000,"")</f>
        <v>54155.22627474973</v>
      </c>
      <c r="AE285" s="148">
        <f>IFERROR(_xlfn.XLOOKUP($D285,'Modelling New'!$D:$D,'Modelling New'!$O:$O),"")</f>
        <v>0.76787376813667318</v>
      </c>
      <c r="AF285" s="148">
        <f>IFERROR(_xlfn.XLOOKUP($D285,'Modelling New'!$D:$D,'Modelling New'!$W:$W),"")</f>
        <v>0.19253137896313183</v>
      </c>
      <c r="AG285" s="148">
        <f>IFERROR(_xlfn.XLOOKUP($D285,'Modelling New'!$D:$D,'Modelling New'!AE:AE),"")</f>
        <v>0.995</v>
      </c>
      <c r="AH285" s="148">
        <f>IFERROR(_xlfn.XLOOKUP($D285,'Modelling New'!$D:$D,'Modelling New'!AF:AF),"")</f>
        <v>0.98550000000000004</v>
      </c>
      <c r="AN285" s="145"/>
      <c r="AO285" s="148"/>
      <c r="AP285" s="148"/>
      <c r="AQ285" s="148"/>
      <c r="AR285" s="143">
        <f>IFERROR(_xlfn.XLOOKUP($D285,'Modelling New'!$D:$D,'Modelling New'!$N:$N),"")</f>
        <v>11.72</v>
      </c>
      <c r="AT285" s="143" t="str">
        <f>IFERROR(_xlfn.XLOOKUP(Table13[[#This Row],[Date]],'Raw Data'!$G:$G,'Raw Data'!$AJ:$AJ),"")</f>
        <v/>
      </c>
      <c r="AU285" s="143">
        <f>IFERROR(_xlfn.XLOOKUP(Table13[[#This Row],[Month Year]],'Modelling New'!$D:$D,'Modelling New'!$AO:$AO),"")</f>
        <v>10</v>
      </c>
      <c r="AV285" s="143"/>
    </row>
    <row r="286" spans="1:48">
      <c r="A286" s="142">
        <f t="shared" si="20"/>
        <v>46029</v>
      </c>
      <c r="B286" s="143">
        <f>YEAR(Table13[[#This Row],[Date]])+IF(MONTH(Table13[[#This Row],[Date]])&gt;=4,1,0)</f>
        <v>2026</v>
      </c>
      <c r="C286" s="116">
        <f>YEAR(Table13[[#This Row],[Date]])</f>
        <v>2026</v>
      </c>
      <c r="D286" s="144">
        <f>Table13[[#This Row],[Date]]-DAY(Table13[[#This Row],[Date]])+1</f>
        <v>46023</v>
      </c>
      <c r="E286" s="116">
        <f t="shared" si="17"/>
        <v>31</v>
      </c>
      <c r="F286" s="117" t="str">
        <f>IFERROR(_xlfn.XLOOKUP($A286,'Raw Data'!$G:$G,'Raw Data'!$AH:$AH),"")</f>
        <v/>
      </c>
      <c r="G286" s="118" t="str">
        <f>IFERROR(_xlfn.XLOOKUP($A286,'Raw Data'!$G:$G,'Raw Data'!$S:$S)/1000,"")</f>
        <v/>
      </c>
      <c r="H286" s="118"/>
      <c r="I286" s="118" t="str">
        <f>IFERROR(_xlfn.XLOOKUP($A286,'Raw Data'!$G:$G,'Raw Data'!$AF:$AF)/1000,"")</f>
        <v/>
      </c>
      <c r="J286" s="118"/>
      <c r="K286" s="118" t="str">
        <f>IFERROR(_xlfn.XLOOKUP($A286,'Raw Data'!$G:$G,'Raw Data'!W:W),"")</f>
        <v/>
      </c>
      <c r="L286" s="118" t="str">
        <f>IFERROR(_xlfn.XLOOKUP($A286,'Raw Data'!$G:$G,'Raw Data'!X:X),"")</f>
        <v/>
      </c>
      <c r="M286" s="118" t="str">
        <f>IFERROR(_xlfn.XLOOKUP($A286,'Raw Data'!$G:$G,'Raw Data'!Y:Y),"")</f>
        <v/>
      </c>
      <c r="N286" s="118" t="str">
        <f>IFERROR(_xlfn.XLOOKUP($A286,'Raw Data'!$G:$G,'Raw Data'!Z:Z),"")</f>
        <v/>
      </c>
      <c r="O286" s="145" t="str">
        <f>IFERROR(1-SUMIF('Plant BD'!$B:$B,$A286,'Plant BD'!$AM:$AM)/($AA286+SUMIF('Plant BD'!$B:$B,$A286,'Plant BD'!$AM:$AM)),"")</f>
        <v/>
      </c>
      <c r="P286" s="145"/>
      <c r="Q286" s="146"/>
      <c r="R286" s="145" t="str">
        <f>IFERROR(1-SUMIF('Grid BD'!$B:$B,$A286,'Grid BD'!$AE:$AE)/($AA286+SUMIF('Grid BD'!$B:$B,$A286,'Grid BD'!$AE:$AE)),"")</f>
        <v/>
      </c>
      <c r="T286" s="146" t="str">
        <f>IFERROR(1-SUMIF(Tracker_BD!$H:$H,$A286,Tracker_BD!AI:AI)/$F286,"")</f>
        <v/>
      </c>
      <c r="U286" s="147" t="str">
        <f t="shared" si="18"/>
        <v/>
      </c>
      <c r="V286" s="147"/>
      <c r="W286" s="148" t="str">
        <f t="shared" si="19"/>
        <v/>
      </c>
      <c r="X286" s="143" t="str">
        <f>IFERROR(_xlfn.XLOOKUP($A286,'Raw Data'!$G:$G,'Raw Data'!$AB:$AB),"")</f>
        <v/>
      </c>
      <c r="Y286" s="143" t="str">
        <f>IFERROR(_xlfn.XLOOKUP($A286,'Raw Data'!$G:$G,'Raw Data'!AC:AC),"")</f>
        <v/>
      </c>
      <c r="Z286" s="143" t="str">
        <f>IFERROR(_xlfn.XLOOKUP($A286,'Raw Data'!$G:$G,'Raw Data'!AD:AD),"")</f>
        <v/>
      </c>
      <c r="AA286" s="143" t="str">
        <f>IFERROR(_xlfn.XLOOKUP($A286,'Raw Data'!$G:$G,'Raw Data'!AE:AE)*(1+(_xlfn.XLOOKUP(Table13[[#This Row],[Month Year]],JMR!$A:$A,JMR!$J:$J))),"")</f>
        <v/>
      </c>
      <c r="AB286" s="143" t="str">
        <f>IFERROR(_xlfn.XLOOKUP($A286,'Raw Data'!$G:$G,'Raw Data'!$H:$H),"")</f>
        <v/>
      </c>
      <c r="AC286" s="149">
        <f>IFERROR(_xlfn.XLOOKUP($D286,'Modelling New'!$D:$D,'Modelling New'!$P:$P),"")</f>
        <v>6.0175946709677417</v>
      </c>
      <c r="AD286" s="143">
        <f>IFERROR(_xlfn.XLOOKUP($D286,'Modelling New'!$D:$D,'Modelling New'!$T:$T)*1000,"")</f>
        <v>54155.22627474973</v>
      </c>
      <c r="AE286" s="148">
        <f>IFERROR(_xlfn.XLOOKUP($D286,'Modelling New'!$D:$D,'Modelling New'!$O:$O),"")</f>
        <v>0.76787376813667318</v>
      </c>
      <c r="AF286" s="148">
        <f>IFERROR(_xlfn.XLOOKUP($D286,'Modelling New'!$D:$D,'Modelling New'!$W:$W),"")</f>
        <v>0.19253137896313183</v>
      </c>
      <c r="AG286" s="148">
        <f>IFERROR(_xlfn.XLOOKUP($D286,'Modelling New'!$D:$D,'Modelling New'!AE:AE),"")</f>
        <v>0.995</v>
      </c>
      <c r="AH286" s="148">
        <f>IFERROR(_xlfn.XLOOKUP($D286,'Modelling New'!$D:$D,'Modelling New'!AF:AF),"")</f>
        <v>0.98550000000000004</v>
      </c>
      <c r="AN286" s="145"/>
      <c r="AO286" s="148"/>
      <c r="AP286" s="148"/>
      <c r="AQ286" s="148"/>
      <c r="AR286" s="143">
        <f>IFERROR(_xlfn.XLOOKUP($D286,'Modelling New'!$D:$D,'Modelling New'!$N:$N),"")</f>
        <v>11.72</v>
      </c>
      <c r="AT286" s="143" t="str">
        <f>IFERROR(_xlfn.XLOOKUP(Table13[[#This Row],[Date]],'Raw Data'!$G:$G,'Raw Data'!$AJ:$AJ),"")</f>
        <v/>
      </c>
      <c r="AU286" s="143">
        <f>IFERROR(_xlfn.XLOOKUP(Table13[[#This Row],[Month Year]],'Modelling New'!$D:$D,'Modelling New'!$AO:$AO),"")</f>
        <v>10</v>
      </c>
      <c r="AV286" s="143"/>
    </row>
    <row r="287" spans="1:48">
      <c r="A287" s="142">
        <f t="shared" si="20"/>
        <v>46030</v>
      </c>
      <c r="B287" s="143">
        <f>YEAR(Table13[[#This Row],[Date]])+IF(MONTH(Table13[[#This Row],[Date]])&gt;=4,1,0)</f>
        <v>2026</v>
      </c>
      <c r="C287" s="116">
        <f>YEAR(Table13[[#This Row],[Date]])</f>
        <v>2026</v>
      </c>
      <c r="D287" s="144">
        <f>Table13[[#This Row],[Date]]-DAY(Table13[[#This Row],[Date]])+1</f>
        <v>46023</v>
      </c>
      <c r="E287" s="116">
        <f t="shared" si="17"/>
        <v>31</v>
      </c>
      <c r="F287" s="117" t="str">
        <f>IFERROR(_xlfn.XLOOKUP($A287,'Raw Data'!$G:$G,'Raw Data'!$AH:$AH),"")</f>
        <v/>
      </c>
      <c r="G287" s="118" t="str">
        <f>IFERROR(_xlfn.XLOOKUP($A287,'Raw Data'!$G:$G,'Raw Data'!$S:$S)/1000,"")</f>
        <v/>
      </c>
      <c r="H287" s="118"/>
      <c r="I287" s="118" t="str">
        <f>IFERROR(_xlfn.XLOOKUP($A287,'Raw Data'!$G:$G,'Raw Data'!$AF:$AF)/1000,"")</f>
        <v/>
      </c>
      <c r="J287" s="118"/>
      <c r="K287" s="118" t="str">
        <f>IFERROR(_xlfn.XLOOKUP($A287,'Raw Data'!$G:$G,'Raw Data'!W:W),"")</f>
        <v/>
      </c>
      <c r="L287" s="118" t="str">
        <f>IFERROR(_xlfn.XLOOKUP($A287,'Raw Data'!$G:$G,'Raw Data'!X:X),"")</f>
        <v/>
      </c>
      <c r="M287" s="118" t="str">
        <f>IFERROR(_xlfn.XLOOKUP($A287,'Raw Data'!$G:$G,'Raw Data'!Y:Y),"")</f>
        <v/>
      </c>
      <c r="N287" s="118" t="str">
        <f>IFERROR(_xlfn.XLOOKUP($A287,'Raw Data'!$G:$G,'Raw Data'!Z:Z),"")</f>
        <v/>
      </c>
      <c r="O287" s="145" t="str">
        <f>IFERROR(1-SUMIF('Plant BD'!$B:$B,$A287,'Plant BD'!$AM:$AM)/($AA287+SUMIF('Plant BD'!$B:$B,$A287,'Plant BD'!$AM:$AM)),"")</f>
        <v/>
      </c>
      <c r="P287" s="145"/>
      <c r="Q287" s="146"/>
      <c r="R287" s="145" t="str">
        <f>IFERROR(1-SUMIF('Grid BD'!$B:$B,$A287,'Grid BD'!$AE:$AE)/($AA287+SUMIF('Grid BD'!$B:$B,$A287,'Grid BD'!$AE:$AE)),"")</f>
        <v/>
      </c>
      <c r="T287" s="146" t="str">
        <f>IFERROR(1-SUMIF(Tracker_BD!$H:$H,$A287,Tracker_BD!AI:AI)/$F287,"")</f>
        <v/>
      </c>
      <c r="U287" s="147" t="str">
        <f t="shared" si="18"/>
        <v/>
      </c>
      <c r="V287" s="147"/>
      <c r="W287" s="148" t="str">
        <f t="shared" si="19"/>
        <v/>
      </c>
      <c r="X287" s="143" t="str">
        <f>IFERROR(_xlfn.XLOOKUP($A287,'Raw Data'!$G:$G,'Raw Data'!$AB:$AB),"")</f>
        <v/>
      </c>
      <c r="Y287" s="143" t="str">
        <f>IFERROR(_xlfn.XLOOKUP($A287,'Raw Data'!$G:$G,'Raw Data'!AC:AC),"")</f>
        <v/>
      </c>
      <c r="Z287" s="143" t="str">
        <f>IFERROR(_xlfn.XLOOKUP($A287,'Raw Data'!$G:$G,'Raw Data'!AD:AD),"")</f>
        <v/>
      </c>
      <c r="AA287" s="143" t="str">
        <f>IFERROR(_xlfn.XLOOKUP($A287,'Raw Data'!$G:$G,'Raw Data'!AE:AE)*(1+(_xlfn.XLOOKUP(Table13[[#This Row],[Month Year]],JMR!$A:$A,JMR!$J:$J))),"")</f>
        <v/>
      </c>
      <c r="AB287" s="143" t="str">
        <f>IFERROR(_xlfn.XLOOKUP($A287,'Raw Data'!$G:$G,'Raw Data'!$H:$H),"")</f>
        <v/>
      </c>
      <c r="AC287" s="149">
        <f>IFERROR(_xlfn.XLOOKUP($D287,'Modelling New'!$D:$D,'Modelling New'!$P:$P),"")</f>
        <v>6.0175946709677417</v>
      </c>
      <c r="AD287" s="143">
        <f>IFERROR(_xlfn.XLOOKUP($D287,'Modelling New'!$D:$D,'Modelling New'!$T:$T)*1000,"")</f>
        <v>54155.22627474973</v>
      </c>
      <c r="AE287" s="148">
        <f>IFERROR(_xlfn.XLOOKUP($D287,'Modelling New'!$D:$D,'Modelling New'!$O:$O),"")</f>
        <v>0.76787376813667318</v>
      </c>
      <c r="AF287" s="148">
        <f>IFERROR(_xlfn.XLOOKUP($D287,'Modelling New'!$D:$D,'Modelling New'!$W:$W),"")</f>
        <v>0.19253137896313183</v>
      </c>
      <c r="AG287" s="148">
        <f>IFERROR(_xlfn.XLOOKUP($D287,'Modelling New'!$D:$D,'Modelling New'!AE:AE),"")</f>
        <v>0.995</v>
      </c>
      <c r="AH287" s="148">
        <f>IFERROR(_xlfn.XLOOKUP($D287,'Modelling New'!$D:$D,'Modelling New'!AF:AF),"")</f>
        <v>0.98550000000000004</v>
      </c>
      <c r="AN287" s="145"/>
      <c r="AO287" s="148"/>
      <c r="AP287" s="148"/>
      <c r="AQ287" s="148"/>
      <c r="AR287" s="143">
        <f>IFERROR(_xlfn.XLOOKUP($D287,'Modelling New'!$D:$D,'Modelling New'!$N:$N),"")</f>
        <v>11.72</v>
      </c>
      <c r="AT287" s="143" t="str">
        <f>IFERROR(_xlfn.XLOOKUP(Table13[[#This Row],[Date]],'Raw Data'!$G:$G,'Raw Data'!$AJ:$AJ),"")</f>
        <v/>
      </c>
      <c r="AU287" s="143">
        <f>IFERROR(_xlfn.XLOOKUP(Table13[[#This Row],[Month Year]],'Modelling New'!$D:$D,'Modelling New'!$AO:$AO),"")</f>
        <v>10</v>
      </c>
      <c r="AV287" s="143"/>
    </row>
    <row r="288" spans="1:48">
      <c r="A288" s="142">
        <f t="shared" si="20"/>
        <v>46031</v>
      </c>
      <c r="B288" s="143">
        <f>YEAR(Table13[[#This Row],[Date]])+IF(MONTH(Table13[[#This Row],[Date]])&gt;=4,1,0)</f>
        <v>2026</v>
      </c>
      <c r="C288" s="116">
        <f>YEAR(Table13[[#This Row],[Date]])</f>
        <v>2026</v>
      </c>
      <c r="D288" s="144">
        <f>Table13[[#This Row],[Date]]-DAY(Table13[[#This Row],[Date]])+1</f>
        <v>46023</v>
      </c>
      <c r="E288" s="116">
        <f t="shared" si="17"/>
        <v>31</v>
      </c>
      <c r="F288" s="117" t="str">
        <f>IFERROR(_xlfn.XLOOKUP($A288,'Raw Data'!$G:$G,'Raw Data'!$AH:$AH),"")</f>
        <v/>
      </c>
      <c r="G288" s="118" t="str">
        <f>IFERROR(_xlfn.XLOOKUP($A288,'Raw Data'!$G:$G,'Raw Data'!$S:$S)/1000,"")</f>
        <v/>
      </c>
      <c r="H288" s="118"/>
      <c r="I288" s="118" t="str">
        <f>IFERROR(_xlfn.XLOOKUP($A288,'Raw Data'!$G:$G,'Raw Data'!$AF:$AF)/1000,"")</f>
        <v/>
      </c>
      <c r="J288" s="118"/>
      <c r="K288" s="118" t="str">
        <f>IFERROR(_xlfn.XLOOKUP($A288,'Raw Data'!$G:$G,'Raw Data'!W:W),"")</f>
        <v/>
      </c>
      <c r="L288" s="118" t="str">
        <f>IFERROR(_xlfn.XLOOKUP($A288,'Raw Data'!$G:$G,'Raw Data'!X:X),"")</f>
        <v/>
      </c>
      <c r="M288" s="118" t="str">
        <f>IFERROR(_xlfn.XLOOKUP($A288,'Raw Data'!$G:$G,'Raw Data'!Y:Y),"")</f>
        <v/>
      </c>
      <c r="N288" s="118" t="str">
        <f>IFERROR(_xlfn.XLOOKUP($A288,'Raw Data'!$G:$G,'Raw Data'!Z:Z),"")</f>
        <v/>
      </c>
      <c r="O288" s="145" t="str">
        <f>IFERROR(1-SUMIF('Plant BD'!$B:$B,$A288,'Plant BD'!$AM:$AM)/($AA288+SUMIF('Plant BD'!$B:$B,$A288,'Plant BD'!$AM:$AM)),"")</f>
        <v/>
      </c>
      <c r="P288" s="145"/>
      <c r="Q288" s="146"/>
      <c r="R288" s="145" t="str">
        <f>IFERROR(1-SUMIF('Grid BD'!$B:$B,$A288,'Grid BD'!$AE:$AE)/($AA288+SUMIF('Grid BD'!$B:$B,$A288,'Grid BD'!$AE:$AE)),"")</f>
        <v/>
      </c>
      <c r="T288" s="146" t="str">
        <f>IFERROR(1-SUMIF(Tracker_BD!$H:$H,$A288,Tracker_BD!AI:AI)/$F288,"")</f>
        <v/>
      </c>
      <c r="U288" s="147" t="str">
        <f t="shared" si="18"/>
        <v/>
      </c>
      <c r="V288" s="147"/>
      <c r="W288" s="148" t="str">
        <f t="shared" si="19"/>
        <v/>
      </c>
      <c r="X288" s="143" t="str">
        <f>IFERROR(_xlfn.XLOOKUP($A288,'Raw Data'!$G:$G,'Raw Data'!$AB:$AB),"")</f>
        <v/>
      </c>
      <c r="Y288" s="143" t="str">
        <f>IFERROR(_xlfn.XLOOKUP($A288,'Raw Data'!$G:$G,'Raw Data'!AC:AC),"")</f>
        <v/>
      </c>
      <c r="Z288" s="143" t="str">
        <f>IFERROR(_xlfn.XLOOKUP($A288,'Raw Data'!$G:$G,'Raw Data'!AD:AD),"")</f>
        <v/>
      </c>
      <c r="AA288" s="143" t="str">
        <f>IFERROR(_xlfn.XLOOKUP($A288,'Raw Data'!$G:$G,'Raw Data'!AE:AE)*(1+(_xlfn.XLOOKUP(Table13[[#This Row],[Month Year]],JMR!$A:$A,JMR!$J:$J))),"")</f>
        <v/>
      </c>
      <c r="AB288" s="143" t="str">
        <f>IFERROR(_xlfn.XLOOKUP($A288,'Raw Data'!$G:$G,'Raw Data'!$H:$H),"")</f>
        <v/>
      </c>
      <c r="AC288" s="149">
        <f>IFERROR(_xlfn.XLOOKUP($D288,'Modelling New'!$D:$D,'Modelling New'!$P:$P),"")</f>
        <v>6.0175946709677417</v>
      </c>
      <c r="AD288" s="143">
        <f>IFERROR(_xlfn.XLOOKUP($D288,'Modelling New'!$D:$D,'Modelling New'!$T:$T)*1000,"")</f>
        <v>54155.22627474973</v>
      </c>
      <c r="AE288" s="148">
        <f>IFERROR(_xlfn.XLOOKUP($D288,'Modelling New'!$D:$D,'Modelling New'!$O:$O),"")</f>
        <v>0.76787376813667318</v>
      </c>
      <c r="AF288" s="148">
        <f>IFERROR(_xlfn.XLOOKUP($D288,'Modelling New'!$D:$D,'Modelling New'!$W:$W),"")</f>
        <v>0.19253137896313183</v>
      </c>
      <c r="AG288" s="148">
        <f>IFERROR(_xlfn.XLOOKUP($D288,'Modelling New'!$D:$D,'Modelling New'!AE:AE),"")</f>
        <v>0.995</v>
      </c>
      <c r="AH288" s="148">
        <f>IFERROR(_xlfn.XLOOKUP($D288,'Modelling New'!$D:$D,'Modelling New'!AF:AF),"")</f>
        <v>0.98550000000000004</v>
      </c>
      <c r="AN288" s="145"/>
      <c r="AO288" s="148"/>
      <c r="AP288" s="148"/>
      <c r="AQ288" s="148"/>
      <c r="AR288" s="143">
        <f>IFERROR(_xlfn.XLOOKUP($D288,'Modelling New'!$D:$D,'Modelling New'!$N:$N),"")</f>
        <v>11.72</v>
      </c>
      <c r="AT288" s="143" t="str">
        <f>IFERROR(_xlfn.XLOOKUP(Table13[[#This Row],[Date]],'Raw Data'!$G:$G,'Raw Data'!$AJ:$AJ),"")</f>
        <v/>
      </c>
      <c r="AU288" s="143">
        <f>IFERROR(_xlfn.XLOOKUP(Table13[[#This Row],[Month Year]],'Modelling New'!$D:$D,'Modelling New'!$AO:$AO),"")</f>
        <v>10</v>
      </c>
      <c r="AV288" s="143"/>
    </row>
    <row r="289" spans="1:48">
      <c r="A289" s="142">
        <f t="shared" si="20"/>
        <v>46032</v>
      </c>
      <c r="B289" s="143">
        <f>YEAR(Table13[[#This Row],[Date]])+IF(MONTH(Table13[[#This Row],[Date]])&gt;=4,1,0)</f>
        <v>2026</v>
      </c>
      <c r="C289" s="116">
        <f>YEAR(Table13[[#This Row],[Date]])</f>
        <v>2026</v>
      </c>
      <c r="D289" s="144">
        <f>Table13[[#This Row],[Date]]-DAY(Table13[[#This Row],[Date]])+1</f>
        <v>46023</v>
      </c>
      <c r="E289" s="116">
        <f t="shared" si="17"/>
        <v>31</v>
      </c>
      <c r="F289" s="117" t="str">
        <f>IFERROR(_xlfn.XLOOKUP($A289,'Raw Data'!$G:$G,'Raw Data'!$AH:$AH),"")</f>
        <v/>
      </c>
      <c r="G289" s="118" t="str">
        <f>IFERROR(_xlfn.XLOOKUP($A289,'Raw Data'!$G:$G,'Raw Data'!$S:$S)/1000,"")</f>
        <v/>
      </c>
      <c r="H289" s="118"/>
      <c r="I289" s="118" t="str">
        <f>IFERROR(_xlfn.XLOOKUP($A289,'Raw Data'!$G:$G,'Raw Data'!$AF:$AF)/1000,"")</f>
        <v/>
      </c>
      <c r="J289" s="118"/>
      <c r="K289" s="118" t="str">
        <f>IFERROR(_xlfn.XLOOKUP($A289,'Raw Data'!$G:$G,'Raw Data'!W:W),"")</f>
        <v/>
      </c>
      <c r="L289" s="118" t="str">
        <f>IFERROR(_xlfn.XLOOKUP($A289,'Raw Data'!$G:$G,'Raw Data'!X:X),"")</f>
        <v/>
      </c>
      <c r="M289" s="118" t="str">
        <f>IFERROR(_xlfn.XLOOKUP($A289,'Raw Data'!$G:$G,'Raw Data'!Y:Y),"")</f>
        <v/>
      </c>
      <c r="N289" s="118" t="str">
        <f>IFERROR(_xlfn.XLOOKUP($A289,'Raw Data'!$G:$G,'Raw Data'!Z:Z),"")</f>
        <v/>
      </c>
      <c r="O289" s="145" t="str">
        <f>IFERROR(1-SUMIF('Plant BD'!$B:$B,$A289,'Plant BD'!$AM:$AM)/($AA289+SUMIF('Plant BD'!$B:$B,$A289,'Plant BD'!$AM:$AM)),"")</f>
        <v/>
      </c>
      <c r="P289" s="145"/>
      <c r="Q289" s="146"/>
      <c r="R289" s="145" t="str">
        <f>IFERROR(1-SUMIF('Grid BD'!$B:$B,$A289,'Grid BD'!$AE:$AE)/($AA289+SUMIF('Grid BD'!$B:$B,$A289,'Grid BD'!$AE:$AE)),"")</f>
        <v/>
      </c>
      <c r="T289" s="146" t="str">
        <f>IFERROR(1-SUMIF(Tracker_BD!$H:$H,$A289,Tracker_BD!AI:AI)/$F289,"")</f>
        <v/>
      </c>
      <c r="U289" s="147" t="str">
        <f t="shared" si="18"/>
        <v/>
      </c>
      <c r="V289" s="147"/>
      <c r="W289" s="148" t="str">
        <f t="shared" si="19"/>
        <v/>
      </c>
      <c r="X289" s="143" t="str">
        <f>IFERROR(_xlfn.XLOOKUP($A289,'Raw Data'!$G:$G,'Raw Data'!$AB:$AB),"")</f>
        <v/>
      </c>
      <c r="Y289" s="143" t="str">
        <f>IFERROR(_xlfn.XLOOKUP($A289,'Raw Data'!$G:$G,'Raw Data'!AC:AC),"")</f>
        <v/>
      </c>
      <c r="Z289" s="143" t="str">
        <f>IFERROR(_xlfn.XLOOKUP($A289,'Raw Data'!$G:$G,'Raw Data'!AD:AD),"")</f>
        <v/>
      </c>
      <c r="AA289" s="143" t="str">
        <f>IFERROR(_xlfn.XLOOKUP($A289,'Raw Data'!$G:$G,'Raw Data'!AE:AE)*(1+(_xlfn.XLOOKUP(Table13[[#This Row],[Month Year]],JMR!$A:$A,JMR!$J:$J))),"")</f>
        <v/>
      </c>
      <c r="AB289" s="143" t="str">
        <f>IFERROR(_xlfn.XLOOKUP($A289,'Raw Data'!$G:$G,'Raw Data'!$H:$H),"")</f>
        <v/>
      </c>
      <c r="AC289" s="149">
        <f>IFERROR(_xlfn.XLOOKUP($D289,'Modelling New'!$D:$D,'Modelling New'!$P:$P),"")</f>
        <v>6.0175946709677417</v>
      </c>
      <c r="AD289" s="143">
        <f>IFERROR(_xlfn.XLOOKUP($D289,'Modelling New'!$D:$D,'Modelling New'!$T:$T)*1000,"")</f>
        <v>54155.22627474973</v>
      </c>
      <c r="AE289" s="148">
        <f>IFERROR(_xlfn.XLOOKUP($D289,'Modelling New'!$D:$D,'Modelling New'!$O:$O),"")</f>
        <v>0.76787376813667318</v>
      </c>
      <c r="AF289" s="148">
        <f>IFERROR(_xlfn.XLOOKUP($D289,'Modelling New'!$D:$D,'Modelling New'!$W:$W),"")</f>
        <v>0.19253137896313183</v>
      </c>
      <c r="AG289" s="148">
        <f>IFERROR(_xlfn.XLOOKUP($D289,'Modelling New'!$D:$D,'Modelling New'!AE:AE),"")</f>
        <v>0.995</v>
      </c>
      <c r="AH289" s="148">
        <f>IFERROR(_xlfn.XLOOKUP($D289,'Modelling New'!$D:$D,'Modelling New'!AF:AF),"")</f>
        <v>0.98550000000000004</v>
      </c>
      <c r="AN289" s="145"/>
      <c r="AO289" s="148"/>
      <c r="AP289" s="148"/>
      <c r="AQ289" s="148"/>
      <c r="AR289" s="143">
        <f>IFERROR(_xlfn.XLOOKUP($D289,'Modelling New'!$D:$D,'Modelling New'!$N:$N),"")</f>
        <v>11.72</v>
      </c>
      <c r="AT289" s="143" t="str">
        <f>IFERROR(_xlfn.XLOOKUP(Table13[[#This Row],[Date]],'Raw Data'!$G:$G,'Raw Data'!$AJ:$AJ),"")</f>
        <v/>
      </c>
      <c r="AU289" s="143">
        <f>IFERROR(_xlfn.XLOOKUP(Table13[[#This Row],[Month Year]],'Modelling New'!$D:$D,'Modelling New'!$AO:$AO),"")</f>
        <v>10</v>
      </c>
      <c r="AV289" s="143"/>
    </row>
    <row r="290" spans="1:48">
      <c r="A290" s="142">
        <f t="shared" si="20"/>
        <v>46033</v>
      </c>
      <c r="B290" s="143">
        <f>YEAR(Table13[[#This Row],[Date]])+IF(MONTH(Table13[[#This Row],[Date]])&gt;=4,1,0)</f>
        <v>2026</v>
      </c>
      <c r="C290" s="116">
        <f>YEAR(Table13[[#This Row],[Date]])</f>
        <v>2026</v>
      </c>
      <c r="D290" s="144">
        <f>Table13[[#This Row],[Date]]-DAY(Table13[[#This Row],[Date]])+1</f>
        <v>46023</v>
      </c>
      <c r="E290" s="116">
        <f t="shared" si="17"/>
        <v>31</v>
      </c>
      <c r="F290" s="117" t="str">
        <f>IFERROR(_xlfn.XLOOKUP($A290,'Raw Data'!$G:$G,'Raw Data'!$AH:$AH),"")</f>
        <v/>
      </c>
      <c r="G290" s="118" t="str">
        <f>IFERROR(_xlfn.XLOOKUP($A290,'Raw Data'!$G:$G,'Raw Data'!$S:$S)/1000,"")</f>
        <v/>
      </c>
      <c r="H290" s="118"/>
      <c r="I290" s="118" t="str">
        <f>IFERROR(_xlfn.XLOOKUP($A290,'Raw Data'!$G:$G,'Raw Data'!$AF:$AF)/1000,"")</f>
        <v/>
      </c>
      <c r="J290" s="118"/>
      <c r="K290" s="118" t="str">
        <f>IFERROR(_xlfn.XLOOKUP($A290,'Raw Data'!$G:$G,'Raw Data'!W:W),"")</f>
        <v/>
      </c>
      <c r="L290" s="118" t="str">
        <f>IFERROR(_xlfn.XLOOKUP($A290,'Raw Data'!$G:$G,'Raw Data'!X:X),"")</f>
        <v/>
      </c>
      <c r="M290" s="118" t="str">
        <f>IFERROR(_xlfn.XLOOKUP($A290,'Raw Data'!$G:$G,'Raw Data'!Y:Y),"")</f>
        <v/>
      </c>
      <c r="N290" s="118" t="str">
        <f>IFERROR(_xlfn.XLOOKUP($A290,'Raw Data'!$G:$G,'Raw Data'!Z:Z),"")</f>
        <v/>
      </c>
      <c r="O290" s="145" t="str">
        <f>IFERROR(1-SUMIF('Plant BD'!$B:$B,$A290,'Plant BD'!$AM:$AM)/($AA290+SUMIF('Plant BD'!$B:$B,$A290,'Plant BD'!$AM:$AM)),"")</f>
        <v/>
      </c>
      <c r="P290" s="145"/>
      <c r="Q290" s="146"/>
      <c r="R290" s="145" t="str">
        <f>IFERROR(1-SUMIF('Grid BD'!$B:$B,$A290,'Grid BD'!$AE:$AE)/($AA290+SUMIF('Grid BD'!$B:$B,$A290,'Grid BD'!$AE:$AE)),"")</f>
        <v/>
      </c>
      <c r="T290" s="146" t="str">
        <f>IFERROR(1-SUMIF(Tracker_BD!$H:$H,$A290,Tracker_BD!AI:AI)/$F290,"")</f>
        <v/>
      </c>
      <c r="U290" s="147" t="str">
        <f t="shared" si="18"/>
        <v/>
      </c>
      <c r="V290" s="147"/>
      <c r="W290" s="148" t="str">
        <f t="shared" si="19"/>
        <v/>
      </c>
      <c r="X290" s="143" t="str">
        <f>IFERROR(_xlfn.XLOOKUP($A290,'Raw Data'!$G:$G,'Raw Data'!$AB:$AB),"")</f>
        <v/>
      </c>
      <c r="Y290" s="143" t="str">
        <f>IFERROR(_xlfn.XLOOKUP($A290,'Raw Data'!$G:$G,'Raw Data'!AC:AC),"")</f>
        <v/>
      </c>
      <c r="Z290" s="143" t="str">
        <f>IFERROR(_xlfn.XLOOKUP($A290,'Raw Data'!$G:$G,'Raw Data'!AD:AD),"")</f>
        <v/>
      </c>
      <c r="AA290" s="143" t="str">
        <f>IFERROR(_xlfn.XLOOKUP($A290,'Raw Data'!$G:$G,'Raw Data'!AE:AE)*(1+(_xlfn.XLOOKUP(Table13[[#This Row],[Month Year]],JMR!$A:$A,JMR!$J:$J))),"")</f>
        <v/>
      </c>
      <c r="AB290" s="143" t="str">
        <f>IFERROR(_xlfn.XLOOKUP($A290,'Raw Data'!$G:$G,'Raw Data'!$H:$H),"")</f>
        <v/>
      </c>
      <c r="AC290" s="149">
        <f>IFERROR(_xlfn.XLOOKUP($D290,'Modelling New'!$D:$D,'Modelling New'!$P:$P),"")</f>
        <v>6.0175946709677417</v>
      </c>
      <c r="AD290" s="143">
        <f>IFERROR(_xlfn.XLOOKUP($D290,'Modelling New'!$D:$D,'Modelling New'!$T:$T)*1000,"")</f>
        <v>54155.22627474973</v>
      </c>
      <c r="AE290" s="148">
        <f>IFERROR(_xlfn.XLOOKUP($D290,'Modelling New'!$D:$D,'Modelling New'!$O:$O),"")</f>
        <v>0.76787376813667318</v>
      </c>
      <c r="AF290" s="148">
        <f>IFERROR(_xlfn.XLOOKUP($D290,'Modelling New'!$D:$D,'Modelling New'!$W:$W),"")</f>
        <v>0.19253137896313183</v>
      </c>
      <c r="AG290" s="148">
        <f>IFERROR(_xlfn.XLOOKUP($D290,'Modelling New'!$D:$D,'Modelling New'!AE:AE),"")</f>
        <v>0.995</v>
      </c>
      <c r="AH290" s="148">
        <f>IFERROR(_xlfn.XLOOKUP($D290,'Modelling New'!$D:$D,'Modelling New'!AF:AF),"")</f>
        <v>0.98550000000000004</v>
      </c>
      <c r="AN290" s="145"/>
      <c r="AO290" s="148"/>
      <c r="AP290" s="148"/>
      <c r="AQ290" s="148"/>
      <c r="AR290" s="143">
        <f>IFERROR(_xlfn.XLOOKUP($D290,'Modelling New'!$D:$D,'Modelling New'!$N:$N),"")</f>
        <v>11.72</v>
      </c>
      <c r="AT290" s="143" t="str">
        <f>IFERROR(_xlfn.XLOOKUP(Table13[[#This Row],[Date]],'Raw Data'!$G:$G,'Raw Data'!$AJ:$AJ),"")</f>
        <v/>
      </c>
      <c r="AU290" s="143">
        <f>IFERROR(_xlfn.XLOOKUP(Table13[[#This Row],[Month Year]],'Modelling New'!$D:$D,'Modelling New'!$AO:$AO),"")</f>
        <v>10</v>
      </c>
      <c r="AV290" s="143"/>
    </row>
    <row r="291" spans="1:48">
      <c r="A291" s="142">
        <f t="shared" si="20"/>
        <v>46034</v>
      </c>
      <c r="B291" s="143">
        <f>YEAR(Table13[[#This Row],[Date]])+IF(MONTH(Table13[[#This Row],[Date]])&gt;=4,1,0)</f>
        <v>2026</v>
      </c>
      <c r="C291" s="116">
        <f>YEAR(Table13[[#This Row],[Date]])</f>
        <v>2026</v>
      </c>
      <c r="D291" s="144">
        <f>Table13[[#This Row],[Date]]-DAY(Table13[[#This Row],[Date]])+1</f>
        <v>46023</v>
      </c>
      <c r="E291" s="116">
        <f t="shared" si="17"/>
        <v>31</v>
      </c>
      <c r="F291" s="117" t="str">
        <f>IFERROR(_xlfn.XLOOKUP($A291,'Raw Data'!$G:$G,'Raw Data'!$AH:$AH),"")</f>
        <v/>
      </c>
      <c r="G291" s="118" t="str">
        <f>IFERROR(_xlfn.XLOOKUP($A291,'Raw Data'!$G:$G,'Raw Data'!$S:$S)/1000,"")</f>
        <v/>
      </c>
      <c r="H291" s="118"/>
      <c r="I291" s="118" t="str">
        <f>IFERROR(_xlfn.XLOOKUP($A291,'Raw Data'!$G:$G,'Raw Data'!$AF:$AF)/1000,"")</f>
        <v/>
      </c>
      <c r="J291" s="118"/>
      <c r="K291" s="118" t="str">
        <f>IFERROR(_xlfn.XLOOKUP($A291,'Raw Data'!$G:$G,'Raw Data'!W:W),"")</f>
        <v/>
      </c>
      <c r="L291" s="118" t="str">
        <f>IFERROR(_xlfn.XLOOKUP($A291,'Raw Data'!$G:$G,'Raw Data'!X:X),"")</f>
        <v/>
      </c>
      <c r="M291" s="118" t="str">
        <f>IFERROR(_xlfn.XLOOKUP($A291,'Raw Data'!$G:$G,'Raw Data'!Y:Y),"")</f>
        <v/>
      </c>
      <c r="N291" s="118" t="str">
        <f>IFERROR(_xlfn.XLOOKUP($A291,'Raw Data'!$G:$G,'Raw Data'!Z:Z),"")</f>
        <v/>
      </c>
      <c r="O291" s="145" t="str">
        <f>IFERROR(1-SUMIF('Plant BD'!$B:$B,$A291,'Plant BD'!$AM:$AM)/($AA291+SUMIF('Plant BD'!$B:$B,$A291,'Plant BD'!$AM:$AM)),"")</f>
        <v/>
      </c>
      <c r="P291" s="145"/>
      <c r="Q291" s="146"/>
      <c r="R291" s="145" t="str">
        <f>IFERROR(1-SUMIF('Grid BD'!$B:$B,$A291,'Grid BD'!$AE:$AE)/($AA291+SUMIF('Grid BD'!$B:$B,$A291,'Grid BD'!$AE:$AE)),"")</f>
        <v/>
      </c>
      <c r="T291" s="146" t="str">
        <f>IFERROR(1-SUMIF(Tracker_BD!$H:$H,$A291,Tracker_BD!AI:AI)/$F291,"")</f>
        <v/>
      </c>
      <c r="U291" s="147" t="str">
        <f t="shared" si="18"/>
        <v/>
      </c>
      <c r="V291" s="147"/>
      <c r="W291" s="148" t="str">
        <f t="shared" si="19"/>
        <v/>
      </c>
      <c r="X291" s="143" t="str">
        <f>IFERROR(_xlfn.XLOOKUP($A291,'Raw Data'!$G:$G,'Raw Data'!$AB:$AB),"")</f>
        <v/>
      </c>
      <c r="Y291" s="143" t="str">
        <f>IFERROR(_xlfn.XLOOKUP($A291,'Raw Data'!$G:$G,'Raw Data'!AC:AC),"")</f>
        <v/>
      </c>
      <c r="Z291" s="143" t="str">
        <f>IFERROR(_xlfn.XLOOKUP($A291,'Raw Data'!$G:$G,'Raw Data'!AD:AD),"")</f>
        <v/>
      </c>
      <c r="AA291" s="143" t="str">
        <f>IFERROR(_xlfn.XLOOKUP($A291,'Raw Data'!$G:$G,'Raw Data'!AE:AE)*(1+(_xlfn.XLOOKUP(Table13[[#This Row],[Month Year]],JMR!$A:$A,JMR!$J:$J))),"")</f>
        <v/>
      </c>
      <c r="AB291" s="143" t="str">
        <f>IFERROR(_xlfn.XLOOKUP($A291,'Raw Data'!$G:$G,'Raw Data'!$H:$H),"")</f>
        <v/>
      </c>
      <c r="AC291" s="149">
        <f>IFERROR(_xlfn.XLOOKUP($D291,'Modelling New'!$D:$D,'Modelling New'!$P:$P),"")</f>
        <v>6.0175946709677417</v>
      </c>
      <c r="AD291" s="143">
        <f>IFERROR(_xlfn.XLOOKUP($D291,'Modelling New'!$D:$D,'Modelling New'!$T:$T)*1000,"")</f>
        <v>54155.22627474973</v>
      </c>
      <c r="AE291" s="148">
        <f>IFERROR(_xlfn.XLOOKUP($D291,'Modelling New'!$D:$D,'Modelling New'!$O:$O),"")</f>
        <v>0.76787376813667318</v>
      </c>
      <c r="AF291" s="148">
        <f>IFERROR(_xlfn.XLOOKUP($D291,'Modelling New'!$D:$D,'Modelling New'!$W:$W),"")</f>
        <v>0.19253137896313183</v>
      </c>
      <c r="AG291" s="148">
        <f>IFERROR(_xlfn.XLOOKUP($D291,'Modelling New'!$D:$D,'Modelling New'!AE:AE),"")</f>
        <v>0.995</v>
      </c>
      <c r="AH291" s="148">
        <f>IFERROR(_xlfn.XLOOKUP($D291,'Modelling New'!$D:$D,'Modelling New'!AF:AF),"")</f>
        <v>0.98550000000000004</v>
      </c>
      <c r="AN291" s="145"/>
      <c r="AO291" s="148"/>
      <c r="AP291" s="148"/>
      <c r="AQ291" s="148"/>
      <c r="AR291" s="143">
        <f>IFERROR(_xlfn.XLOOKUP($D291,'Modelling New'!$D:$D,'Modelling New'!$N:$N),"")</f>
        <v>11.72</v>
      </c>
      <c r="AT291" s="143" t="str">
        <f>IFERROR(_xlfn.XLOOKUP(Table13[[#This Row],[Date]],'Raw Data'!$G:$G,'Raw Data'!$AJ:$AJ),"")</f>
        <v/>
      </c>
      <c r="AU291" s="143">
        <f>IFERROR(_xlfn.XLOOKUP(Table13[[#This Row],[Month Year]],'Modelling New'!$D:$D,'Modelling New'!$AO:$AO),"")</f>
        <v>10</v>
      </c>
      <c r="AV291" s="143"/>
    </row>
    <row r="292" spans="1:48">
      <c r="A292" s="142">
        <f t="shared" si="20"/>
        <v>46035</v>
      </c>
      <c r="B292" s="143">
        <f>YEAR(Table13[[#This Row],[Date]])+IF(MONTH(Table13[[#This Row],[Date]])&gt;=4,1,0)</f>
        <v>2026</v>
      </c>
      <c r="C292" s="116">
        <f>YEAR(Table13[[#This Row],[Date]])</f>
        <v>2026</v>
      </c>
      <c r="D292" s="144">
        <f>Table13[[#This Row],[Date]]-DAY(Table13[[#This Row],[Date]])+1</f>
        <v>46023</v>
      </c>
      <c r="E292" s="116">
        <f t="shared" si="17"/>
        <v>31</v>
      </c>
      <c r="F292" s="117" t="str">
        <f>IFERROR(_xlfn.XLOOKUP($A292,'Raw Data'!$G:$G,'Raw Data'!$AH:$AH),"")</f>
        <v/>
      </c>
      <c r="G292" s="118" t="str">
        <f>IFERROR(_xlfn.XLOOKUP($A292,'Raw Data'!$G:$G,'Raw Data'!$S:$S)/1000,"")</f>
        <v/>
      </c>
      <c r="H292" s="118"/>
      <c r="I292" s="118" t="str">
        <f>IFERROR(_xlfn.XLOOKUP($A292,'Raw Data'!$G:$G,'Raw Data'!$AF:$AF)/1000,"")</f>
        <v/>
      </c>
      <c r="J292" s="118"/>
      <c r="K292" s="118" t="str">
        <f>IFERROR(_xlfn.XLOOKUP($A292,'Raw Data'!$G:$G,'Raw Data'!W:W),"")</f>
        <v/>
      </c>
      <c r="L292" s="118" t="str">
        <f>IFERROR(_xlfn.XLOOKUP($A292,'Raw Data'!$G:$G,'Raw Data'!X:X),"")</f>
        <v/>
      </c>
      <c r="M292" s="118" t="str">
        <f>IFERROR(_xlfn.XLOOKUP($A292,'Raw Data'!$G:$G,'Raw Data'!Y:Y),"")</f>
        <v/>
      </c>
      <c r="N292" s="118" t="str">
        <f>IFERROR(_xlfn.XLOOKUP($A292,'Raw Data'!$G:$G,'Raw Data'!Z:Z),"")</f>
        <v/>
      </c>
      <c r="O292" s="145" t="str">
        <f>IFERROR(1-SUMIF('Plant BD'!$B:$B,$A292,'Plant BD'!$AM:$AM)/($AA292+SUMIF('Plant BD'!$B:$B,$A292,'Plant BD'!$AM:$AM)),"")</f>
        <v/>
      </c>
      <c r="P292" s="145"/>
      <c r="Q292" s="146"/>
      <c r="R292" s="145" t="str">
        <f>IFERROR(1-SUMIF('Grid BD'!$B:$B,$A292,'Grid BD'!$AE:$AE)/($AA292+SUMIF('Grid BD'!$B:$B,$A292,'Grid BD'!$AE:$AE)),"")</f>
        <v/>
      </c>
      <c r="T292" s="146" t="str">
        <f>IFERROR(1-SUMIF(Tracker_BD!$H:$H,$A292,Tracker_BD!AI:AI)/$F292,"")</f>
        <v/>
      </c>
      <c r="U292" s="147" t="str">
        <f t="shared" si="18"/>
        <v/>
      </c>
      <c r="V292" s="147"/>
      <c r="W292" s="148" t="str">
        <f t="shared" si="19"/>
        <v/>
      </c>
      <c r="X292" s="143" t="str">
        <f>IFERROR(_xlfn.XLOOKUP($A292,'Raw Data'!$G:$G,'Raw Data'!$AB:$AB),"")</f>
        <v/>
      </c>
      <c r="Y292" s="143" t="str">
        <f>IFERROR(_xlfn.XLOOKUP($A292,'Raw Data'!$G:$G,'Raw Data'!AC:AC),"")</f>
        <v/>
      </c>
      <c r="Z292" s="143" t="str">
        <f>IFERROR(_xlfn.XLOOKUP($A292,'Raw Data'!$G:$G,'Raw Data'!AD:AD),"")</f>
        <v/>
      </c>
      <c r="AA292" s="143" t="str">
        <f>IFERROR(_xlfn.XLOOKUP($A292,'Raw Data'!$G:$G,'Raw Data'!AE:AE)*(1+(_xlfn.XLOOKUP(Table13[[#This Row],[Month Year]],JMR!$A:$A,JMR!$J:$J))),"")</f>
        <v/>
      </c>
      <c r="AB292" s="143" t="str">
        <f>IFERROR(_xlfn.XLOOKUP($A292,'Raw Data'!$G:$G,'Raw Data'!$H:$H),"")</f>
        <v/>
      </c>
      <c r="AC292" s="149">
        <f>IFERROR(_xlfn.XLOOKUP($D292,'Modelling New'!$D:$D,'Modelling New'!$P:$P),"")</f>
        <v>6.0175946709677417</v>
      </c>
      <c r="AD292" s="143">
        <f>IFERROR(_xlfn.XLOOKUP($D292,'Modelling New'!$D:$D,'Modelling New'!$T:$T)*1000,"")</f>
        <v>54155.22627474973</v>
      </c>
      <c r="AE292" s="148">
        <f>IFERROR(_xlfn.XLOOKUP($D292,'Modelling New'!$D:$D,'Modelling New'!$O:$O),"")</f>
        <v>0.76787376813667318</v>
      </c>
      <c r="AF292" s="148">
        <f>IFERROR(_xlfn.XLOOKUP($D292,'Modelling New'!$D:$D,'Modelling New'!$W:$W),"")</f>
        <v>0.19253137896313183</v>
      </c>
      <c r="AG292" s="148">
        <f>IFERROR(_xlfn.XLOOKUP($D292,'Modelling New'!$D:$D,'Modelling New'!AE:AE),"")</f>
        <v>0.995</v>
      </c>
      <c r="AH292" s="148">
        <f>IFERROR(_xlfn.XLOOKUP($D292,'Modelling New'!$D:$D,'Modelling New'!AF:AF),"")</f>
        <v>0.98550000000000004</v>
      </c>
      <c r="AN292" s="145"/>
      <c r="AO292" s="148"/>
      <c r="AP292" s="148"/>
      <c r="AQ292" s="148"/>
      <c r="AR292" s="143">
        <f>IFERROR(_xlfn.XLOOKUP($D292,'Modelling New'!$D:$D,'Modelling New'!$N:$N),"")</f>
        <v>11.72</v>
      </c>
      <c r="AT292" s="143" t="str">
        <f>IFERROR(_xlfn.XLOOKUP(Table13[[#This Row],[Date]],'Raw Data'!$G:$G,'Raw Data'!$AJ:$AJ),"")</f>
        <v/>
      </c>
      <c r="AU292" s="143">
        <f>IFERROR(_xlfn.XLOOKUP(Table13[[#This Row],[Month Year]],'Modelling New'!$D:$D,'Modelling New'!$AO:$AO),"")</f>
        <v>10</v>
      </c>
      <c r="AV292" s="143"/>
    </row>
    <row r="293" spans="1:48">
      <c r="A293" s="142">
        <f t="shared" si="20"/>
        <v>46036</v>
      </c>
      <c r="B293" s="143">
        <f>YEAR(Table13[[#This Row],[Date]])+IF(MONTH(Table13[[#This Row],[Date]])&gt;=4,1,0)</f>
        <v>2026</v>
      </c>
      <c r="C293" s="116">
        <f>YEAR(Table13[[#This Row],[Date]])</f>
        <v>2026</v>
      </c>
      <c r="D293" s="144">
        <f>Table13[[#This Row],[Date]]-DAY(Table13[[#This Row],[Date]])+1</f>
        <v>46023</v>
      </c>
      <c r="E293" s="116">
        <f t="shared" si="17"/>
        <v>31</v>
      </c>
      <c r="F293" s="117" t="str">
        <f>IFERROR(_xlfn.XLOOKUP($A293,'Raw Data'!$G:$G,'Raw Data'!$AH:$AH),"")</f>
        <v/>
      </c>
      <c r="G293" s="118" t="str">
        <f>IFERROR(_xlfn.XLOOKUP($A293,'Raw Data'!$G:$G,'Raw Data'!$S:$S)/1000,"")</f>
        <v/>
      </c>
      <c r="H293" s="118"/>
      <c r="I293" s="118" t="str">
        <f>IFERROR(_xlfn.XLOOKUP($A293,'Raw Data'!$G:$G,'Raw Data'!$AF:$AF)/1000,"")</f>
        <v/>
      </c>
      <c r="J293" s="118"/>
      <c r="K293" s="118" t="str">
        <f>IFERROR(_xlfn.XLOOKUP($A293,'Raw Data'!$G:$G,'Raw Data'!W:W),"")</f>
        <v/>
      </c>
      <c r="L293" s="118" t="str">
        <f>IFERROR(_xlfn.XLOOKUP($A293,'Raw Data'!$G:$G,'Raw Data'!X:X),"")</f>
        <v/>
      </c>
      <c r="M293" s="118" t="str">
        <f>IFERROR(_xlfn.XLOOKUP($A293,'Raw Data'!$G:$G,'Raw Data'!Y:Y),"")</f>
        <v/>
      </c>
      <c r="N293" s="118" t="str">
        <f>IFERROR(_xlfn.XLOOKUP($A293,'Raw Data'!$G:$G,'Raw Data'!Z:Z),"")</f>
        <v/>
      </c>
      <c r="O293" s="145" t="str">
        <f>IFERROR(1-SUMIF('Plant BD'!$B:$B,$A293,'Plant BD'!$AM:$AM)/($AA293+SUMIF('Plant BD'!$B:$B,$A293,'Plant BD'!$AM:$AM)),"")</f>
        <v/>
      </c>
      <c r="P293" s="145"/>
      <c r="Q293" s="146"/>
      <c r="R293" s="145" t="str">
        <f>IFERROR(1-SUMIF('Grid BD'!$B:$B,$A293,'Grid BD'!$AE:$AE)/($AA293+SUMIF('Grid BD'!$B:$B,$A293,'Grid BD'!$AE:$AE)),"")</f>
        <v/>
      </c>
      <c r="T293" s="146" t="str">
        <f>IFERROR(1-SUMIF(Tracker_BD!$H:$H,$A293,Tracker_BD!AI:AI)/$F293,"")</f>
        <v/>
      </c>
      <c r="U293" s="147" t="str">
        <f t="shared" si="18"/>
        <v/>
      </c>
      <c r="V293" s="147"/>
      <c r="W293" s="148" t="str">
        <f t="shared" si="19"/>
        <v/>
      </c>
      <c r="X293" s="143" t="str">
        <f>IFERROR(_xlfn.XLOOKUP($A293,'Raw Data'!$G:$G,'Raw Data'!$AB:$AB),"")</f>
        <v/>
      </c>
      <c r="Y293" s="143" t="str">
        <f>IFERROR(_xlfn.XLOOKUP($A293,'Raw Data'!$G:$G,'Raw Data'!AC:AC),"")</f>
        <v/>
      </c>
      <c r="Z293" s="143" t="str">
        <f>IFERROR(_xlfn.XLOOKUP($A293,'Raw Data'!$G:$G,'Raw Data'!AD:AD),"")</f>
        <v/>
      </c>
      <c r="AA293" s="143" t="str">
        <f>IFERROR(_xlfn.XLOOKUP($A293,'Raw Data'!$G:$G,'Raw Data'!AE:AE)*(1+(_xlfn.XLOOKUP(Table13[[#This Row],[Month Year]],JMR!$A:$A,JMR!$J:$J))),"")</f>
        <v/>
      </c>
      <c r="AB293" s="143" t="str">
        <f>IFERROR(_xlfn.XLOOKUP($A293,'Raw Data'!$G:$G,'Raw Data'!$H:$H),"")</f>
        <v/>
      </c>
      <c r="AC293" s="149">
        <f>IFERROR(_xlfn.XLOOKUP($D293,'Modelling New'!$D:$D,'Modelling New'!$P:$P),"")</f>
        <v>6.0175946709677417</v>
      </c>
      <c r="AD293" s="143">
        <f>IFERROR(_xlfn.XLOOKUP($D293,'Modelling New'!$D:$D,'Modelling New'!$T:$T)*1000,"")</f>
        <v>54155.22627474973</v>
      </c>
      <c r="AE293" s="148">
        <f>IFERROR(_xlfn.XLOOKUP($D293,'Modelling New'!$D:$D,'Modelling New'!$O:$O),"")</f>
        <v>0.76787376813667318</v>
      </c>
      <c r="AF293" s="148">
        <f>IFERROR(_xlfn.XLOOKUP($D293,'Modelling New'!$D:$D,'Modelling New'!$W:$W),"")</f>
        <v>0.19253137896313183</v>
      </c>
      <c r="AG293" s="148">
        <f>IFERROR(_xlfn.XLOOKUP($D293,'Modelling New'!$D:$D,'Modelling New'!AE:AE),"")</f>
        <v>0.995</v>
      </c>
      <c r="AH293" s="148">
        <f>IFERROR(_xlfn.XLOOKUP($D293,'Modelling New'!$D:$D,'Modelling New'!AF:AF),"")</f>
        <v>0.98550000000000004</v>
      </c>
      <c r="AN293" s="145"/>
      <c r="AO293" s="148"/>
      <c r="AP293" s="148"/>
      <c r="AQ293" s="148"/>
      <c r="AR293" s="143">
        <f>IFERROR(_xlfn.XLOOKUP($D293,'Modelling New'!$D:$D,'Modelling New'!$N:$N),"")</f>
        <v>11.72</v>
      </c>
      <c r="AT293" s="143" t="str">
        <f>IFERROR(_xlfn.XLOOKUP(Table13[[#This Row],[Date]],'Raw Data'!$G:$G,'Raw Data'!$AJ:$AJ),"")</f>
        <v/>
      </c>
      <c r="AU293" s="143">
        <f>IFERROR(_xlfn.XLOOKUP(Table13[[#This Row],[Month Year]],'Modelling New'!$D:$D,'Modelling New'!$AO:$AO),"")</f>
        <v>10</v>
      </c>
      <c r="AV293" s="143"/>
    </row>
    <row r="294" spans="1:48">
      <c r="A294" s="142">
        <f t="shared" si="20"/>
        <v>46037</v>
      </c>
      <c r="B294" s="143">
        <f>YEAR(Table13[[#This Row],[Date]])+IF(MONTH(Table13[[#This Row],[Date]])&gt;=4,1,0)</f>
        <v>2026</v>
      </c>
      <c r="C294" s="116">
        <f>YEAR(Table13[[#This Row],[Date]])</f>
        <v>2026</v>
      </c>
      <c r="D294" s="144">
        <f>Table13[[#This Row],[Date]]-DAY(Table13[[#This Row],[Date]])+1</f>
        <v>46023</v>
      </c>
      <c r="E294" s="116">
        <f t="shared" si="17"/>
        <v>31</v>
      </c>
      <c r="F294" s="117" t="str">
        <f>IFERROR(_xlfn.XLOOKUP($A294,'Raw Data'!$G:$G,'Raw Data'!$AH:$AH),"")</f>
        <v/>
      </c>
      <c r="G294" s="118" t="str">
        <f>IFERROR(_xlfn.XLOOKUP($A294,'Raw Data'!$G:$G,'Raw Data'!$S:$S)/1000,"")</f>
        <v/>
      </c>
      <c r="H294" s="118"/>
      <c r="I294" s="118" t="str">
        <f>IFERROR(_xlfn.XLOOKUP($A294,'Raw Data'!$G:$G,'Raw Data'!$AF:$AF)/1000,"")</f>
        <v/>
      </c>
      <c r="J294" s="118"/>
      <c r="K294" s="118" t="str">
        <f>IFERROR(_xlfn.XLOOKUP($A294,'Raw Data'!$G:$G,'Raw Data'!W:W),"")</f>
        <v/>
      </c>
      <c r="L294" s="118" t="str">
        <f>IFERROR(_xlfn.XLOOKUP($A294,'Raw Data'!$G:$G,'Raw Data'!X:X),"")</f>
        <v/>
      </c>
      <c r="M294" s="118" t="str">
        <f>IFERROR(_xlfn.XLOOKUP($A294,'Raw Data'!$G:$G,'Raw Data'!Y:Y),"")</f>
        <v/>
      </c>
      <c r="N294" s="118" t="str">
        <f>IFERROR(_xlfn.XLOOKUP($A294,'Raw Data'!$G:$G,'Raw Data'!Z:Z),"")</f>
        <v/>
      </c>
      <c r="O294" s="145" t="str">
        <f>IFERROR(1-SUMIF('Plant BD'!$B:$B,$A294,'Plant BD'!$AM:$AM)/($AA294+SUMIF('Plant BD'!$B:$B,$A294,'Plant BD'!$AM:$AM)),"")</f>
        <v/>
      </c>
      <c r="P294" s="145"/>
      <c r="Q294" s="146"/>
      <c r="R294" s="145" t="str">
        <f>IFERROR(1-SUMIF('Grid BD'!$B:$B,$A294,'Grid BD'!$AE:$AE)/($AA294+SUMIF('Grid BD'!$B:$B,$A294,'Grid BD'!$AE:$AE)),"")</f>
        <v/>
      </c>
      <c r="T294" s="146" t="str">
        <f>IFERROR(1-SUMIF(Tracker_BD!$H:$H,$A294,Tracker_BD!AI:AI)/$F294,"")</f>
        <v/>
      </c>
      <c r="U294" s="147" t="str">
        <f t="shared" si="18"/>
        <v/>
      </c>
      <c r="V294" s="147"/>
      <c r="W294" s="148" t="str">
        <f t="shared" si="19"/>
        <v/>
      </c>
      <c r="X294" s="143" t="str">
        <f>IFERROR(_xlfn.XLOOKUP($A294,'Raw Data'!$G:$G,'Raw Data'!$AB:$AB),"")</f>
        <v/>
      </c>
      <c r="Y294" s="143" t="str">
        <f>IFERROR(_xlfn.XLOOKUP($A294,'Raw Data'!$G:$G,'Raw Data'!AC:AC),"")</f>
        <v/>
      </c>
      <c r="Z294" s="143" t="str">
        <f>IFERROR(_xlfn.XLOOKUP($A294,'Raw Data'!$G:$G,'Raw Data'!AD:AD),"")</f>
        <v/>
      </c>
      <c r="AA294" s="143" t="str">
        <f>IFERROR(_xlfn.XLOOKUP($A294,'Raw Data'!$G:$G,'Raw Data'!AE:AE)*(1+(_xlfn.XLOOKUP(Table13[[#This Row],[Month Year]],JMR!$A:$A,JMR!$J:$J))),"")</f>
        <v/>
      </c>
      <c r="AB294" s="143" t="str">
        <f>IFERROR(_xlfn.XLOOKUP($A294,'Raw Data'!$G:$G,'Raw Data'!$H:$H),"")</f>
        <v/>
      </c>
      <c r="AC294" s="149">
        <f>IFERROR(_xlfn.XLOOKUP($D294,'Modelling New'!$D:$D,'Modelling New'!$P:$P),"")</f>
        <v>6.0175946709677417</v>
      </c>
      <c r="AD294" s="143">
        <f>IFERROR(_xlfn.XLOOKUP($D294,'Modelling New'!$D:$D,'Modelling New'!$T:$T)*1000,"")</f>
        <v>54155.22627474973</v>
      </c>
      <c r="AE294" s="148">
        <f>IFERROR(_xlfn.XLOOKUP($D294,'Modelling New'!$D:$D,'Modelling New'!$O:$O),"")</f>
        <v>0.76787376813667318</v>
      </c>
      <c r="AF294" s="148">
        <f>IFERROR(_xlfn.XLOOKUP($D294,'Modelling New'!$D:$D,'Modelling New'!$W:$W),"")</f>
        <v>0.19253137896313183</v>
      </c>
      <c r="AG294" s="148">
        <f>IFERROR(_xlfn.XLOOKUP($D294,'Modelling New'!$D:$D,'Modelling New'!AE:AE),"")</f>
        <v>0.995</v>
      </c>
      <c r="AH294" s="148">
        <f>IFERROR(_xlfn.XLOOKUP($D294,'Modelling New'!$D:$D,'Modelling New'!AF:AF),"")</f>
        <v>0.98550000000000004</v>
      </c>
      <c r="AN294" s="145"/>
      <c r="AO294" s="148"/>
      <c r="AP294" s="148"/>
      <c r="AQ294" s="148"/>
      <c r="AR294" s="143">
        <f>IFERROR(_xlfn.XLOOKUP($D294,'Modelling New'!$D:$D,'Modelling New'!$N:$N),"")</f>
        <v>11.72</v>
      </c>
      <c r="AT294" s="143" t="str">
        <f>IFERROR(_xlfn.XLOOKUP(Table13[[#This Row],[Date]],'Raw Data'!$G:$G,'Raw Data'!$AJ:$AJ),"")</f>
        <v/>
      </c>
      <c r="AU294" s="143">
        <f>IFERROR(_xlfn.XLOOKUP(Table13[[#This Row],[Month Year]],'Modelling New'!$D:$D,'Modelling New'!$AO:$AO),"")</f>
        <v>10</v>
      </c>
      <c r="AV294" s="143"/>
    </row>
    <row r="295" spans="1:48">
      <c r="A295" s="142">
        <f t="shared" si="20"/>
        <v>46038</v>
      </c>
      <c r="B295" s="143">
        <f>YEAR(Table13[[#This Row],[Date]])+IF(MONTH(Table13[[#This Row],[Date]])&gt;=4,1,0)</f>
        <v>2026</v>
      </c>
      <c r="C295" s="116">
        <f>YEAR(Table13[[#This Row],[Date]])</f>
        <v>2026</v>
      </c>
      <c r="D295" s="144">
        <f>Table13[[#This Row],[Date]]-DAY(Table13[[#This Row],[Date]])+1</f>
        <v>46023</v>
      </c>
      <c r="E295" s="116">
        <f t="shared" si="17"/>
        <v>31</v>
      </c>
      <c r="F295" s="117" t="str">
        <f>IFERROR(_xlfn.XLOOKUP($A295,'Raw Data'!$G:$G,'Raw Data'!$AH:$AH),"")</f>
        <v/>
      </c>
      <c r="G295" s="118" t="str">
        <f>IFERROR(_xlfn.XLOOKUP($A295,'Raw Data'!$G:$G,'Raw Data'!$S:$S)/1000,"")</f>
        <v/>
      </c>
      <c r="H295" s="118"/>
      <c r="I295" s="118" t="str">
        <f>IFERROR(_xlfn.XLOOKUP($A295,'Raw Data'!$G:$G,'Raw Data'!$AF:$AF)/1000,"")</f>
        <v/>
      </c>
      <c r="J295" s="118"/>
      <c r="K295" s="118" t="str">
        <f>IFERROR(_xlfn.XLOOKUP($A295,'Raw Data'!$G:$G,'Raw Data'!W:W),"")</f>
        <v/>
      </c>
      <c r="L295" s="118" t="str">
        <f>IFERROR(_xlfn.XLOOKUP($A295,'Raw Data'!$G:$G,'Raw Data'!X:X),"")</f>
        <v/>
      </c>
      <c r="M295" s="118" t="str">
        <f>IFERROR(_xlfn.XLOOKUP($A295,'Raw Data'!$G:$G,'Raw Data'!Y:Y),"")</f>
        <v/>
      </c>
      <c r="N295" s="118" t="str">
        <f>IFERROR(_xlfn.XLOOKUP($A295,'Raw Data'!$G:$G,'Raw Data'!Z:Z),"")</f>
        <v/>
      </c>
      <c r="O295" s="145" t="str">
        <f>IFERROR(1-SUMIF('Plant BD'!$B:$B,$A295,'Plant BD'!$AM:$AM)/($AA295+SUMIF('Plant BD'!$B:$B,$A295,'Plant BD'!$AM:$AM)),"")</f>
        <v/>
      </c>
      <c r="P295" s="145"/>
      <c r="Q295" s="146"/>
      <c r="R295" s="145" t="str">
        <f>IFERROR(1-SUMIF('Grid BD'!$B:$B,$A295,'Grid BD'!$AE:$AE)/($AA295+SUMIF('Grid BD'!$B:$B,$A295,'Grid BD'!$AE:$AE)),"")</f>
        <v/>
      </c>
      <c r="T295" s="146" t="str">
        <f>IFERROR(1-SUMIF(Tracker_BD!$H:$H,$A295,Tracker_BD!AI:AI)/$F295,"")</f>
        <v/>
      </c>
      <c r="U295" s="147" t="str">
        <f t="shared" si="18"/>
        <v/>
      </c>
      <c r="V295" s="147"/>
      <c r="W295" s="148" t="str">
        <f t="shared" si="19"/>
        <v/>
      </c>
      <c r="X295" s="143" t="str">
        <f>IFERROR(_xlfn.XLOOKUP($A295,'Raw Data'!$G:$G,'Raw Data'!$AB:$AB),"")</f>
        <v/>
      </c>
      <c r="Y295" s="143" t="str">
        <f>IFERROR(_xlfn.XLOOKUP($A295,'Raw Data'!$G:$G,'Raw Data'!AC:AC),"")</f>
        <v/>
      </c>
      <c r="Z295" s="143" t="str">
        <f>IFERROR(_xlfn.XLOOKUP($A295,'Raw Data'!$G:$G,'Raw Data'!AD:AD),"")</f>
        <v/>
      </c>
      <c r="AA295" s="143" t="str">
        <f>IFERROR(_xlfn.XLOOKUP($A295,'Raw Data'!$G:$G,'Raw Data'!AE:AE)*(1+(_xlfn.XLOOKUP(Table13[[#This Row],[Month Year]],JMR!$A:$A,JMR!$J:$J))),"")</f>
        <v/>
      </c>
      <c r="AB295" s="143" t="str">
        <f>IFERROR(_xlfn.XLOOKUP($A295,'Raw Data'!$G:$G,'Raw Data'!$H:$H),"")</f>
        <v/>
      </c>
      <c r="AC295" s="149">
        <f>IFERROR(_xlfn.XLOOKUP($D295,'Modelling New'!$D:$D,'Modelling New'!$P:$P),"")</f>
        <v>6.0175946709677417</v>
      </c>
      <c r="AD295" s="143">
        <f>IFERROR(_xlfn.XLOOKUP($D295,'Modelling New'!$D:$D,'Modelling New'!$T:$T)*1000,"")</f>
        <v>54155.22627474973</v>
      </c>
      <c r="AE295" s="148">
        <f>IFERROR(_xlfn.XLOOKUP($D295,'Modelling New'!$D:$D,'Modelling New'!$O:$O),"")</f>
        <v>0.76787376813667318</v>
      </c>
      <c r="AF295" s="148">
        <f>IFERROR(_xlfn.XLOOKUP($D295,'Modelling New'!$D:$D,'Modelling New'!$W:$W),"")</f>
        <v>0.19253137896313183</v>
      </c>
      <c r="AG295" s="148">
        <f>IFERROR(_xlfn.XLOOKUP($D295,'Modelling New'!$D:$D,'Modelling New'!AE:AE),"")</f>
        <v>0.995</v>
      </c>
      <c r="AH295" s="148">
        <f>IFERROR(_xlfn.XLOOKUP($D295,'Modelling New'!$D:$D,'Modelling New'!AF:AF),"")</f>
        <v>0.98550000000000004</v>
      </c>
      <c r="AN295" s="145"/>
      <c r="AO295" s="148"/>
      <c r="AP295" s="148"/>
      <c r="AQ295" s="148"/>
      <c r="AR295" s="143">
        <f>IFERROR(_xlfn.XLOOKUP($D295,'Modelling New'!$D:$D,'Modelling New'!$N:$N),"")</f>
        <v>11.72</v>
      </c>
      <c r="AT295" s="143" t="str">
        <f>IFERROR(_xlfn.XLOOKUP(Table13[[#This Row],[Date]],'Raw Data'!$G:$G,'Raw Data'!$AJ:$AJ),"")</f>
        <v/>
      </c>
      <c r="AU295" s="143">
        <f>IFERROR(_xlfn.XLOOKUP(Table13[[#This Row],[Month Year]],'Modelling New'!$D:$D,'Modelling New'!$AO:$AO),"")</f>
        <v>10</v>
      </c>
      <c r="AV295" s="143"/>
    </row>
    <row r="296" spans="1:48">
      <c r="A296" s="142">
        <f t="shared" si="20"/>
        <v>46039</v>
      </c>
      <c r="B296" s="143">
        <f>YEAR(Table13[[#This Row],[Date]])+IF(MONTH(Table13[[#This Row],[Date]])&gt;=4,1,0)</f>
        <v>2026</v>
      </c>
      <c r="C296" s="116">
        <f>YEAR(Table13[[#This Row],[Date]])</f>
        <v>2026</v>
      </c>
      <c r="D296" s="144">
        <f>Table13[[#This Row],[Date]]-DAY(Table13[[#This Row],[Date]])+1</f>
        <v>46023</v>
      </c>
      <c r="E296" s="116">
        <f t="shared" si="17"/>
        <v>31</v>
      </c>
      <c r="F296" s="117" t="str">
        <f>IFERROR(_xlfn.XLOOKUP($A296,'Raw Data'!$G:$G,'Raw Data'!$AH:$AH),"")</f>
        <v/>
      </c>
      <c r="G296" s="118" t="str">
        <f>IFERROR(_xlfn.XLOOKUP($A296,'Raw Data'!$G:$G,'Raw Data'!$S:$S)/1000,"")</f>
        <v/>
      </c>
      <c r="H296" s="118"/>
      <c r="I296" s="118" t="str">
        <f>IFERROR(_xlfn.XLOOKUP($A296,'Raw Data'!$G:$G,'Raw Data'!$AF:$AF)/1000,"")</f>
        <v/>
      </c>
      <c r="J296" s="118"/>
      <c r="K296" s="118" t="str">
        <f>IFERROR(_xlfn.XLOOKUP($A296,'Raw Data'!$G:$G,'Raw Data'!W:W),"")</f>
        <v/>
      </c>
      <c r="L296" s="118" t="str">
        <f>IFERROR(_xlfn.XLOOKUP($A296,'Raw Data'!$G:$G,'Raw Data'!X:X),"")</f>
        <v/>
      </c>
      <c r="M296" s="118" t="str">
        <f>IFERROR(_xlfn.XLOOKUP($A296,'Raw Data'!$G:$G,'Raw Data'!Y:Y),"")</f>
        <v/>
      </c>
      <c r="N296" s="118" t="str">
        <f>IFERROR(_xlfn.XLOOKUP($A296,'Raw Data'!$G:$G,'Raw Data'!Z:Z),"")</f>
        <v/>
      </c>
      <c r="O296" s="145" t="str">
        <f>IFERROR(1-SUMIF('Plant BD'!$B:$B,$A296,'Plant BD'!$AM:$AM)/($AA296+SUMIF('Plant BD'!$B:$B,$A296,'Plant BD'!$AM:$AM)),"")</f>
        <v/>
      </c>
      <c r="P296" s="145"/>
      <c r="Q296" s="146"/>
      <c r="R296" s="145" t="str">
        <f>IFERROR(1-SUMIF('Grid BD'!$B:$B,$A296,'Grid BD'!$AE:$AE)/($AA296+SUMIF('Grid BD'!$B:$B,$A296,'Grid BD'!$AE:$AE)),"")</f>
        <v/>
      </c>
      <c r="T296" s="146" t="str">
        <f>IFERROR(1-SUMIF(Tracker_BD!$H:$H,$A296,Tracker_BD!AI:AI)/$F296,"")</f>
        <v/>
      </c>
      <c r="U296" s="147" t="str">
        <f t="shared" si="18"/>
        <v/>
      </c>
      <c r="V296" s="147"/>
      <c r="W296" s="148" t="str">
        <f t="shared" si="19"/>
        <v/>
      </c>
      <c r="X296" s="143" t="str">
        <f>IFERROR(_xlfn.XLOOKUP($A296,'Raw Data'!$G:$G,'Raw Data'!$AB:$AB),"")</f>
        <v/>
      </c>
      <c r="Y296" s="143" t="str">
        <f>IFERROR(_xlfn.XLOOKUP($A296,'Raw Data'!$G:$G,'Raw Data'!AC:AC),"")</f>
        <v/>
      </c>
      <c r="Z296" s="143" t="str">
        <f>IFERROR(_xlfn.XLOOKUP($A296,'Raw Data'!$G:$G,'Raw Data'!AD:AD),"")</f>
        <v/>
      </c>
      <c r="AA296" s="143" t="str">
        <f>IFERROR(_xlfn.XLOOKUP($A296,'Raw Data'!$G:$G,'Raw Data'!AE:AE)*(1+(_xlfn.XLOOKUP(Table13[[#This Row],[Month Year]],JMR!$A:$A,JMR!$J:$J))),"")</f>
        <v/>
      </c>
      <c r="AB296" s="143" t="str">
        <f>IFERROR(_xlfn.XLOOKUP($A296,'Raw Data'!$G:$G,'Raw Data'!$H:$H),"")</f>
        <v/>
      </c>
      <c r="AC296" s="149">
        <f>IFERROR(_xlfn.XLOOKUP($D296,'Modelling New'!$D:$D,'Modelling New'!$P:$P),"")</f>
        <v>6.0175946709677417</v>
      </c>
      <c r="AD296" s="143">
        <f>IFERROR(_xlfn.XLOOKUP($D296,'Modelling New'!$D:$D,'Modelling New'!$T:$T)*1000,"")</f>
        <v>54155.22627474973</v>
      </c>
      <c r="AE296" s="148">
        <f>IFERROR(_xlfn.XLOOKUP($D296,'Modelling New'!$D:$D,'Modelling New'!$O:$O),"")</f>
        <v>0.76787376813667318</v>
      </c>
      <c r="AF296" s="148">
        <f>IFERROR(_xlfn.XLOOKUP($D296,'Modelling New'!$D:$D,'Modelling New'!$W:$W),"")</f>
        <v>0.19253137896313183</v>
      </c>
      <c r="AG296" s="148">
        <f>IFERROR(_xlfn.XLOOKUP($D296,'Modelling New'!$D:$D,'Modelling New'!AE:AE),"")</f>
        <v>0.995</v>
      </c>
      <c r="AH296" s="148">
        <f>IFERROR(_xlfn.XLOOKUP($D296,'Modelling New'!$D:$D,'Modelling New'!AF:AF),"")</f>
        <v>0.98550000000000004</v>
      </c>
      <c r="AN296" s="145"/>
      <c r="AO296" s="148"/>
      <c r="AP296" s="148"/>
      <c r="AQ296" s="148"/>
      <c r="AR296" s="143">
        <f>IFERROR(_xlfn.XLOOKUP($D296,'Modelling New'!$D:$D,'Modelling New'!$N:$N),"")</f>
        <v>11.72</v>
      </c>
      <c r="AT296" s="143" t="str">
        <f>IFERROR(_xlfn.XLOOKUP(Table13[[#This Row],[Date]],'Raw Data'!$G:$G,'Raw Data'!$AJ:$AJ),"")</f>
        <v/>
      </c>
      <c r="AU296" s="143">
        <f>IFERROR(_xlfn.XLOOKUP(Table13[[#This Row],[Month Year]],'Modelling New'!$D:$D,'Modelling New'!$AO:$AO),"")</f>
        <v>10</v>
      </c>
      <c r="AV296" s="143"/>
    </row>
    <row r="297" spans="1:48">
      <c r="A297" s="142">
        <f t="shared" si="20"/>
        <v>46040</v>
      </c>
      <c r="B297" s="143">
        <f>YEAR(Table13[[#This Row],[Date]])+IF(MONTH(Table13[[#This Row],[Date]])&gt;=4,1,0)</f>
        <v>2026</v>
      </c>
      <c r="C297" s="116">
        <f>YEAR(Table13[[#This Row],[Date]])</f>
        <v>2026</v>
      </c>
      <c r="D297" s="144">
        <f>Table13[[#This Row],[Date]]-DAY(Table13[[#This Row],[Date]])+1</f>
        <v>46023</v>
      </c>
      <c r="E297" s="116">
        <f t="shared" si="17"/>
        <v>31</v>
      </c>
      <c r="F297" s="117" t="str">
        <f>IFERROR(_xlfn.XLOOKUP($A297,'Raw Data'!$G:$G,'Raw Data'!$AH:$AH),"")</f>
        <v/>
      </c>
      <c r="G297" s="118" t="str">
        <f>IFERROR(_xlfn.XLOOKUP($A297,'Raw Data'!$G:$G,'Raw Data'!$S:$S)/1000,"")</f>
        <v/>
      </c>
      <c r="H297" s="118"/>
      <c r="I297" s="118" t="str">
        <f>IFERROR(_xlfn.XLOOKUP($A297,'Raw Data'!$G:$G,'Raw Data'!$AF:$AF)/1000,"")</f>
        <v/>
      </c>
      <c r="J297" s="118"/>
      <c r="K297" s="118" t="str">
        <f>IFERROR(_xlfn.XLOOKUP($A297,'Raw Data'!$G:$G,'Raw Data'!W:W),"")</f>
        <v/>
      </c>
      <c r="L297" s="118" t="str">
        <f>IFERROR(_xlfn.XLOOKUP($A297,'Raw Data'!$G:$G,'Raw Data'!X:X),"")</f>
        <v/>
      </c>
      <c r="M297" s="118" t="str">
        <f>IFERROR(_xlfn.XLOOKUP($A297,'Raw Data'!$G:$G,'Raw Data'!Y:Y),"")</f>
        <v/>
      </c>
      <c r="N297" s="118" t="str">
        <f>IFERROR(_xlfn.XLOOKUP($A297,'Raw Data'!$G:$G,'Raw Data'!Z:Z),"")</f>
        <v/>
      </c>
      <c r="O297" s="145" t="str">
        <f>IFERROR(1-SUMIF('Plant BD'!$B:$B,$A297,'Plant BD'!$AM:$AM)/($AA297+SUMIF('Plant BD'!$B:$B,$A297,'Plant BD'!$AM:$AM)),"")</f>
        <v/>
      </c>
      <c r="P297" s="145"/>
      <c r="Q297" s="146"/>
      <c r="R297" s="145" t="str">
        <f>IFERROR(1-SUMIF('Grid BD'!$B:$B,$A297,'Grid BD'!$AE:$AE)/($AA297+SUMIF('Grid BD'!$B:$B,$A297,'Grid BD'!$AE:$AE)),"")</f>
        <v/>
      </c>
      <c r="T297" s="146" t="str">
        <f>IFERROR(1-SUMIF(Tracker_BD!$H:$H,$A297,Tracker_BD!AI:AI)/$F297,"")</f>
        <v/>
      </c>
      <c r="U297" s="147" t="str">
        <f t="shared" si="18"/>
        <v/>
      </c>
      <c r="V297" s="147"/>
      <c r="W297" s="148" t="str">
        <f t="shared" si="19"/>
        <v/>
      </c>
      <c r="X297" s="143" t="str">
        <f>IFERROR(_xlfn.XLOOKUP($A297,'Raw Data'!$G:$G,'Raw Data'!$AB:$AB),"")</f>
        <v/>
      </c>
      <c r="Y297" s="143" t="str">
        <f>IFERROR(_xlfn.XLOOKUP($A297,'Raw Data'!$G:$G,'Raw Data'!AC:AC),"")</f>
        <v/>
      </c>
      <c r="Z297" s="143" t="str">
        <f>IFERROR(_xlfn.XLOOKUP($A297,'Raw Data'!$G:$G,'Raw Data'!AD:AD),"")</f>
        <v/>
      </c>
      <c r="AA297" s="143" t="str">
        <f>IFERROR(_xlfn.XLOOKUP($A297,'Raw Data'!$G:$G,'Raw Data'!AE:AE)*(1+(_xlfn.XLOOKUP(Table13[[#This Row],[Month Year]],JMR!$A:$A,JMR!$J:$J))),"")</f>
        <v/>
      </c>
      <c r="AB297" s="143" t="str">
        <f>IFERROR(_xlfn.XLOOKUP($A297,'Raw Data'!$G:$G,'Raw Data'!$H:$H),"")</f>
        <v/>
      </c>
      <c r="AC297" s="149">
        <f>IFERROR(_xlfn.XLOOKUP($D297,'Modelling New'!$D:$D,'Modelling New'!$P:$P),"")</f>
        <v>6.0175946709677417</v>
      </c>
      <c r="AD297" s="143">
        <f>IFERROR(_xlfn.XLOOKUP($D297,'Modelling New'!$D:$D,'Modelling New'!$T:$T)*1000,"")</f>
        <v>54155.22627474973</v>
      </c>
      <c r="AE297" s="148">
        <f>IFERROR(_xlfn.XLOOKUP($D297,'Modelling New'!$D:$D,'Modelling New'!$O:$O),"")</f>
        <v>0.76787376813667318</v>
      </c>
      <c r="AF297" s="148">
        <f>IFERROR(_xlfn.XLOOKUP($D297,'Modelling New'!$D:$D,'Modelling New'!$W:$W),"")</f>
        <v>0.19253137896313183</v>
      </c>
      <c r="AG297" s="148">
        <f>IFERROR(_xlfn.XLOOKUP($D297,'Modelling New'!$D:$D,'Modelling New'!AE:AE),"")</f>
        <v>0.995</v>
      </c>
      <c r="AH297" s="148">
        <f>IFERROR(_xlfn.XLOOKUP($D297,'Modelling New'!$D:$D,'Modelling New'!AF:AF),"")</f>
        <v>0.98550000000000004</v>
      </c>
      <c r="AN297" s="145"/>
      <c r="AO297" s="148"/>
      <c r="AP297" s="148"/>
      <c r="AQ297" s="148"/>
      <c r="AR297" s="143">
        <f>IFERROR(_xlfn.XLOOKUP($D297,'Modelling New'!$D:$D,'Modelling New'!$N:$N),"")</f>
        <v>11.72</v>
      </c>
      <c r="AT297" s="143" t="str">
        <f>IFERROR(_xlfn.XLOOKUP(Table13[[#This Row],[Date]],'Raw Data'!$G:$G,'Raw Data'!$AJ:$AJ),"")</f>
        <v/>
      </c>
      <c r="AU297" s="143">
        <f>IFERROR(_xlfn.XLOOKUP(Table13[[#This Row],[Month Year]],'Modelling New'!$D:$D,'Modelling New'!$AO:$AO),"")</f>
        <v>10</v>
      </c>
      <c r="AV297" s="143"/>
    </row>
    <row r="298" spans="1:48">
      <c r="A298" s="142">
        <f t="shared" si="20"/>
        <v>46041</v>
      </c>
      <c r="B298" s="143">
        <f>YEAR(Table13[[#This Row],[Date]])+IF(MONTH(Table13[[#This Row],[Date]])&gt;=4,1,0)</f>
        <v>2026</v>
      </c>
      <c r="C298" s="116">
        <f>YEAR(Table13[[#This Row],[Date]])</f>
        <v>2026</v>
      </c>
      <c r="D298" s="144">
        <f>Table13[[#This Row],[Date]]-DAY(Table13[[#This Row],[Date]])+1</f>
        <v>46023</v>
      </c>
      <c r="E298" s="116">
        <f t="shared" si="17"/>
        <v>31</v>
      </c>
      <c r="F298" s="117" t="str">
        <f>IFERROR(_xlfn.XLOOKUP($A298,'Raw Data'!$G:$G,'Raw Data'!$AH:$AH),"")</f>
        <v/>
      </c>
      <c r="G298" s="118" t="str">
        <f>IFERROR(_xlfn.XLOOKUP($A298,'Raw Data'!$G:$G,'Raw Data'!$S:$S)/1000,"")</f>
        <v/>
      </c>
      <c r="H298" s="118"/>
      <c r="I298" s="118" t="str">
        <f>IFERROR(_xlfn.XLOOKUP($A298,'Raw Data'!$G:$G,'Raw Data'!$AF:$AF)/1000,"")</f>
        <v/>
      </c>
      <c r="J298" s="118"/>
      <c r="K298" s="118" t="str">
        <f>IFERROR(_xlfn.XLOOKUP($A298,'Raw Data'!$G:$G,'Raw Data'!W:W),"")</f>
        <v/>
      </c>
      <c r="L298" s="118" t="str">
        <f>IFERROR(_xlfn.XLOOKUP($A298,'Raw Data'!$G:$G,'Raw Data'!X:X),"")</f>
        <v/>
      </c>
      <c r="M298" s="118" t="str">
        <f>IFERROR(_xlfn.XLOOKUP($A298,'Raw Data'!$G:$G,'Raw Data'!Y:Y),"")</f>
        <v/>
      </c>
      <c r="N298" s="118" t="str">
        <f>IFERROR(_xlfn.XLOOKUP($A298,'Raw Data'!$G:$G,'Raw Data'!Z:Z),"")</f>
        <v/>
      </c>
      <c r="O298" s="145" t="str">
        <f>IFERROR(1-SUMIF('Plant BD'!$B:$B,$A298,'Plant BD'!$AM:$AM)/($AA298+SUMIF('Plant BD'!$B:$B,$A298,'Plant BD'!$AM:$AM)),"")</f>
        <v/>
      </c>
      <c r="P298" s="145"/>
      <c r="Q298" s="146"/>
      <c r="R298" s="145" t="str">
        <f>IFERROR(1-SUMIF('Grid BD'!$B:$B,$A298,'Grid BD'!$AE:$AE)/($AA298+SUMIF('Grid BD'!$B:$B,$A298,'Grid BD'!$AE:$AE)),"")</f>
        <v/>
      </c>
      <c r="T298" s="146" t="str">
        <f>IFERROR(1-SUMIF(Tracker_BD!$H:$H,$A298,Tracker_BD!AI:AI)/$F298,"")</f>
        <v/>
      </c>
      <c r="U298" s="147" t="str">
        <f t="shared" si="18"/>
        <v/>
      </c>
      <c r="V298" s="147"/>
      <c r="W298" s="148" t="str">
        <f t="shared" si="19"/>
        <v/>
      </c>
      <c r="X298" s="143" t="str">
        <f>IFERROR(_xlfn.XLOOKUP($A298,'Raw Data'!$G:$G,'Raw Data'!$AB:$AB),"")</f>
        <v/>
      </c>
      <c r="Y298" s="143" t="str">
        <f>IFERROR(_xlfn.XLOOKUP($A298,'Raw Data'!$G:$G,'Raw Data'!AC:AC),"")</f>
        <v/>
      </c>
      <c r="Z298" s="143" t="str">
        <f>IFERROR(_xlfn.XLOOKUP($A298,'Raw Data'!$G:$G,'Raw Data'!AD:AD),"")</f>
        <v/>
      </c>
      <c r="AA298" s="143" t="str">
        <f>IFERROR(_xlfn.XLOOKUP($A298,'Raw Data'!$G:$G,'Raw Data'!AE:AE)*(1+(_xlfn.XLOOKUP(Table13[[#This Row],[Month Year]],JMR!$A:$A,JMR!$J:$J))),"")</f>
        <v/>
      </c>
      <c r="AB298" s="143" t="str">
        <f>IFERROR(_xlfn.XLOOKUP($A298,'Raw Data'!$G:$G,'Raw Data'!$H:$H),"")</f>
        <v/>
      </c>
      <c r="AC298" s="149">
        <f>IFERROR(_xlfn.XLOOKUP($D298,'Modelling New'!$D:$D,'Modelling New'!$P:$P),"")</f>
        <v>6.0175946709677417</v>
      </c>
      <c r="AD298" s="143">
        <f>IFERROR(_xlfn.XLOOKUP($D298,'Modelling New'!$D:$D,'Modelling New'!$T:$T)*1000,"")</f>
        <v>54155.22627474973</v>
      </c>
      <c r="AE298" s="148">
        <f>IFERROR(_xlfn.XLOOKUP($D298,'Modelling New'!$D:$D,'Modelling New'!$O:$O),"")</f>
        <v>0.76787376813667318</v>
      </c>
      <c r="AF298" s="148">
        <f>IFERROR(_xlfn.XLOOKUP($D298,'Modelling New'!$D:$D,'Modelling New'!$W:$W),"")</f>
        <v>0.19253137896313183</v>
      </c>
      <c r="AG298" s="148">
        <f>IFERROR(_xlfn.XLOOKUP($D298,'Modelling New'!$D:$D,'Modelling New'!AE:AE),"")</f>
        <v>0.995</v>
      </c>
      <c r="AH298" s="148">
        <f>IFERROR(_xlfn.XLOOKUP($D298,'Modelling New'!$D:$D,'Modelling New'!AF:AF),"")</f>
        <v>0.98550000000000004</v>
      </c>
      <c r="AN298" s="145"/>
      <c r="AO298" s="148"/>
      <c r="AP298" s="148"/>
      <c r="AQ298" s="148"/>
      <c r="AR298" s="143">
        <f>IFERROR(_xlfn.XLOOKUP($D298,'Modelling New'!$D:$D,'Modelling New'!$N:$N),"")</f>
        <v>11.72</v>
      </c>
      <c r="AT298" s="143" t="str">
        <f>IFERROR(_xlfn.XLOOKUP(Table13[[#This Row],[Date]],'Raw Data'!$G:$G,'Raw Data'!$AJ:$AJ),"")</f>
        <v/>
      </c>
      <c r="AU298" s="143">
        <f>IFERROR(_xlfn.XLOOKUP(Table13[[#This Row],[Month Year]],'Modelling New'!$D:$D,'Modelling New'!$AO:$AO),"")</f>
        <v>10</v>
      </c>
      <c r="AV298" s="143"/>
    </row>
    <row r="299" spans="1:48">
      <c r="A299" s="142">
        <f t="shared" si="20"/>
        <v>46042</v>
      </c>
      <c r="B299" s="143">
        <f>YEAR(Table13[[#This Row],[Date]])+IF(MONTH(Table13[[#This Row],[Date]])&gt;=4,1,0)</f>
        <v>2026</v>
      </c>
      <c r="C299" s="116">
        <f>YEAR(Table13[[#This Row],[Date]])</f>
        <v>2026</v>
      </c>
      <c r="D299" s="144">
        <f>Table13[[#This Row],[Date]]-DAY(Table13[[#This Row],[Date]])+1</f>
        <v>46023</v>
      </c>
      <c r="E299" s="116">
        <f t="shared" si="17"/>
        <v>31</v>
      </c>
      <c r="F299" s="117" t="str">
        <f>IFERROR(_xlfn.XLOOKUP($A299,'Raw Data'!$G:$G,'Raw Data'!$AH:$AH),"")</f>
        <v/>
      </c>
      <c r="G299" s="118" t="str">
        <f>IFERROR(_xlfn.XLOOKUP($A299,'Raw Data'!$G:$G,'Raw Data'!$S:$S)/1000,"")</f>
        <v/>
      </c>
      <c r="H299" s="118"/>
      <c r="I299" s="118" t="str">
        <f>IFERROR(_xlfn.XLOOKUP($A299,'Raw Data'!$G:$G,'Raw Data'!$AF:$AF)/1000,"")</f>
        <v/>
      </c>
      <c r="J299" s="118"/>
      <c r="K299" s="118" t="str">
        <f>IFERROR(_xlfn.XLOOKUP($A299,'Raw Data'!$G:$G,'Raw Data'!W:W),"")</f>
        <v/>
      </c>
      <c r="L299" s="118" t="str">
        <f>IFERROR(_xlfn.XLOOKUP($A299,'Raw Data'!$G:$G,'Raw Data'!X:X),"")</f>
        <v/>
      </c>
      <c r="M299" s="118" t="str">
        <f>IFERROR(_xlfn.XLOOKUP($A299,'Raw Data'!$G:$G,'Raw Data'!Y:Y),"")</f>
        <v/>
      </c>
      <c r="N299" s="118" t="str">
        <f>IFERROR(_xlfn.XLOOKUP($A299,'Raw Data'!$G:$G,'Raw Data'!Z:Z),"")</f>
        <v/>
      </c>
      <c r="O299" s="145" t="str">
        <f>IFERROR(1-SUMIF('Plant BD'!$B:$B,$A299,'Plant BD'!$AM:$AM)/($AA299+SUMIF('Plant BD'!$B:$B,$A299,'Plant BD'!$AM:$AM)),"")</f>
        <v/>
      </c>
      <c r="P299" s="145"/>
      <c r="Q299" s="146"/>
      <c r="R299" s="145" t="str">
        <f>IFERROR(1-SUMIF('Grid BD'!$B:$B,$A299,'Grid BD'!$AE:$AE)/($AA299+SUMIF('Grid BD'!$B:$B,$A299,'Grid BD'!$AE:$AE)),"")</f>
        <v/>
      </c>
      <c r="T299" s="146" t="str">
        <f>IFERROR(1-SUMIF(Tracker_BD!$H:$H,$A299,Tracker_BD!AI:AI)/$F299,"")</f>
        <v/>
      </c>
      <c r="U299" s="147" t="str">
        <f t="shared" si="18"/>
        <v/>
      </c>
      <c r="V299" s="147"/>
      <c r="W299" s="148" t="str">
        <f t="shared" si="19"/>
        <v/>
      </c>
      <c r="X299" s="143" t="str">
        <f>IFERROR(_xlfn.XLOOKUP($A299,'Raw Data'!$G:$G,'Raw Data'!$AB:$AB),"")</f>
        <v/>
      </c>
      <c r="Y299" s="143" t="str">
        <f>IFERROR(_xlfn.XLOOKUP($A299,'Raw Data'!$G:$G,'Raw Data'!AC:AC),"")</f>
        <v/>
      </c>
      <c r="Z299" s="143" t="str">
        <f>IFERROR(_xlfn.XLOOKUP($A299,'Raw Data'!$G:$G,'Raw Data'!AD:AD),"")</f>
        <v/>
      </c>
      <c r="AA299" s="143" t="str">
        <f>IFERROR(_xlfn.XLOOKUP($A299,'Raw Data'!$G:$G,'Raw Data'!AE:AE)*(1+(_xlfn.XLOOKUP(Table13[[#This Row],[Month Year]],JMR!$A:$A,JMR!$J:$J))),"")</f>
        <v/>
      </c>
      <c r="AB299" s="143" t="str">
        <f>IFERROR(_xlfn.XLOOKUP($A299,'Raw Data'!$G:$G,'Raw Data'!$H:$H),"")</f>
        <v/>
      </c>
      <c r="AC299" s="149">
        <f>IFERROR(_xlfn.XLOOKUP($D299,'Modelling New'!$D:$D,'Modelling New'!$P:$P),"")</f>
        <v>6.0175946709677417</v>
      </c>
      <c r="AD299" s="143">
        <f>IFERROR(_xlfn.XLOOKUP($D299,'Modelling New'!$D:$D,'Modelling New'!$T:$T)*1000,"")</f>
        <v>54155.22627474973</v>
      </c>
      <c r="AE299" s="148">
        <f>IFERROR(_xlfn.XLOOKUP($D299,'Modelling New'!$D:$D,'Modelling New'!$O:$O),"")</f>
        <v>0.76787376813667318</v>
      </c>
      <c r="AF299" s="148">
        <f>IFERROR(_xlfn.XLOOKUP($D299,'Modelling New'!$D:$D,'Modelling New'!$W:$W),"")</f>
        <v>0.19253137896313183</v>
      </c>
      <c r="AG299" s="148">
        <f>IFERROR(_xlfn.XLOOKUP($D299,'Modelling New'!$D:$D,'Modelling New'!AE:AE),"")</f>
        <v>0.995</v>
      </c>
      <c r="AH299" s="148">
        <f>IFERROR(_xlfn.XLOOKUP($D299,'Modelling New'!$D:$D,'Modelling New'!AF:AF),"")</f>
        <v>0.98550000000000004</v>
      </c>
      <c r="AN299" s="145"/>
      <c r="AO299" s="148"/>
      <c r="AP299" s="148"/>
      <c r="AQ299" s="148"/>
      <c r="AR299" s="143">
        <f>IFERROR(_xlfn.XLOOKUP($D299,'Modelling New'!$D:$D,'Modelling New'!$N:$N),"")</f>
        <v>11.72</v>
      </c>
      <c r="AT299" s="143" t="str">
        <f>IFERROR(_xlfn.XLOOKUP(Table13[[#This Row],[Date]],'Raw Data'!$G:$G,'Raw Data'!$AJ:$AJ),"")</f>
        <v/>
      </c>
      <c r="AU299" s="143">
        <f>IFERROR(_xlfn.XLOOKUP(Table13[[#This Row],[Month Year]],'Modelling New'!$D:$D,'Modelling New'!$AO:$AO),"")</f>
        <v>10</v>
      </c>
      <c r="AV299" s="143"/>
    </row>
    <row r="300" spans="1:48">
      <c r="A300" s="142">
        <f t="shared" si="20"/>
        <v>46043</v>
      </c>
      <c r="B300" s="143">
        <f>YEAR(Table13[[#This Row],[Date]])+IF(MONTH(Table13[[#This Row],[Date]])&gt;=4,1,0)</f>
        <v>2026</v>
      </c>
      <c r="C300" s="116">
        <f>YEAR(Table13[[#This Row],[Date]])</f>
        <v>2026</v>
      </c>
      <c r="D300" s="144">
        <f>Table13[[#This Row],[Date]]-DAY(Table13[[#This Row],[Date]])+1</f>
        <v>46023</v>
      </c>
      <c r="E300" s="116">
        <f t="shared" si="17"/>
        <v>31</v>
      </c>
      <c r="F300" s="117" t="str">
        <f>IFERROR(_xlfn.XLOOKUP($A300,'Raw Data'!$G:$G,'Raw Data'!$AH:$AH),"")</f>
        <v/>
      </c>
      <c r="G300" s="118" t="str">
        <f>IFERROR(_xlfn.XLOOKUP($A300,'Raw Data'!$G:$G,'Raw Data'!$S:$S)/1000,"")</f>
        <v/>
      </c>
      <c r="H300" s="118"/>
      <c r="I300" s="118" t="str">
        <f>IFERROR(_xlfn.XLOOKUP($A300,'Raw Data'!$G:$G,'Raw Data'!$AF:$AF)/1000,"")</f>
        <v/>
      </c>
      <c r="J300" s="118"/>
      <c r="K300" s="118" t="str">
        <f>IFERROR(_xlfn.XLOOKUP($A300,'Raw Data'!$G:$G,'Raw Data'!W:W),"")</f>
        <v/>
      </c>
      <c r="L300" s="118" t="str">
        <f>IFERROR(_xlfn.XLOOKUP($A300,'Raw Data'!$G:$G,'Raw Data'!X:X),"")</f>
        <v/>
      </c>
      <c r="M300" s="118" t="str">
        <f>IFERROR(_xlfn.XLOOKUP($A300,'Raw Data'!$G:$G,'Raw Data'!Y:Y),"")</f>
        <v/>
      </c>
      <c r="N300" s="118" t="str">
        <f>IFERROR(_xlfn.XLOOKUP($A300,'Raw Data'!$G:$G,'Raw Data'!Z:Z),"")</f>
        <v/>
      </c>
      <c r="O300" s="145" t="str">
        <f>IFERROR(1-SUMIF('Plant BD'!$B:$B,$A300,'Plant BD'!$AM:$AM)/($AA300+SUMIF('Plant BD'!$B:$B,$A300,'Plant BD'!$AM:$AM)),"")</f>
        <v/>
      </c>
      <c r="P300" s="145"/>
      <c r="Q300" s="146"/>
      <c r="R300" s="145" t="str">
        <f>IFERROR(1-SUMIF('Grid BD'!$B:$B,$A300,'Grid BD'!$AE:$AE)/($AA300+SUMIF('Grid BD'!$B:$B,$A300,'Grid BD'!$AE:$AE)),"")</f>
        <v/>
      </c>
      <c r="T300" s="146" t="str">
        <f>IFERROR(1-SUMIF(Tracker_BD!$H:$H,$A300,Tracker_BD!AI:AI)/$F300,"")</f>
        <v/>
      </c>
      <c r="U300" s="147" t="str">
        <f t="shared" si="18"/>
        <v/>
      </c>
      <c r="V300" s="147"/>
      <c r="W300" s="148" t="str">
        <f t="shared" si="19"/>
        <v/>
      </c>
      <c r="X300" s="143" t="str">
        <f>IFERROR(_xlfn.XLOOKUP($A300,'Raw Data'!$G:$G,'Raw Data'!$AB:$AB),"")</f>
        <v/>
      </c>
      <c r="Y300" s="143" t="str">
        <f>IFERROR(_xlfn.XLOOKUP($A300,'Raw Data'!$G:$G,'Raw Data'!AC:AC),"")</f>
        <v/>
      </c>
      <c r="Z300" s="143" t="str">
        <f>IFERROR(_xlfn.XLOOKUP($A300,'Raw Data'!$G:$G,'Raw Data'!AD:AD),"")</f>
        <v/>
      </c>
      <c r="AA300" s="143" t="str">
        <f>IFERROR(_xlfn.XLOOKUP($A300,'Raw Data'!$G:$G,'Raw Data'!AE:AE)*(1+(_xlfn.XLOOKUP(Table13[[#This Row],[Month Year]],JMR!$A:$A,JMR!$J:$J))),"")</f>
        <v/>
      </c>
      <c r="AB300" s="143" t="str">
        <f>IFERROR(_xlfn.XLOOKUP($A300,'Raw Data'!$G:$G,'Raw Data'!$H:$H),"")</f>
        <v/>
      </c>
      <c r="AC300" s="149">
        <f>IFERROR(_xlfn.XLOOKUP($D300,'Modelling New'!$D:$D,'Modelling New'!$P:$P),"")</f>
        <v>6.0175946709677417</v>
      </c>
      <c r="AD300" s="143">
        <f>IFERROR(_xlfn.XLOOKUP($D300,'Modelling New'!$D:$D,'Modelling New'!$T:$T)*1000,"")</f>
        <v>54155.22627474973</v>
      </c>
      <c r="AE300" s="148">
        <f>IFERROR(_xlfn.XLOOKUP($D300,'Modelling New'!$D:$D,'Modelling New'!$O:$O),"")</f>
        <v>0.76787376813667318</v>
      </c>
      <c r="AF300" s="148">
        <f>IFERROR(_xlfn.XLOOKUP($D300,'Modelling New'!$D:$D,'Modelling New'!$W:$W),"")</f>
        <v>0.19253137896313183</v>
      </c>
      <c r="AG300" s="148">
        <f>IFERROR(_xlfn.XLOOKUP($D300,'Modelling New'!$D:$D,'Modelling New'!AE:AE),"")</f>
        <v>0.995</v>
      </c>
      <c r="AH300" s="148">
        <f>IFERROR(_xlfn.XLOOKUP($D300,'Modelling New'!$D:$D,'Modelling New'!AF:AF),"")</f>
        <v>0.98550000000000004</v>
      </c>
      <c r="AN300" s="145"/>
      <c r="AO300" s="148"/>
      <c r="AP300" s="148"/>
      <c r="AQ300" s="148"/>
      <c r="AR300" s="143">
        <f>IFERROR(_xlfn.XLOOKUP($D300,'Modelling New'!$D:$D,'Modelling New'!$N:$N),"")</f>
        <v>11.72</v>
      </c>
      <c r="AT300" s="143" t="str">
        <f>IFERROR(_xlfn.XLOOKUP(Table13[[#This Row],[Date]],'Raw Data'!$G:$G,'Raw Data'!$AJ:$AJ),"")</f>
        <v/>
      </c>
      <c r="AU300" s="143">
        <f>IFERROR(_xlfn.XLOOKUP(Table13[[#This Row],[Month Year]],'Modelling New'!$D:$D,'Modelling New'!$AO:$AO),"")</f>
        <v>10</v>
      </c>
      <c r="AV300" s="143"/>
    </row>
    <row r="301" spans="1:48">
      <c r="A301" s="142">
        <f t="shared" si="20"/>
        <v>46044</v>
      </c>
      <c r="B301" s="143">
        <f>YEAR(Table13[[#This Row],[Date]])+IF(MONTH(Table13[[#This Row],[Date]])&gt;=4,1,0)</f>
        <v>2026</v>
      </c>
      <c r="C301" s="116">
        <f>YEAR(Table13[[#This Row],[Date]])</f>
        <v>2026</v>
      </c>
      <c r="D301" s="144">
        <f>Table13[[#This Row],[Date]]-DAY(Table13[[#This Row],[Date]])+1</f>
        <v>46023</v>
      </c>
      <c r="E301" s="116">
        <f t="shared" si="17"/>
        <v>31</v>
      </c>
      <c r="F301" s="117" t="str">
        <f>IFERROR(_xlfn.XLOOKUP($A301,'Raw Data'!$G:$G,'Raw Data'!$AH:$AH),"")</f>
        <v/>
      </c>
      <c r="G301" s="118" t="str">
        <f>IFERROR(_xlfn.XLOOKUP($A301,'Raw Data'!$G:$G,'Raw Data'!$S:$S)/1000,"")</f>
        <v/>
      </c>
      <c r="H301" s="118"/>
      <c r="I301" s="118" t="str">
        <f>IFERROR(_xlfn.XLOOKUP($A301,'Raw Data'!$G:$G,'Raw Data'!$AF:$AF)/1000,"")</f>
        <v/>
      </c>
      <c r="J301" s="118"/>
      <c r="K301" s="118" t="str">
        <f>IFERROR(_xlfn.XLOOKUP($A301,'Raw Data'!$G:$G,'Raw Data'!W:W),"")</f>
        <v/>
      </c>
      <c r="L301" s="118" t="str">
        <f>IFERROR(_xlfn.XLOOKUP($A301,'Raw Data'!$G:$G,'Raw Data'!X:X),"")</f>
        <v/>
      </c>
      <c r="M301" s="118" t="str">
        <f>IFERROR(_xlfn.XLOOKUP($A301,'Raw Data'!$G:$G,'Raw Data'!Y:Y),"")</f>
        <v/>
      </c>
      <c r="N301" s="118" t="str">
        <f>IFERROR(_xlfn.XLOOKUP($A301,'Raw Data'!$G:$G,'Raw Data'!Z:Z),"")</f>
        <v/>
      </c>
      <c r="O301" s="145" t="str">
        <f>IFERROR(1-SUMIF('Plant BD'!$B:$B,$A301,'Plant BD'!$AM:$AM)/($AA301+SUMIF('Plant BD'!$B:$B,$A301,'Plant BD'!$AM:$AM)),"")</f>
        <v/>
      </c>
      <c r="P301" s="145"/>
      <c r="Q301" s="146"/>
      <c r="R301" s="145" t="str">
        <f>IFERROR(1-SUMIF('Grid BD'!$B:$B,$A301,'Grid BD'!$AE:$AE)/($AA301+SUMIF('Grid BD'!$B:$B,$A301,'Grid BD'!$AE:$AE)),"")</f>
        <v/>
      </c>
      <c r="T301" s="146" t="str">
        <f>IFERROR(1-SUMIF(Tracker_BD!$H:$H,$A301,Tracker_BD!AI:AI)/$F301,"")</f>
        <v/>
      </c>
      <c r="U301" s="147" t="str">
        <f t="shared" si="18"/>
        <v/>
      </c>
      <c r="V301" s="147"/>
      <c r="W301" s="148" t="str">
        <f t="shared" si="19"/>
        <v/>
      </c>
      <c r="X301" s="143" t="str">
        <f>IFERROR(_xlfn.XLOOKUP($A301,'Raw Data'!$G:$G,'Raw Data'!$AB:$AB),"")</f>
        <v/>
      </c>
      <c r="Y301" s="143" t="str">
        <f>IFERROR(_xlfn.XLOOKUP($A301,'Raw Data'!$G:$G,'Raw Data'!AC:AC),"")</f>
        <v/>
      </c>
      <c r="Z301" s="143" t="str">
        <f>IFERROR(_xlfn.XLOOKUP($A301,'Raw Data'!$G:$G,'Raw Data'!AD:AD),"")</f>
        <v/>
      </c>
      <c r="AA301" s="143" t="str">
        <f>IFERROR(_xlfn.XLOOKUP($A301,'Raw Data'!$G:$G,'Raw Data'!AE:AE)*(1+(_xlfn.XLOOKUP(Table13[[#This Row],[Month Year]],JMR!$A:$A,JMR!$J:$J))),"")</f>
        <v/>
      </c>
      <c r="AB301" s="143" t="str">
        <f>IFERROR(_xlfn.XLOOKUP($A301,'Raw Data'!$G:$G,'Raw Data'!$H:$H),"")</f>
        <v/>
      </c>
      <c r="AC301" s="149">
        <f>IFERROR(_xlfn.XLOOKUP($D301,'Modelling New'!$D:$D,'Modelling New'!$P:$P),"")</f>
        <v>6.0175946709677417</v>
      </c>
      <c r="AD301" s="143">
        <f>IFERROR(_xlfn.XLOOKUP($D301,'Modelling New'!$D:$D,'Modelling New'!$T:$T)*1000,"")</f>
        <v>54155.22627474973</v>
      </c>
      <c r="AE301" s="148">
        <f>IFERROR(_xlfn.XLOOKUP($D301,'Modelling New'!$D:$D,'Modelling New'!$O:$O),"")</f>
        <v>0.76787376813667318</v>
      </c>
      <c r="AF301" s="148">
        <f>IFERROR(_xlfn.XLOOKUP($D301,'Modelling New'!$D:$D,'Modelling New'!$W:$W),"")</f>
        <v>0.19253137896313183</v>
      </c>
      <c r="AG301" s="148">
        <f>IFERROR(_xlfn.XLOOKUP($D301,'Modelling New'!$D:$D,'Modelling New'!AE:AE),"")</f>
        <v>0.995</v>
      </c>
      <c r="AH301" s="148">
        <f>IFERROR(_xlfn.XLOOKUP($D301,'Modelling New'!$D:$D,'Modelling New'!AF:AF),"")</f>
        <v>0.98550000000000004</v>
      </c>
      <c r="AN301" s="145"/>
      <c r="AO301" s="148"/>
      <c r="AP301" s="148"/>
      <c r="AQ301" s="148"/>
      <c r="AR301" s="143">
        <f>IFERROR(_xlfn.XLOOKUP($D301,'Modelling New'!$D:$D,'Modelling New'!$N:$N),"")</f>
        <v>11.72</v>
      </c>
      <c r="AT301" s="143" t="str">
        <f>IFERROR(_xlfn.XLOOKUP(Table13[[#This Row],[Date]],'Raw Data'!$G:$G,'Raw Data'!$AJ:$AJ),"")</f>
        <v/>
      </c>
      <c r="AU301" s="143">
        <f>IFERROR(_xlfn.XLOOKUP(Table13[[#This Row],[Month Year]],'Modelling New'!$D:$D,'Modelling New'!$AO:$AO),"")</f>
        <v>10</v>
      </c>
      <c r="AV301" s="143"/>
    </row>
    <row r="302" spans="1:48">
      <c r="A302" s="142">
        <f t="shared" si="20"/>
        <v>46045</v>
      </c>
      <c r="B302" s="143">
        <f>YEAR(Table13[[#This Row],[Date]])+IF(MONTH(Table13[[#This Row],[Date]])&gt;=4,1,0)</f>
        <v>2026</v>
      </c>
      <c r="C302" s="116">
        <f>YEAR(Table13[[#This Row],[Date]])</f>
        <v>2026</v>
      </c>
      <c r="D302" s="144">
        <f>Table13[[#This Row],[Date]]-DAY(Table13[[#This Row],[Date]])+1</f>
        <v>46023</v>
      </c>
      <c r="E302" s="116">
        <f t="shared" si="17"/>
        <v>31</v>
      </c>
      <c r="F302" s="117" t="str">
        <f>IFERROR(_xlfn.XLOOKUP($A302,'Raw Data'!$G:$G,'Raw Data'!$AH:$AH),"")</f>
        <v/>
      </c>
      <c r="G302" s="118" t="str">
        <f>IFERROR(_xlfn.XLOOKUP($A302,'Raw Data'!$G:$G,'Raw Data'!$S:$S)/1000,"")</f>
        <v/>
      </c>
      <c r="H302" s="118"/>
      <c r="I302" s="118" t="str">
        <f>IFERROR(_xlfn.XLOOKUP($A302,'Raw Data'!$G:$G,'Raw Data'!$AF:$AF)/1000,"")</f>
        <v/>
      </c>
      <c r="J302" s="118"/>
      <c r="K302" s="118" t="str">
        <f>IFERROR(_xlfn.XLOOKUP($A302,'Raw Data'!$G:$G,'Raw Data'!W:W),"")</f>
        <v/>
      </c>
      <c r="L302" s="118" t="str">
        <f>IFERROR(_xlfn.XLOOKUP($A302,'Raw Data'!$G:$G,'Raw Data'!X:X),"")</f>
        <v/>
      </c>
      <c r="M302" s="118" t="str">
        <f>IFERROR(_xlfn.XLOOKUP($A302,'Raw Data'!$G:$G,'Raw Data'!Y:Y),"")</f>
        <v/>
      </c>
      <c r="N302" s="118" t="str">
        <f>IFERROR(_xlfn.XLOOKUP($A302,'Raw Data'!$G:$G,'Raw Data'!Z:Z),"")</f>
        <v/>
      </c>
      <c r="O302" s="145" t="str">
        <f>IFERROR(1-SUMIF('Plant BD'!$B:$B,$A302,'Plant BD'!$AM:$AM)/($AA302+SUMIF('Plant BD'!$B:$B,$A302,'Plant BD'!$AM:$AM)),"")</f>
        <v/>
      </c>
      <c r="P302" s="145"/>
      <c r="Q302" s="146"/>
      <c r="R302" s="145" t="str">
        <f>IFERROR(1-SUMIF('Grid BD'!$B:$B,$A302,'Grid BD'!$AE:$AE)/($AA302+SUMIF('Grid BD'!$B:$B,$A302,'Grid BD'!$AE:$AE)),"")</f>
        <v/>
      </c>
      <c r="T302" s="146" t="str">
        <f>IFERROR(1-SUMIF(Tracker_BD!$H:$H,$A302,Tracker_BD!AI:AI)/$F302,"")</f>
        <v/>
      </c>
      <c r="U302" s="147" t="str">
        <f t="shared" si="18"/>
        <v/>
      </c>
      <c r="V302" s="147"/>
      <c r="W302" s="148" t="str">
        <f t="shared" si="19"/>
        <v/>
      </c>
      <c r="X302" s="143" t="str">
        <f>IFERROR(_xlfn.XLOOKUP($A302,'Raw Data'!$G:$G,'Raw Data'!$AB:$AB),"")</f>
        <v/>
      </c>
      <c r="Y302" s="143" t="str">
        <f>IFERROR(_xlfn.XLOOKUP($A302,'Raw Data'!$G:$G,'Raw Data'!AC:AC),"")</f>
        <v/>
      </c>
      <c r="Z302" s="143" t="str">
        <f>IFERROR(_xlfn.XLOOKUP($A302,'Raw Data'!$G:$G,'Raw Data'!AD:AD),"")</f>
        <v/>
      </c>
      <c r="AA302" s="143" t="str">
        <f>IFERROR(_xlfn.XLOOKUP($A302,'Raw Data'!$G:$G,'Raw Data'!AE:AE)*(1+(_xlfn.XLOOKUP(Table13[[#This Row],[Month Year]],JMR!$A:$A,JMR!$J:$J))),"")</f>
        <v/>
      </c>
      <c r="AB302" s="143" t="str">
        <f>IFERROR(_xlfn.XLOOKUP($A302,'Raw Data'!$G:$G,'Raw Data'!$H:$H),"")</f>
        <v/>
      </c>
      <c r="AC302" s="149">
        <f>IFERROR(_xlfn.XLOOKUP($D302,'Modelling New'!$D:$D,'Modelling New'!$P:$P),"")</f>
        <v>6.0175946709677417</v>
      </c>
      <c r="AD302" s="143">
        <f>IFERROR(_xlfn.XLOOKUP($D302,'Modelling New'!$D:$D,'Modelling New'!$T:$T)*1000,"")</f>
        <v>54155.22627474973</v>
      </c>
      <c r="AE302" s="148">
        <f>IFERROR(_xlfn.XLOOKUP($D302,'Modelling New'!$D:$D,'Modelling New'!$O:$O),"")</f>
        <v>0.76787376813667318</v>
      </c>
      <c r="AF302" s="148">
        <f>IFERROR(_xlfn.XLOOKUP($D302,'Modelling New'!$D:$D,'Modelling New'!$W:$W),"")</f>
        <v>0.19253137896313183</v>
      </c>
      <c r="AG302" s="148">
        <f>IFERROR(_xlfn.XLOOKUP($D302,'Modelling New'!$D:$D,'Modelling New'!AE:AE),"")</f>
        <v>0.995</v>
      </c>
      <c r="AH302" s="148">
        <f>IFERROR(_xlfn.XLOOKUP($D302,'Modelling New'!$D:$D,'Modelling New'!AF:AF),"")</f>
        <v>0.98550000000000004</v>
      </c>
      <c r="AN302" s="145"/>
      <c r="AO302" s="148"/>
      <c r="AP302" s="148"/>
      <c r="AQ302" s="148"/>
      <c r="AR302" s="143">
        <f>IFERROR(_xlfn.XLOOKUP($D302,'Modelling New'!$D:$D,'Modelling New'!$N:$N),"")</f>
        <v>11.72</v>
      </c>
      <c r="AT302" s="143" t="str">
        <f>IFERROR(_xlfn.XLOOKUP(Table13[[#This Row],[Date]],'Raw Data'!$G:$G,'Raw Data'!$AJ:$AJ),"")</f>
        <v/>
      </c>
      <c r="AU302" s="143">
        <f>IFERROR(_xlfn.XLOOKUP(Table13[[#This Row],[Month Year]],'Modelling New'!$D:$D,'Modelling New'!$AO:$AO),"")</f>
        <v>10</v>
      </c>
      <c r="AV302" s="143"/>
    </row>
    <row r="303" spans="1:48">
      <c r="A303" s="142">
        <f t="shared" si="20"/>
        <v>46046</v>
      </c>
      <c r="B303" s="143">
        <f>YEAR(Table13[[#This Row],[Date]])+IF(MONTH(Table13[[#This Row],[Date]])&gt;=4,1,0)</f>
        <v>2026</v>
      </c>
      <c r="C303" s="116">
        <f>YEAR(Table13[[#This Row],[Date]])</f>
        <v>2026</v>
      </c>
      <c r="D303" s="144">
        <f>Table13[[#This Row],[Date]]-DAY(Table13[[#This Row],[Date]])+1</f>
        <v>46023</v>
      </c>
      <c r="E303" s="116">
        <f t="shared" si="17"/>
        <v>31</v>
      </c>
      <c r="F303" s="117" t="str">
        <f>IFERROR(_xlfn.XLOOKUP($A303,'Raw Data'!$G:$G,'Raw Data'!$AH:$AH),"")</f>
        <v/>
      </c>
      <c r="G303" s="118" t="str">
        <f>IFERROR(_xlfn.XLOOKUP($A303,'Raw Data'!$G:$G,'Raw Data'!$S:$S)/1000,"")</f>
        <v/>
      </c>
      <c r="H303" s="118"/>
      <c r="I303" s="118" t="str">
        <f>IFERROR(_xlfn.XLOOKUP($A303,'Raw Data'!$G:$G,'Raw Data'!$AF:$AF)/1000,"")</f>
        <v/>
      </c>
      <c r="J303" s="118"/>
      <c r="K303" s="118" t="str">
        <f>IFERROR(_xlfn.XLOOKUP($A303,'Raw Data'!$G:$G,'Raw Data'!W:W),"")</f>
        <v/>
      </c>
      <c r="L303" s="118" t="str">
        <f>IFERROR(_xlfn.XLOOKUP($A303,'Raw Data'!$G:$G,'Raw Data'!X:X),"")</f>
        <v/>
      </c>
      <c r="M303" s="118" t="str">
        <f>IFERROR(_xlfn.XLOOKUP($A303,'Raw Data'!$G:$G,'Raw Data'!Y:Y),"")</f>
        <v/>
      </c>
      <c r="N303" s="118" t="str">
        <f>IFERROR(_xlfn.XLOOKUP($A303,'Raw Data'!$G:$G,'Raw Data'!Z:Z),"")</f>
        <v/>
      </c>
      <c r="O303" s="145" t="str">
        <f>IFERROR(1-SUMIF('Plant BD'!$B:$B,$A303,'Plant BD'!$AM:$AM)/($AA303+SUMIF('Plant BD'!$B:$B,$A303,'Plant BD'!$AM:$AM)),"")</f>
        <v/>
      </c>
      <c r="P303" s="145"/>
      <c r="Q303" s="146"/>
      <c r="R303" s="145" t="str">
        <f>IFERROR(1-SUMIF('Grid BD'!$B:$B,$A303,'Grid BD'!$AE:$AE)/($AA303+SUMIF('Grid BD'!$B:$B,$A303,'Grid BD'!$AE:$AE)),"")</f>
        <v/>
      </c>
      <c r="T303" s="146" t="str">
        <f>IFERROR(1-SUMIF(Tracker_BD!$H:$H,$A303,Tracker_BD!AI:AI)/$F303,"")</f>
        <v/>
      </c>
      <c r="U303" s="147" t="str">
        <f t="shared" si="18"/>
        <v/>
      </c>
      <c r="V303" s="147"/>
      <c r="W303" s="148" t="str">
        <f t="shared" si="19"/>
        <v/>
      </c>
      <c r="X303" s="143" t="str">
        <f>IFERROR(_xlfn.XLOOKUP($A303,'Raw Data'!$G:$G,'Raw Data'!$AB:$AB),"")</f>
        <v/>
      </c>
      <c r="Y303" s="143" t="str">
        <f>IFERROR(_xlfn.XLOOKUP($A303,'Raw Data'!$G:$G,'Raw Data'!AC:AC),"")</f>
        <v/>
      </c>
      <c r="Z303" s="143" t="str">
        <f>IFERROR(_xlfn.XLOOKUP($A303,'Raw Data'!$G:$G,'Raw Data'!AD:AD),"")</f>
        <v/>
      </c>
      <c r="AA303" s="143" t="str">
        <f>IFERROR(_xlfn.XLOOKUP($A303,'Raw Data'!$G:$G,'Raw Data'!AE:AE)*(1+(_xlfn.XLOOKUP(Table13[[#This Row],[Month Year]],JMR!$A:$A,JMR!$J:$J))),"")</f>
        <v/>
      </c>
      <c r="AB303" s="143" t="str">
        <f>IFERROR(_xlfn.XLOOKUP($A303,'Raw Data'!$G:$G,'Raw Data'!$H:$H),"")</f>
        <v/>
      </c>
      <c r="AC303" s="149">
        <f>IFERROR(_xlfn.XLOOKUP($D303,'Modelling New'!$D:$D,'Modelling New'!$P:$P),"")</f>
        <v>6.0175946709677417</v>
      </c>
      <c r="AD303" s="143">
        <f>IFERROR(_xlfn.XLOOKUP($D303,'Modelling New'!$D:$D,'Modelling New'!$T:$T)*1000,"")</f>
        <v>54155.22627474973</v>
      </c>
      <c r="AE303" s="148">
        <f>IFERROR(_xlfn.XLOOKUP($D303,'Modelling New'!$D:$D,'Modelling New'!$O:$O),"")</f>
        <v>0.76787376813667318</v>
      </c>
      <c r="AF303" s="148">
        <f>IFERROR(_xlfn.XLOOKUP($D303,'Modelling New'!$D:$D,'Modelling New'!$W:$W),"")</f>
        <v>0.19253137896313183</v>
      </c>
      <c r="AG303" s="148">
        <f>IFERROR(_xlfn.XLOOKUP($D303,'Modelling New'!$D:$D,'Modelling New'!AE:AE),"")</f>
        <v>0.995</v>
      </c>
      <c r="AH303" s="148">
        <f>IFERROR(_xlfn.XLOOKUP($D303,'Modelling New'!$D:$D,'Modelling New'!AF:AF),"")</f>
        <v>0.98550000000000004</v>
      </c>
      <c r="AN303" s="145"/>
      <c r="AO303" s="148"/>
      <c r="AP303" s="148"/>
      <c r="AQ303" s="148"/>
      <c r="AR303" s="143">
        <f>IFERROR(_xlfn.XLOOKUP($D303,'Modelling New'!$D:$D,'Modelling New'!$N:$N),"")</f>
        <v>11.72</v>
      </c>
      <c r="AT303" s="143" t="str">
        <f>IFERROR(_xlfn.XLOOKUP(Table13[[#This Row],[Date]],'Raw Data'!$G:$G,'Raw Data'!$AJ:$AJ),"")</f>
        <v/>
      </c>
      <c r="AU303" s="143">
        <f>IFERROR(_xlfn.XLOOKUP(Table13[[#This Row],[Month Year]],'Modelling New'!$D:$D,'Modelling New'!$AO:$AO),"")</f>
        <v>10</v>
      </c>
      <c r="AV303" s="143"/>
    </row>
    <row r="304" spans="1:48">
      <c r="A304" s="142">
        <f t="shared" si="20"/>
        <v>46047</v>
      </c>
      <c r="B304" s="143">
        <f>YEAR(Table13[[#This Row],[Date]])+IF(MONTH(Table13[[#This Row],[Date]])&gt;=4,1,0)</f>
        <v>2026</v>
      </c>
      <c r="C304" s="116">
        <f>YEAR(Table13[[#This Row],[Date]])</f>
        <v>2026</v>
      </c>
      <c r="D304" s="144">
        <f>Table13[[#This Row],[Date]]-DAY(Table13[[#This Row],[Date]])+1</f>
        <v>46023</v>
      </c>
      <c r="E304" s="116">
        <f t="shared" si="17"/>
        <v>31</v>
      </c>
      <c r="F304" s="117" t="str">
        <f>IFERROR(_xlfn.XLOOKUP($A304,'Raw Data'!$G:$G,'Raw Data'!$AH:$AH),"")</f>
        <v/>
      </c>
      <c r="G304" s="118" t="str">
        <f>IFERROR(_xlfn.XLOOKUP($A304,'Raw Data'!$G:$G,'Raw Data'!$S:$S)/1000,"")</f>
        <v/>
      </c>
      <c r="H304" s="118"/>
      <c r="I304" s="118" t="str">
        <f>IFERROR(_xlfn.XLOOKUP($A304,'Raw Data'!$G:$G,'Raw Data'!$AF:$AF)/1000,"")</f>
        <v/>
      </c>
      <c r="J304" s="118"/>
      <c r="K304" s="118" t="str">
        <f>IFERROR(_xlfn.XLOOKUP($A304,'Raw Data'!$G:$G,'Raw Data'!W:W),"")</f>
        <v/>
      </c>
      <c r="L304" s="118" t="str">
        <f>IFERROR(_xlfn.XLOOKUP($A304,'Raw Data'!$G:$G,'Raw Data'!X:X),"")</f>
        <v/>
      </c>
      <c r="M304" s="118" t="str">
        <f>IFERROR(_xlfn.XLOOKUP($A304,'Raw Data'!$G:$G,'Raw Data'!Y:Y),"")</f>
        <v/>
      </c>
      <c r="N304" s="118" t="str">
        <f>IFERROR(_xlfn.XLOOKUP($A304,'Raw Data'!$G:$G,'Raw Data'!Z:Z),"")</f>
        <v/>
      </c>
      <c r="O304" s="145" t="str">
        <f>IFERROR(1-SUMIF('Plant BD'!$B:$B,$A304,'Plant BD'!$AM:$AM)/($AA304+SUMIF('Plant BD'!$B:$B,$A304,'Plant BD'!$AM:$AM)),"")</f>
        <v/>
      </c>
      <c r="P304" s="145"/>
      <c r="Q304" s="146"/>
      <c r="R304" s="145" t="str">
        <f>IFERROR(1-SUMIF('Grid BD'!$B:$B,$A304,'Grid BD'!$AE:$AE)/($AA304+SUMIF('Grid BD'!$B:$B,$A304,'Grid BD'!$AE:$AE)),"")</f>
        <v/>
      </c>
      <c r="T304" s="146" t="str">
        <f>IFERROR(1-SUMIF(Tracker_BD!$H:$H,$A304,Tracker_BD!AI:AI)/$F304,"")</f>
        <v/>
      </c>
      <c r="U304" s="147" t="str">
        <f t="shared" si="18"/>
        <v/>
      </c>
      <c r="V304" s="147"/>
      <c r="W304" s="148" t="str">
        <f t="shared" si="19"/>
        <v/>
      </c>
      <c r="X304" s="143" t="str">
        <f>IFERROR(_xlfn.XLOOKUP($A304,'Raw Data'!$G:$G,'Raw Data'!$AB:$AB),"")</f>
        <v/>
      </c>
      <c r="Y304" s="143" t="str">
        <f>IFERROR(_xlfn.XLOOKUP($A304,'Raw Data'!$G:$G,'Raw Data'!AC:AC),"")</f>
        <v/>
      </c>
      <c r="Z304" s="143" t="str">
        <f>IFERROR(_xlfn.XLOOKUP($A304,'Raw Data'!$G:$G,'Raw Data'!AD:AD),"")</f>
        <v/>
      </c>
      <c r="AA304" s="143" t="str">
        <f>IFERROR(_xlfn.XLOOKUP($A304,'Raw Data'!$G:$G,'Raw Data'!AE:AE)*(1+(_xlfn.XLOOKUP(Table13[[#This Row],[Month Year]],JMR!$A:$A,JMR!$J:$J))),"")</f>
        <v/>
      </c>
      <c r="AB304" s="143" t="str">
        <f>IFERROR(_xlfn.XLOOKUP($A304,'Raw Data'!$G:$G,'Raw Data'!$H:$H),"")</f>
        <v/>
      </c>
      <c r="AC304" s="149">
        <f>IFERROR(_xlfn.XLOOKUP($D304,'Modelling New'!$D:$D,'Modelling New'!$P:$P),"")</f>
        <v>6.0175946709677417</v>
      </c>
      <c r="AD304" s="143">
        <f>IFERROR(_xlfn.XLOOKUP($D304,'Modelling New'!$D:$D,'Modelling New'!$T:$T)*1000,"")</f>
        <v>54155.22627474973</v>
      </c>
      <c r="AE304" s="148">
        <f>IFERROR(_xlfn.XLOOKUP($D304,'Modelling New'!$D:$D,'Modelling New'!$O:$O),"")</f>
        <v>0.76787376813667318</v>
      </c>
      <c r="AF304" s="148">
        <f>IFERROR(_xlfn.XLOOKUP($D304,'Modelling New'!$D:$D,'Modelling New'!$W:$W),"")</f>
        <v>0.19253137896313183</v>
      </c>
      <c r="AG304" s="148">
        <f>IFERROR(_xlfn.XLOOKUP($D304,'Modelling New'!$D:$D,'Modelling New'!AE:AE),"")</f>
        <v>0.995</v>
      </c>
      <c r="AH304" s="148">
        <f>IFERROR(_xlfn.XLOOKUP($D304,'Modelling New'!$D:$D,'Modelling New'!AF:AF),"")</f>
        <v>0.98550000000000004</v>
      </c>
      <c r="AN304" s="145"/>
      <c r="AO304" s="148"/>
      <c r="AP304" s="148"/>
      <c r="AQ304" s="148"/>
      <c r="AR304" s="143">
        <f>IFERROR(_xlfn.XLOOKUP($D304,'Modelling New'!$D:$D,'Modelling New'!$N:$N),"")</f>
        <v>11.72</v>
      </c>
      <c r="AT304" s="143" t="str">
        <f>IFERROR(_xlfn.XLOOKUP(Table13[[#This Row],[Date]],'Raw Data'!$G:$G,'Raw Data'!$AJ:$AJ),"")</f>
        <v/>
      </c>
      <c r="AU304" s="143">
        <f>IFERROR(_xlfn.XLOOKUP(Table13[[#This Row],[Month Year]],'Modelling New'!$D:$D,'Modelling New'!$AO:$AO),"")</f>
        <v>10</v>
      </c>
      <c r="AV304" s="143"/>
    </row>
    <row r="305" spans="1:48">
      <c r="A305" s="142">
        <f t="shared" si="20"/>
        <v>46048</v>
      </c>
      <c r="B305" s="143">
        <f>YEAR(Table13[[#This Row],[Date]])+IF(MONTH(Table13[[#This Row],[Date]])&gt;=4,1,0)</f>
        <v>2026</v>
      </c>
      <c r="C305" s="116">
        <f>YEAR(Table13[[#This Row],[Date]])</f>
        <v>2026</v>
      </c>
      <c r="D305" s="144">
        <f>Table13[[#This Row],[Date]]-DAY(Table13[[#This Row],[Date]])+1</f>
        <v>46023</v>
      </c>
      <c r="E305" s="116">
        <f t="shared" si="17"/>
        <v>31</v>
      </c>
      <c r="F305" s="117" t="str">
        <f>IFERROR(_xlfn.XLOOKUP($A305,'Raw Data'!$G:$G,'Raw Data'!$AH:$AH),"")</f>
        <v/>
      </c>
      <c r="G305" s="118" t="str">
        <f>IFERROR(_xlfn.XLOOKUP($A305,'Raw Data'!$G:$G,'Raw Data'!$S:$S)/1000,"")</f>
        <v/>
      </c>
      <c r="H305" s="118"/>
      <c r="I305" s="118" t="str">
        <f>IFERROR(_xlfn.XLOOKUP($A305,'Raw Data'!$G:$G,'Raw Data'!$AF:$AF)/1000,"")</f>
        <v/>
      </c>
      <c r="J305" s="118"/>
      <c r="K305" s="118" t="str">
        <f>IFERROR(_xlfn.XLOOKUP($A305,'Raw Data'!$G:$G,'Raw Data'!W:W),"")</f>
        <v/>
      </c>
      <c r="L305" s="118" t="str">
        <f>IFERROR(_xlfn.XLOOKUP($A305,'Raw Data'!$G:$G,'Raw Data'!X:X),"")</f>
        <v/>
      </c>
      <c r="M305" s="118" t="str">
        <f>IFERROR(_xlfn.XLOOKUP($A305,'Raw Data'!$G:$G,'Raw Data'!Y:Y),"")</f>
        <v/>
      </c>
      <c r="N305" s="118" t="str">
        <f>IFERROR(_xlfn.XLOOKUP($A305,'Raw Data'!$G:$G,'Raw Data'!Z:Z),"")</f>
        <v/>
      </c>
      <c r="O305" s="145" t="str">
        <f>IFERROR(1-SUMIF('Plant BD'!$B:$B,$A305,'Plant BD'!$AM:$AM)/($AA305+SUMIF('Plant BD'!$B:$B,$A305,'Plant BD'!$AM:$AM)),"")</f>
        <v/>
      </c>
      <c r="P305" s="145"/>
      <c r="Q305" s="146"/>
      <c r="R305" s="145" t="str">
        <f>IFERROR(1-SUMIF('Grid BD'!$B:$B,$A305,'Grid BD'!$AE:$AE)/($AA305+SUMIF('Grid BD'!$B:$B,$A305,'Grid BD'!$AE:$AE)),"")</f>
        <v/>
      </c>
      <c r="T305" s="146" t="str">
        <f>IFERROR(1-SUMIF(Tracker_BD!$H:$H,$A305,Tracker_BD!AI:AI)/$F305,"")</f>
        <v/>
      </c>
      <c r="U305" s="147" t="str">
        <f t="shared" si="18"/>
        <v/>
      </c>
      <c r="V305" s="147"/>
      <c r="W305" s="148" t="str">
        <f t="shared" si="19"/>
        <v/>
      </c>
      <c r="X305" s="143" t="str">
        <f>IFERROR(_xlfn.XLOOKUP($A305,'Raw Data'!$G:$G,'Raw Data'!$AB:$AB),"")</f>
        <v/>
      </c>
      <c r="Y305" s="143" t="str">
        <f>IFERROR(_xlfn.XLOOKUP($A305,'Raw Data'!$G:$G,'Raw Data'!AC:AC),"")</f>
        <v/>
      </c>
      <c r="Z305" s="143" t="str">
        <f>IFERROR(_xlfn.XLOOKUP($A305,'Raw Data'!$G:$G,'Raw Data'!AD:AD),"")</f>
        <v/>
      </c>
      <c r="AA305" s="143" t="str">
        <f>IFERROR(_xlfn.XLOOKUP($A305,'Raw Data'!$G:$G,'Raw Data'!AE:AE)*(1+(_xlfn.XLOOKUP(Table13[[#This Row],[Month Year]],JMR!$A:$A,JMR!$J:$J))),"")</f>
        <v/>
      </c>
      <c r="AB305" s="143" t="str">
        <f>IFERROR(_xlfn.XLOOKUP($A305,'Raw Data'!$G:$G,'Raw Data'!$H:$H),"")</f>
        <v/>
      </c>
      <c r="AC305" s="149">
        <f>IFERROR(_xlfn.XLOOKUP($D305,'Modelling New'!$D:$D,'Modelling New'!$P:$P),"")</f>
        <v>6.0175946709677417</v>
      </c>
      <c r="AD305" s="143">
        <f>IFERROR(_xlfn.XLOOKUP($D305,'Modelling New'!$D:$D,'Modelling New'!$T:$T)*1000,"")</f>
        <v>54155.22627474973</v>
      </c>
      <c r="AE305" s="148">
        <f>IFERROR(_xlfn.XLOOKUP($D305,'Modelling New'!$D:$D,'Modelling New'!$O:$O),"")</f>
        <v>0.76787376813667318</v>
      </c>
      <c r="AF305" s="148">
        <f>IFERROR(_xlfn.XLOOKUP($D305,'Modelling New'!$D:$D,'Modelling New'!$W:$W),"")</f>
        <v>0.19253137896313183</v>
      </c>
      <c r="AG305" s="148">
        <f>IFERROR(_xlfn.XLOOKUP($D305,'Modelling New'!$D:$D,'Modelling New'!AE:AE),"")</f>
        <v>0.995</v>
      </c>
      <c r="AH305" s="148">
        <f>IFERROR(_xlfn.XLOOKUP($D305,'Modelling New'!$D:$D,'Modelling New'!AF:AF),"")</f>
        <v>0.98550000000000004</v>
      </c>
      <c r="AN305" s="145"/>
      <c r="AO305" s="148"/>
      <c r="AP305" s="148"/>
      <c r="AQ305" s="148"/>
      <c r="AR305" s="143">
        <f>IFERROR(_xlfn.XLOOKUP($D305,'Modelling New'!$D:$D,'Modelling New'!$N:$N),"")</f>
        <v>11.72</v>
      </c>
      <c r="AT305" s="143" t="str">
        <f>IFERROR(_xlfn.XLOOKUP(Table13[[#This Row],[Date]],'Raw Data'!$G:$G,'Raw Data'!$AJ:$AJ),"")</f>
        <v/>
      </c>
      <c r="AU305" s="143">
        <f>IFERROR(_xlfn.XLOOKUP(Table13[[#This Row],[Month Year]],'Modelling New'!$D:$D,'Modelling New'!$AO:$AO),"")</f>
        <v>10</v>
      </c>
      <c r="AV305" s="143"/>
    </row>
    <row r="306" spans="1:48">
      <c r="A306" s="142">
        <f t="shared" si="20"/>
        <v>46049</v>
      </c>
      <c r="B306" s="143">
        <f>YEAR(Table13[[#This Row],[Date]])+IF(MONTH(Table13[[#This Row],[Date]])&gt;=4,1,0)</f>
        <v>2026</v>
      </c>
      <c r="C306" s="116">
        <f>YEAR(Table13[[#This Row],[Date]])</f>
        <v>2026</v>
      </c>
      <c r="D306" s="144">
        <f>Table13[[#This Row],[Date]]-DAY(Table13[[#This Row],[Date]])+1</f>
        <v>46023</v>
      </c>
      <c r="E306" s="116">
        <f t="shared" si="17"/>
        <v>31</v>
      </c>
      <c r="F306" s="117" t="str">
        <f>IFERROR(_xlfn.XLOOKUP($A306,'Raw Data'!$G:$G,'Raw Data'!$AH:$AH),"")</f>
        <v/>
      </c>
      <c r="G306" s="118" t="str">
        <f>IFERROR(_xlfn.XLOOKUP($A306,'Raw Data'!$G:$G,'Raw Data'!$S:$S)/1000,"")</f>
        <v/>
      </c>
      <c r="H306" s="118"/>
      <c r="I306" s="118" t="str">
        <f>IFERROR(_xlfn.XLOOKUP($A306,'Raw Data'!$G:$G,'Raw Data'!$AF:$AF)/1000,"")</f>
        <v/>
      </c>
      <c r="J306" s="118"/>
      <c r="K306" s="118" t="str">
        <f>IFERROR(_xlfn.XLOOKUP($A306,'Raw Data'!$G:$G,'Raw Data'!W:W),"")</f>
        <v/>
      </c>
      <c r="L306" s="118" t="str">
        <f>IFERROR(_xlfn.XLOOKUP($A306,'Raw Data'!$G:$G,'Raw Data'!X:X),"")</f>
        <v/>
      </c>
      <c r="M306" s="118" t="str">
        <f>IFERROR(_xlfn.XLOOKUP($A306,'Raw Data'!$G:$G,'Raw Data'!Y:Y),"")</f>
        <v/>
      </c>
      <c r="N306" s="118" t="str">
        <f>IFERROR(_xlfn.XLOOKUP($A306,'Raw Data'!$G:$G,'Raw Data'!Z:Z),"")</f>
        <v/>
      </c>
      <c r="O306" s="145" t="str">
        <f>IFERROR(1-SUMIF('Plant BD'!$B:$B,$A306,'Plant BD'!$AM:$AM)/($AA306+SUMIF('Plant BD'!$B:$B,$A306,'Plant BD'!$AM:$AM)),"")</f>
        <v/>
      </c>
      <c r="P306" s="145"/>
      <c r="Q306" s="146"/>
      <c r="R306" s="145" t="str">
        <f>IFERROR(1-SUMIF('Grid BD'!$B:$B,$A306,'Grid BD'!$AE:$AE)/($AA306+SUMIF('Grid BD'!$B:$B,$A306,'Grid BD'!$AE:$AE)),"")</f>
        <v/>
      </c>
      <c r="T306" s="146" t="str">
        <f>IFERROR(1-SUMIF(Tracker_BD!$H:$H,$A306,Tracker_BD!AI:AI)/$F306,"")</f>
        <v/>
      </c>
      <c r="U306" s="147" t="str">
        <f t="shared" si="18"/>
        <v/>
      </c>
      <c r="V306" s="147"/>
      <c r="W306" s="148" t="str">
        <f t="shared" si="19"/>
        <v/>
      </c>
      <c r="X306" s="143" t="str">
        <f>IFERROR(_xlfn.XLOOKUP($A306,'Raw Data'!$G:$G,'Raw Data'!$AB:$AB),"")</f>
        <v/>
      </c>
      <c r="Y306" s="143" t="str">
        <f>IFERROR(_xlfn.XLOOKUP($A306,'Raw Data'!$G:$G,'Raw Data'!AC:AC),"")</f>
        <v/>
      </c>
      <c r="Z306" s="143" t="str">
        <f>IFERROR(_xlfn.XLOOKUP($A306,'Raw Data'!$G:$G,'Raw Data'!AD:AD),"")</f>
        <v/>
      </c>
      <c r="AA306" s="143" t="str">
        <f>IFERROR(_xlfn.XLOOKUP($A306,'Raw Data'!$G:$G,'Raw Data'!AE:AE)*(1+(_xlfn.XLOOKUP(Table13[[#This Row],[Month Year]],JMR!$A:$A,JMR!$J:$J))),"")</f>
        <v/>
      </c>
      <c r="AB306" s="143" t="str">
        <f>IFERROR(_xlfn.XLOOKUP($A306,'Raw Data'!$G:$G,'Raw Data'!$H:$H),"")</f>
        <v/>
      </c>
      <c r="AC306" s="149">
        <f>IFERROR(_xlfn.XLOOKUP($D306,'Modelling New'!$D:$D,'Modelling New'!$P:$P),"")</f>
        <v>6.0175946709677417</v>
      </c>
      <c r="AD306" s="143">
        <f>IFERROR(_xlfn.XLOOKUP($D306,'Modelling New'!$D:$D,'Modelling New'!$T:$T)*1000,"")</f>
        <v>54155.22627474973</v>
      </c>
      <c r="AE306" s="148">
        <f>IFERROR(_xlfn.XLOOKUP($D306,'Modelling New'!$D:$D,'Modelling New'!$O:$O),"")</f>
        <v>0.76787376813667318</v>
      </c>
      <c r="AF306" s="148">
        <f>IFERROR(_xlfn.XLOOKUP($D306,'Modelling New'!$D:$D,'Modelling New'!$W:$W),"")</f>
        <v>0.19253137896313183</v>
      </c>
      <c r="AG306" s="148">
        <f>IFERROR(_xlfn.XLOOKUP($D306,'Modelling New'!$D:$D,'Modelling New'!AE:AE),"")</f>
        <v>0.995</v>
      </c>
      <c r="AH306" s="148">
        <f>IFERROR(_xlfn.XLOOKUP($D306,'Modelling New'!$D:$D,'Modelling New'!AF:AF),"")</f>
        <v>0.98550000000000004</v>
      </c>
      <c r="AN306" s="145"/>
      <c r="AO306" s="148"/>
      <c r="AP306" s="148"/>
      <c r="AQ306" s="148"/>
      <c r="AR306" s="143">
        <f>IFERROR(_xlfn.XLOOKUP($D306,'Modelling New'!$D:$D,'Modelling New'!$N:$N),"")</f>
        <v>11.72</v>
      </c>
      <c r="AT306" s="143" t="str">
        <f>IFERROR(_xlfn.XLOOKUP(Table13[[#This Row],[Date]],'Raw Data'!$G:$G,'Raw Data'!$AJ:$AJ),"")</f>
        <v/>
      </c>
      <c r="AU306" s="143">
        <f>IFERROR(_xlfn.XLOOKUP(Table13[[#This Row],[Month Year]],'Modelling New'!$D:$D,'Modelling New'!$AO:$AO),"")</f>
        <v>10</v>
      </c>
      <c r="AV306" s="143"/>
    </row>
    <row r="307" spans="1:48">
      <c r="A307" s="142">
        <f t="shared" si="20"/>
        <v>46050</v>
      </c>
      <c r="B307" s="143">
        <f>YEAR(Table13[[#This Row],[Date]])+IF(MONTH(Table13[[#This Row],[Date]])&gt;=4,1,0)</f>
        <v>2026</v>
      </c>
      <c r="C307" s="116">
        <f>YEAR(Table13[[#This Row],[Date]])</f>
        <v>2026</v>
      </c>
      <c r="D307" s="144">
        <f>Table13[[#This Row],[Date]]-DAY(Table13[[#This Row],[Date]])+1</f>
        <v>46023</v>
      </c>
      <c r="E307" s="116">
        <f t="shared" si="17"/>
        <v>31</v>
      </c>
      <c r="F307" s="117" t="str">
        <f>IFERROR(_xlfn.XLOOKUP($A307,'Raw Data'!$G:$G,'Raw Data'!$AH:$AH),"")</f>
        <v/>
      </c>
      <c r="G307" s="118" t="str">
        <f>IFERROR(_xlfn.XLOOKUP($A307,'Raw Data'!$G:$G,'Raw Data'!$S:$S)/1000,"")</f>
        <v/>
      </c>
      <c r="H307" s="118"/>
      <c r="I307" s="118" t="str">
        <f>IFERROR(_xlfn.XLOOKUP($A307,'Raw Data'!$G:$G,'Raw Data'!$AF:$AF)/1000,"")</f>
        <v/>
      </c>
      <c r="J307" s="118"/>
      <c r="K307" s="118" t="str">
        <f>IFERROR(_xlfn.XLOOKUP($A307,'Raw Data'!$G:$G,'Raw Data'!W:W),"")</f>
        <v/>
      </c>
      <c r="L307" s="118" t="str">
        <f>IFERROR(_xlfn.XLOOKUP($A307,'Raw Data'!$G:$G,'Raw Data'!X:X),"")</f>
        <v/>
      </c>
      <c r="M307" s="118" t="str">
        <f>IFERROR(_xlfn.XLOOKUP($A307,'Raw Data'!$G:$G,'Raw Data'!Y:Y),"")</f>
        <v/>
      </c>
      <c r="N307" s="118" t="str">
        <f>IFERROR(_xlfn.XLOOKUP($A307,'Raw Data'!$G:$G,'Raw Data'!Z:Z),"")</f>
        <v/>
      </c>
      <c r="O307" s="145" t="str">
        <f>IFERROR(1-SUMIF('Plant BD'!$B:$B,$A307,'Plant BD'!$AM:$AM)/($AA307+SUMIF('Plant BD'!$B:$B,$A307,'Plant BD'!$AM:$AM)),"")</f>
        <v/>
      </c>
      <c r="P307" s="145"/>
      <c r="Q307" s="146"/>
      <c r="R307" s="145" t="str">
        <f>IFERROR(1-SUMIF('Grid BD'!$B:$B,$A307,'Grid BD'!$AE:$AE)/($AA307+SUMIF('Grid BD'!$B:$B,$A307,'Grid BD'!$AE:$AE)),"")</f>
        <v/>
      </c>
      <c r="T307" s="146" t="str">
        <f>IFERROR(1-SUMIF(Tracker_BD!$H:$H,$A307,Tracker_BD!AI:AI)/$F307,"")</f>
        <v/>
      </c>
      <c r="U307" s="147" t="str">
        <f t="shared" si="18"/>
        <v/>
      </c>
      <c r="V307" s="147"/>
      <c r="W307" s="148" t="str">
        <f t="shared" si="19"/>
        <v/>
      </c>
      <c r="X307" s="143" t="str">
        <f>IFERROR(_xlfn.XLOOKUP($A307,'Raw Data'!$G:$G,'Raw Data'!$AB:$AB),"")</f>
        <v/>
      </c>
      <c r="Y307" s="143" t="str">
        <f>IFERROR(_xlfn.XLOOKUP($A307,'Raw Data'!$G:$G,'Raw Data'!AC:AC),"")</f>
        <v/>
      </c>
      <c r="Z307" s="143" t="str">
        <f>IFERROR(_xlfn.XLOOKUP($A307,'Raw Data'!$G:$G,'Raw Data'!AD:AD),"")</f>
        <v/>
      </c>
      <c r="AA307" s="143" t="str">
        <f>IFERROR(_xlfn.XLOOKUP($A307,'Raw Data'!$G:$G,'Raw Data'!AE:AE)*(1+(_xlfn.XLOOKUP(Table13[[#This Row],[Month Year]],JMR!$A:$A,JMR!$J:$J))),"")</f>
        <v/>
      </c>
      <c r="AB307" s="143" t="str">
        <f>IFERROR(_xlfn.XLOOKUP($A307,'Raw Data'!$G:$G,'Raw Data'!$H:$H),"")</f>
        <v/>
      </c>
      <c r="AC307" s="149">
        <f>IFERROR(_xlfn.XLOOKUP($D307,'Modelling New'!$D:$D,'Modelling New'!$P:$P),"")</f>
        <v>6.0175946709677417</v>
      </c>
      <c r="AD307" s="143">
        <f>IFERROR(_xlfn.XLOOKUP($D307,'Modelling New'!$D:$D,'Modelling New'!$T:$T)*1000,"")</f>
        <v>54155.22627474973</v>
      </c>
      <c r="AE307" s="148">
        <f>IFERROR(_xlfn.XLOOKUP($D307,'Modelling New'!$D:$D,'Modelling New'!$O:$O),"")</f>
        <v>0.76787376813667318</v>
      </c>
      <c r="AF307" s="148">
        <f>IFERROR(_xlfn.XLOOKUP($D307,'Modelling New'!$D:$D,'Modelling New'!$W:$W),"")</f>
        <v>0.19253137896313183</v>
      </c>
      <c r="AG307" s="148">
        <f>IFERROR(_xlfn.XLOOKUP($D307,'Modelling New'!$D:$D,'Modelling New'!AE:AE),"")</f>
        <v>0.995</v>
      </c>
      <c r="AH307" s="148">
        <f>IFERROR(_xlfn.XLOOKUP($D307,'Modelling New'!$D:$D,'Modelling New'!AF:AF),"")</f>
        <v>0.98550000000000004</v>
      </c>
      <c r="AN307" s="145"/>
      <c r="AO307" s="148"/>
      <c r="AP307" s="148"/>
      <c r="AQ307" s="148"/>
      <c r="AR307" s="143">
        <f>IFERROR(_xlfn.XLOOKUP($D307,'Modelling New'!$D:$D,'Modelling New'!$N:$N),"")</f>
        <v>11.72</v>
      </c>
      <c r="AT307" s="143" t="str">
        <f>IFERROR(_xlfn.XLOOKUP(Table13[[#This Row],[Date]],'Raw Data'!$G:$G,'Raw Data'!$AJ:$AJ),"")</f>
        <v/>
      </c>
      <c r="AU307" s="143">
        <f>IFERROR(_xlfn.XLOOKUP(Table13[[#This Row],[Month Year]],'Modelling New'!$D:$D,'Modelling New'!$AO:$AO),"")</f>
        <v>10</v>
      </c>
      <c r="AV307" s="143"/>
    </row>
    <row r="308" spans="1:48">
      <c r="A308" s="142">
        <f t="shared" si="20"/>
        <v>46051</v>
      </c>
      <c r="B308" s="143">
        <f>YEAR(Table13[[#This Row],[Date]])+IF(MONTH(Table13[[#This Row],[Date]])&gt;=4,1,0)</f>
        <v>2026</v>
      </c>
      <c r="C308" s="116">
        <f>YEAR(Table13[[#This Row],[Date]])</f>
        <v>2026</v>
      </c>
      <c r="D308" s="144">
        <f>Table13[[#This Row],[Date]]-DAY(Table13[[#This Row],[Date]])+1</f>
        <v>46023</v>
      </c>
      <c r="E308" s="116">
        <f t="shared" si="17"/>
        <v>31</v>
      </c>
      <c r="F308" s="117" t="str">
        <f>IFERROR(_xlfn.XLOOKUP($A308,'Raw Data'!$G:$G,'Raw Data'!$AH:$AH),"")</f>
        <v/>
      </c>
      <c r="G308" s="118" t="str">
        <f>IFERROR(_xlfn.XLOOKUP($A308,'Raw Data'!$G:$G,'Raw Data'!$S:$S)/1000,"")</f>
        <v/>
      </c>
      <c r="H308" s="118"/>
      <c r="I308" s="118" t="str">
        <f>IFERROR(_xlfn.XLOOKUP($A308,'Raw Data'!$G:$G,'Raw Data'!$AF:$AF)/1000,"")</f>
        <v/>
      </c>
      <c r="J308" s="118"/>
      <c r="K308" s="118" t="str">
        <f>IFERROR(_xlfn.XLOOKUP($A308,'Raw Data'!$G:$G,'Raw Data'!W:W),"")</f>
        <v/>
      </c>
      <c r="L308" s="118" t="str">
        <f>IFERROR(_xlfn.XLOOKUP($A308,'Raw Data'!$G:$G,'Raw Data'!X:X),"")</f>
        <v/>
      </c>
      <c r="M308" s="118" t="str">
        <f>IFERROR(_xlfn.XLOOKUP($A308,'Raw Data'!$G:$G,'Raw Data'!Y:Y),"")</f>
        <v/>
      </c>
      <c r="N308" s="118" t="str">
        <f>IFERROR(_xlfn.XLOOKUP($A308,'Raw Data'!$G:$G,'Raw Data'!Z:Z),"")</f>
        <v/>
      </c>
      <c r="O308" s="145" t="str">
        <f>IFERROR(1-SUMIF('Plant BD'!$B:$B,$A308,'Plant BD'!$AM:$AM)/($AA308+SUMIF('Plant BD'!$B:$B,$A308,'Plant BD'!$AM:$AM)),"")</f>
        <v/>
      </c>
      <c r="P308" s="145"/>
      <c r="Q308" s="146"/>
      <c r="R308" s="145" t="str">
        <f>IFERROR(1-SUMIF('Grid BD'!$B:$B,$A308,'Grid BD'!$AE:$AE)/($AA308+SUMIF('Grid BD'!$B:$B,$A308,'Grid BD'!$AE:$AE)),"")</f>
        <v/>
      </c>
      <c r="T308" s="146" t="str">
        <f>IFERROR(1-SUMIF(Tracker_BD!$H:$H,$A308,Tracker_BD!AI:AI)/$F308,"")</f>
        <v/>
      </c>
      <c r="U308" s="147" t="str">
        <f t="shared" si="18"/>
        <v/>
      </c>
      <c r="V308" s="147"/>
      <c r="W308" s="148" t="str">
        <f t="shared" si="19"/>
        <v/>
      </c>
      <c r="X308" s="143" t="str">
        <f>IFERROR(_xlfn.XLOOKUP($A308,'Raw Data'!$G:$G,'Raw Data'!$AB:$AB),"")</f>
        <v/>
      </c>
      <c r="Y308" s="143" t="str">
        <f>IFERROR(_xlfn.XLOOKUP($A308,'Raw Data'!$G:$G,'Raw Data'!AC:AC),"")</f>
        <v/>
      </c>
      <c r="Z308" s="143" t="str">
        <f>IFERROR(_xlfn.XLOOKUP($A308,'Raw Data'!$G:$G,'Raw Data'!AD:AD),"")</f>
        <v/>
      </c>
      <c r="AA308" s="143" t="str">
        <f>IFERROR(_xlfn.XLOOKUP($A308,'Raw Data'!$G:$G,'Raw Data'!AE:AE)*(1+(_xlfn.XLOOKUP(Table13[[#This Row],[Month Year]],JMR!$A:$A,JMR!$J:$J))),"")</f>
        <v/>
      </c>
      <c r="AB308" s="143" t="str">
        <f>IFERROR(_xlfn.XLOOKUP($A308,'Raw Data'!$G:$G,'Raw Data'!$H:$H),"")</f>
        <v/>
      </c>
      <c r="AC308" s="149">
        <f>IFERROR(_xlfn.XLOOKUP($D308,'Modelling New'!$D:$D,'Modelling New'!$P:$P),"")</f>
        <v>6.0175946709677417</v>
      </c>
      <c r="AD308" s="143">
        <f>IFERROR(_xlfn.XLOOKUP($D308,'Modelling New'!$D:$D,'Modelling New'!$T:$T)*1000,"")</f>
        <v>54155.22627474973</v>
      </c>
      <c r="AE308" s="148">
        <f>IFERROR(_xlfn.XLOOKUP($D308,'Modelling New'!$D:$D,'Modelling New'!$O:$O),"")</f>
        <v>0.76787376813667318</v>
      </c>
      <c r="AF308" s="148">
        <f>IFERROR(_xlfn.XLOOKUP($D308,'Modelling New'!$D:$D,'Modelling New'!$W:$W),"")</f>
        <v>0.19253137896313183</v>
      </c>
      <c r="AG308" s="148">
        <f>IFERROR(_xlfn.XLOOKUP($D308,'Modelling New'!$D:$D,'Modelling New'!AE:AE),"")</f>
        <v>0.995</v>
      </c>
      <c r="AH308" s="148">
        <f>IFERROR(_xlfn.XLOOKUP($D308,'Modelling New'!$D:$D,'Modelling New'!AF:AF),"")</f>
        <v>0.98550000000000004</v>
      </c>
      <c r="AN308" s="145"/>
      <c r="AO308" s="148"/>
      <c r="AP308" s="148"/>
      <c r="AQ308" s="148"/>
      <c r="AR308" s="143">
        <f>IFERROR(_xlfn.XLOOKUP($D308,'Modelling New'!$D:$D,'Modelling New'!$N:$N),"")</f>
        <v>11.72</v>
      </c>
      <c r="AT308" s="143" t="str">
        <f>IFERROR(_xlfn.XLOOKUP(Table13[[#This Row],[Date]],'Raw Data'!$G:$G,'Raw Data'!$AJ:$AJ),"")</f>
        <v/>
      </c>
      <c r="AU308" s="143">
        <f>IFERROR(_xlfn.XLOOKUP(Table13[[#This Row],[Month Year]],'Modelling New'!$D:$D,'Modelling New'!$AO:$AO),"")</f>
        <v>10</v>
      </c>
      <c r="AV308" s="143"/>
    </row>
    <row r="309" spans="1:48">
      <c r="A309" s="142">
        <f t="shared" si="20"/>
        <v>46052</v>
      </c>
      <c r="B309" s="143">
        <f>YEAR(Table13[[#This Row],[Date]])+IF(MONTH(Table13[[#This Row],[Date]])&gt;=4,1,0)</f>
        <v>2026</v>
      </c>
      <c r="C309" s="116">
        <f>YEAR(Table13[[#This Row],[Date]])</f>
        <v>2026</v>
      </c>
      <c r="D309" s="144">
        <f>Table13[[#This Row],[Date]]-DAY(Table13[[#This Row],[Date]])+1</f>
        <v>46023</v>
      </c>
      <c r="E309" s="116">
        <f t="shared" si="17"/>
        <v>31</v>
      </c>
      <c r="F309" s="117" t="str">
        <f>IFERROR(_xlfn.XLOOKUP($A309,'Raw Data'!$G:$G,'Raw Data'!$AH:$AH),"")</f>
        <v/>
      </c>
      <c r="G309" s="118" t="str">
        <f>IFERROR(_xlfn.XLOOKUP($A309,'Raw Data'!$G:$G,'Raw Data'!$S:$S)/1000,"")</f>
        <v/>
      </c>
      <c r="H309" s="118"/>
      <c r="I309" s="118" t="str">
        <f>IFERROR(_xlfn.XLOOKUP($A309,'Raw Data'!$G:$G,'Raw Data'!$AF:$AF)/1000,"")</f>
        <v/>
      </c>
      <c r="J309" s="118"/>
      <c r="K309" s="118" t="str">
        <f>IFERROR(_xlfn.XLOOKUP($A309,'Raw Data'!$G:$G,'Raw Data'!W:W),"")</f>
        <v/>
      </c>
      <c r="L309" s="118" t="str">
        <f>IFERROR(_xlfn.XLOOKUP($A309,'Raw Data'!$G:$G,'Raw Data'!X:X),"")</f>
        <v/>
      </c>
      <c r="M309" s="118" t="str">
        <f>IFERROR(_xlfn.XLOOKUP($A309,'Raw Data'!$G:$G,'Raw Data'!Y:Y),"")</f>
        <v/>
      </c>
      <c r="N309" s="118" t="str">
        <f>IFERROR(_xlfn.XLOOKUP($A309,'Raw Data'!$G:$G,'Raw Data'!Z:Z),"")</f>
        <v/>
      </c>
      <c r="O309" s="145" t="str">
        <f>IFERROR(1-SUMIF('Plant BD'!$B:$B,$A309,'Plant BD'!$AM:$AM)/($AA309+SUMIF('Plant BD'!$B:$B,$A309,'Plant BD'!$AM:$AM)),"")</f>
        <v/>
      </c>
      <c r="P309" s="145"/>
      <c r="Q309" s="146"/>
      <c r="R309" s="145" t="str">
        <f>IFERROR(1-SUMIF('Grid BD'!$B:$B,$A309,'Grid BD'!$AE:$AE)/($AA309+SUMIF('Grid BD'!$B:$B,$A309,'Grid BD'!$AE:$AE)),"")</f>
        <v/>
      </c>
      <c r="T309" s="146" t="str">
        <f>IFERROR(1-SUMIF(Tracker_BD!$H:$H,$A309,Tracker_BD!AI:AI)/$F309,"")</f>
        <v/>
      </c>
      <c r="U309" s="147" t="str">
        <f t="shared" si="18"/>
        <v/>
      </c>
      <c r="V309" s="147"/>
      <c r="W309" s="148" t="str">
        <f t="shared" si="19"/>
        <v/>
      </c>
      <c r="X309" s="143" t="str">
        <f>IFERROR(_xlfn.XLOOKUP($A309,'Raw Data'!$G:$G,'Raw Data'!$AB:$AB),"")</f>
        <v/>
      </c>
      <c r="Y309" s="143" t="str">
        <f>IFERROR(_xlfn.XLOOKUP($A309,'Raw Data'!$G:$G,'Raw Data'!AC:AC),"")</f>
        <v/>
      </c>
      <c r="Z309" s="143" t="str">
        <f>IFERROR(_xlfn.XLOOKUP($A309,'Raw Data'!$G:$G,'Raw Data'!AD:AD),"")</f>
        <v/>
      </c>
      <c r="AA309" s="143" t="str">
        <f>IFERROR(_xlfn.XLOOKUP($A309,'Raw Data'!$G:$G,'Raw Data'!AE:AE)*(1+(_xlfn.XLOOKUP(Table13[[#This Row],[Month Year]],JMR!$A:$A,JMR!$J:$J))),"")</f>
        <v/>
      </c>
      <c r="AB309" s="143" t="str">
        <f>IFERROR(_xlfn.XLOOKUP($A309,'Raw Data'!$G:$G,'Raw Data'!$H:$H),"")</f>
        <v/>
      </c>
      <c r="AC309" s="149">
        <f>IFERROR(_xlfn.XLOOKUP($D309,'Modelling New'!$D:$D,'Modelling New'!$P:$P),"")</f>
        <v>6.0175946709677417</v>
      </c>
      <c r="AD309" s="143">
        <f>IFERROR(_xlfn.XLOOKUP($D309,'Modelling New'!$D:$D,'Modelling New'!$T:$T)*1000,"")</f>
        <v>54155.22627474973</v>
      </c>
      <c r="AE309" s="148">
        <f>IFERROR(_xlfn.XLOOKUP($D309,'Modelling New'!$D:$D,'Modelling New'!$O:$O),"")</f>
        <v>0.76787376813667318</v>
      </c>
      <c r="AF309" s="148">
        <f>IFERROR(_xlfn.XLOOKUP($D309,'Modelling New'!$D:$D,'Modelling New'!$W:$W),"")</f>
        <v>0.19253137896313183</v>
      </c>
      <c r="AG309" s="148">
        <f>IFERROR(_xlfn.XLOOKUP($D309,'Modelling New'!$D:$D,'Modelling New'!AE:AE),"")</f>
        <v>0.995</v>
      </c>
      <c r="AH309" s="148">
        <f>IFERROR(_xlfn.XLOOKUP($D309,'Modelling New'!$D:$D,'Modelling New'!AF:AF),"")</f>
        <v>0.98550000000000004</v>
      </c>
      <c r="AN309" s="145"/>
      <c r="AO309" s="148"/>
      <c r="AP309" s="148"/>
      <c r="AQ309" s="148"/>
      <c r="AR309" s="143">
        <f>IFERROR(_xlfn.XLOOKUP($D309,'Modelling New'!$D:$D,'Modelling New'!$N:$N),"")</f>
        <v>11.72</v>
      </c>
      <c r="AT309" s="143" t="str">
        <f>IFERROR(_xlfn.XLOOKUP(Table13[[#This Row],[Date]],'Raw Data'!$G:$G,'Raw Data'!$AJ:$AJ),"")</f>
        <v/>
      </c>
      <c r="AU309" s="143">
        <f>IFERROR(_xlfn.XLOOKUP(Table13[[#This Row],[Month Year]],'Modelling New'!$D:$D,'Modelling New'!$AO:$AO),"")</f>
        <v>10</v>
      </c>
      <c r="AV309" s="143"/>
    </row>
    <row r="310" spans="1:48">
      <c r="A310" s="142">
        <f t="shared" si="20"/>
        <v>46053</v>
      </c>
      <c r="B310" s="143">
        <f>YEAR(Table13[[#This Row],[Date]])+IF(MONTH(Table13[[#This Row],[Date]])&gt;=4,1,0)</f>
        <v>2026</v>
      </c>
      <c r="C310" s="116">
        <f>YEAR(Table13[[#This Row],[Date]])</f>
        <v>2026</v>
      </c>
      <c r="D310" s="144">
        <f>Table13[[#This Row],[Date]]-DAY(Table13[[#This Row],[Date]])+1</f>
        <v>46023</v>
      </c>
      <c r="E310" s="116">
        <f t="shared" si="17"/>
        <v>31</v>
      </c>
      <c r="F310" s="117" t="str">
        <f>IFERROR(_xlfn.XLOOKUP($A310,'Raw Data'!$G:$G,'Raw Data'!$AH:$AH),"")</f>
        <v/>
      </c>
      <c r="G310" s="118" t="str">
        <f>IFERROR(_xlfn.XLOOKUP($A310,'Raw Data'!$G:$G,'Raw Data'!$S:$S)/1000,"")</f>
        <v/>
      </c>
      <c r="H310" s="118"/>
      <c r="I310" s="118" t="str">
        <f>IFERROR(_xlfn.XLOOKUP($A310,'Raw Data'!$G:$G,'Raw Data'!$AF:$AF)/1000,"")</f>
        <v/>
      </c>
      <c r="J310" s="118"/>
      <c r="K310" s="118" t="str">
        <f>IFERROR(_xlfn.XLOOKUP($A310,'Raw Data'!$G:$G,'Raw Data'!W:W),"")</f>
        <v/>
      </c>
      <c r="L310" s="118" t="str">
        <f>IFERROR(_xlfn.XLOOKUP($A310,'Raw Data'!$G:$G,'Raw Data'!X:X),"")</f>
        <v/>
      </c>
      <c r="M310" s="118" t="str">
        <f>IFERROR(_xlfn.XLOOKUP($A310,'Raw Data'!$G:$G,'Raw Data'!Y:Y),"")</f>
        <v/>
      </c>
      <c r="N310" s="118" t="str">
        <f>IFERROR(_xlfn.XLOOKUP($A310,'Raw Data'!$G:$G,'Raw Data'!Z:Z),"")</f>
        <v/>
      </c>
      <c r="O310" s="145" t="str">
        <f>IFERROR(1-SUMIF('Plant BD'!$B:$B,$A310,'Plant BD'!$AM:$AM)/($AA310+SUMIF('Plant BD'!$B:$B,$A310,'Plant BD'!$AM:$AM)),"")</f>
        <v/>
      </c>
      <c r="P310" s="145"/>
      <c r="Q310" s="146"/>
      <c r="R310" s="145" t="str">
        <f>IFERROR(1-SUMIF('Grid BD'!$B:$B,$A310,'Grid BD'!$AE:$AE)/($AA310+SUMIF('Grid BD'!$B:$B,$A310,'Grid BD'!$AE:$AE)),"")</f>
        <v/>
      </c>
      <c r="T310" s="146" t="str">
        <f>IFERROR(1-SUMIF(Tracker_BD!$H:$H,$A310,Tracker_BD!AI:AI)/$F310,"")</f>
        <v/>
      </c>
      <c r="U310" s="147" t="str">
        <f t="shared" si="18"/>
        <v/>
      </c>
      <c r="V310" s="147"/>
      <c r="W310" s="148" t="str">
        <f t="shared" si="19"/>
        <v/>
      </c>
      <c r="X310" s="143" t="str">
        <f>IFERROR(_xlfn.XLOOKUP($A310,'Raw Data'!$G:$G,'Raw Data'!$AB:$AB),"")</f>
        <v/>
      </c>
      <c r="Y310" s="143" t="str">
        <f>IFERROR(_xlfn.XLOOKUP($A310,'Raw Data'!$G:$G,'Raw Data'!AC:AC),"")</f>
        <v/>
      </c>
      <c r="Z310" s="143" t="str">
        <f>IFERROR(_xlfn.XLOOKUP($A310,'Raw Data'!$G:$G,'Raw Data'!AD:AD),"")</f>
        <v/>
      </c>
      <c r="AA310" s="143" t="str">
        <f>IFERROR(_xlfn.XLOOKUP($A310,'Raw Data'!$G:$G,'Raw Data'!AE:AE)*(1+(_xlfn.XLOOKUP(Table13[[#This Row],[Month Year]],JMR!$A:$A,JMR!$J:$J))),"")</f>
        <v/>
      </c>
      <c r="AB310" s="143" t="str">
        <f>IFERROR(_xlfn.XLOOKUP($A310,'Raw Data'!$G:$G,'Raw Data'!$H:$H),"")</f>
        <v/>
      </c>
      <c r="AC310" s="149">
        <f>IFERROR(_xlfn.XLOOKUP($D310,'Modelling New'!$D:$D,'Modelling New'!$P:$P),"")</f>
        <v>6.0175946709677417</v>
      </c>
      <c r="AD310" s="143">
        <f>IFERROR(_xlfn.XLOOKUP($D310,'Modelling New'!$D:$D,'Modelling New'!$T:$T)*1000,"")</f>
        <v>54155.22627474973</v>
      </c>
      <c r="AE310" s="148">
        <f>IFERROR(_xlfn.XLOOKUP($D310,'Modelling New'!$D:$D,'Modelling New'!$O:$O),"")</f>
        <v>0.76787376813667318</v>
      </c>
      <c r="AF310" s="148">
        <f>IFERROR(_xlfn.XLOOKUP($D310,'Modelling New'!$D:$D,'Modelling New'!$W:$W),"")</f>
        <v>0.19253137896313183</v>
      </c>
      <c r="AG310" s="148">
        <f>IFERROR(_xlfn.XLOOKUP($D310,'Modelling New'!$D:$D,'Modelling New'!AE:AE),"")</f>
        <v>0.995</v>
      </c>
      <c r="AH310" s="148">
        <f>IFERROR(_xlfn.XLOOKUP($D310,'Modelling New'!$D:$D,'Modelling New'!AF:AF),"")</f>
        <v>0.98550000000000004</v>
      </c>
      <c r="AN310" s="145"/>
      <c r="AO310" s="148"/>
      <c r="AP310" s="148"/>
      <c r="AQ310" s="148"/>
      <c r="AR310" s="143">
        <f>IFERROR(_xlfn.XLOOKUP($D310,'Modelling New'!$D:$D,'Modelling New'!$N:$N),"")</f>
        <v>11.72</v>
      </c>
      <c r="AT310" s="143" t="str">
        <f>IFERROR(_xlfn.XLOOKUP(Table13[[#This Row],[Date]],'Raw Data'!$G:$G,'Raw Data'!$AJ:$AJ),"")</f>
        <v/>
      </c>
      <c r="AU310" s="143">
        <f>IFERROR(_xlfn.XLOOKUP(Table13[[#This Row],[Month Year]],'Modelling New'!$D:$D,'Modelling New'!$AO:$AO),"")</f>
        <v>10</v>
      </c>
      <c r="AV310" s="143"/>
    </row>
    <row r="311" spans="1:48">
      <c r="A311" s="142">
        <f t="shared" si="20"/>
        <v>46054</v>
      </c>
      <c r="B311" s="143">
        <f>YEAR(Table13[[#This Row],[Date]])+IF(MONTH(Table13[[#This Row],[Date]])&gt;=4,1,0)</f>
        <v>2026</v>
      </c>
      <c r="C311" s="116">
        <f>YEAR(Table13[[#This Row],[Date]])</f>
        <v>2026</v>
      </c>
      <c r="D311" s="144">
        <f>Table13[[#This Row],[Date]]-DAY(Table13[[#This Row],[Date]])+1</f>
        <v>46054</v>
      </c>
      <c r="E311" s="116">
        <f t="shared" si="17"/>
        <v>28</v>
      </c>
      <c r="F311" s="117" t="str">
        <f>IFERROR(_xlfn.XLOOKUP($A311,'Raw Data'!$G:$G,'Raw Data'!$AH:$AH),"")</f>
        <v/>
      </c>
      <c r="G311" s="118" t="str">
        <f>IFERROR(_xlfn.XLOOKUP($A311,'Raw Data'!$G:$G,'Raw Data'!$S:$S)/1000,"")</f>
        <v/>
      </c>
      <c r="H311" s="118"/>
      <c r="I311" s="118" t="str">
        <f>IFERROR(_xlfn.XLOOKUP($A311,'Raw Data'!$G:$G,'Raw Data'!$AF:$AF)/1000,"")</f>
        <v/>
      </c>
      <c r="J311" s="118"/>
      <c r="K311" s="118" t="str">
        <f>IFERROR(_xlfn.XLOOKUP($A311,'Raw Data'!$G:$G,'Raw Data'!W:W),"")</f>
        <v/>
      </c>
      <c r="L311" s="118" t="str">
        <f>IFERROR(_xlfn.XLOOKUP($A311,'Raw Data'!$G:$G,'Raw Data'!X:X),"")</f>
        <v/>
      </c>
      <c r="M311" s="118" t="str">
        <f>IFERROR(_xlfn.XLOOKUP($A311,'Raw Data'!$G:$G,'Raw Data'!Y:Y),"")</f>
        <v/>
      </c>
      <c r="N311" s="118" t="str">
        <f>IFERROR(_xlfn.XLOOKUP($A311,'Raw Data'!$G:$G,'Raw Data'!Z:Z),"")</f>
        <v/>
      </c>
      <c r="O311" s="145" t="str">
        <f>IFERROR(1-SUMIF('Plant BD'!$B:$B,$A311,'Plant BD'!$AM:$AM)/($AA311+SUMIF('Plant BD'!$B:$B,$A311,'Plant BD'!$AM:$AM)),"")</f>
        <v/>
      </c>
      <c r="P311" s="145"/>
      <c r="Q311" s="146"/>
      <c r="R311" s="145" t="str">
        <f>IFERROR(1-SUMIF('Grid BD'!$B:$B,$A311,'Grid BD'!$AE:$AE)/($AA311+SUMIF('Grid BD'!$B:$B,$A311,'Grid BD'!$AE:$AE)),"")</f>
        <v/>
      </c>
      <c r="T311" s="146" t="str">
        <f>IFERROR(1-SUMIF(Tracker_BD!$H:$H,$A311,Tracker_BD!AI:AI)/$F311,"")</f>
        <v/>
      </c>
      <c r="U311" s="147" t="str">
        <f t="shared" si="18"/>
        <v/>
      </c>
      <c r="V311" s="147"/>
      <c r="W311" s="148" t="str">
        <f t="shared" si="19"/>
        <v/>
      </c>
      <c r="X311" s="143" t="str">
        <f>IFERROR(_xlfn.XLOOKUP($A311,'Raw Data'!$G:$G,'Raw Data'!$AB:$AB),"")</f>
        <v/>
      </c>
      <c r="Y311" s="143" t="str">
        <f>IFERROR(_xlfn.XLOOKUP($A311,'Raw Data'!$G:$G,'Raw Data'!AC:AC),"")</f>
        <v/>
      </c>
      <c r="Z311" s="143" t="str">
        <f>IFERROR(_xlfn.XLOOKUP($A311,'Raw Data'!$G:$G,'Raw Data'!AD:AD),"")</f>
        <v/>
      </c>
      <c r="AA311" s="143" t="str">
        <f>IFERROR(_xlfn.XLOOKUP($A311,'Raw Data'!$G:$G,'Raw Data'!AE:AE)*(1+(_xlfn.XLOOKUP(Table13[[#This Row],[Month Year]],JMR!$A:$A,JMR!$J:$J))),"")</f>
        <v/>
      </c>
      <c r="AB311" s="143" t="str">
        <f>IFERROR(_xlfn.XLOOKUP($A311,'Raw Data'!$G:$G,'Raw Data'!$H:$H),"")</f>
        <v/>
      </c>
      <c r="AC311" s="149">
        <f>IFERROR(_xlfn.XLOOKUP($D311,'Modelling New'!$D:$D,'Modelling New'!$P:$P),"")</f>
        <v>6.9010874285714294</v>
      </c>
      <c r="AD311" s="143">
        <f>IFERROR(_xlfn.XLOOKUP($D311,'Modelling New'!$D:$D,'Modelling New'!$T:$T)*1000,"")</f>
        <v>57320.026734881634</v>
      </c>
      <c r="AE311" s="148">
        <f>IFERROR(_xlfn.XLOOKUP($D311,'Modelling New'!$D:$D,'Modelling New'!$O:$O),"")</f>
        <v>0.70869805877547398</v>
      </c>
      <c r="AF311" s="148">
        <f>IFERROR(_xlfn.XLOOKUP($D311,'Modelling New'!$D:$D,'Modelling New'!$W:$W),"")</f>
        <v>0.20378280266951659</v>
      </c>
      <c r="AG311" s="148">
        <f>IFERROR(_xlfn.XLOOKUP($D311,'Modelling New'!$D:$D,'Modelling New'!AE:AE),"")</f>
        <v>0.995</v>
      </c>
      <c r="AH311" s="148">
        <f>IFERROR(_xlfn.XLOOKUP($D311,'Modelling New'!$D:$D,'Modelling New'!AF:AF),"")</f>
        <v>0.98550000000000004</v>
      </c>
      <c r="AN311" s="145"/>
      <c r="AO311" s="148"/>
      <c r="AP311" s="148"/>
      <c r="AQ311" s="148"/>
      <c r="AR311" s="143">
        <f>IFERROR(_xlfn.XLOOKUP($D311,'Modelling New'!$D:$D,'Modelling New'!$N:$N),"")</f>
        <v>11.72</v>
      </c>
      <c r="AT311" s="143" t="str">
        <f>IFERROR(_xlfn.XLOOKUP(Table13[[#This Row],[Date]],'Raw Data'!$G:$G,'Raw Data'!$AJ:$AJ),"")</f>
        <v/>
      </c>
      <c r="AU311" s="143">
        <f>IFERROR(_xlfn.XLOOKUP(Table13[[#This Row],[Month Year]],'Modelling New'!$D:$D,'Modelling New'!$AO:$AO),"")</f>
        <v>10</v>
      </c>
      <c r="AV311" s="143"/>
    </row>
    <row r="312" spans="1:48">
      <c r="A312" s="142">
        <f t="shared" si="20"/>
        <v>46055</v>
      </c>
      <c r="B312" s="143">
        <f>YEAR(Table13[[#This Row],[Date]])+IF(MONTH(Table13[[#This Row],[Date]])&gt;=4,1,0)</f>
        <v>2026</v>
      </c>
      <c r="C312" s="116">
        <f>YEAR(Table13[[#This Row],[Date]])</f>
        <v>2026</v>
      </c>
      <c r="D312" s="144">
        <f>Table13[[#This Row],[Date]]-DAY(Table13[[#This Row],[Date]])+1</f>
        <v>46054</v>
      </c>
      <c r="E312" s="116">
        <f t="shared" si="17"/>
        <v>28</v>
      </c>
      <c r="F312" s="117" t="str">
        <f>IFERROR(_xlfn.XLOOKUP($A312,'Raw Data'!$G:$G,'Raw Data'!$AH:$AH),"")</f>
        <v/>
      </c>
      <c r="G312" s="118" t="str">
        <f>IFERROR(_xlfn.XLOOKUP($A312,'Raw Data'!$G:$G,'Raw Data'!$S:$S)/1000,"")</f>
        <v/>
      </c>
      <c r="H312" s="118"/>
      <c r="I312" s="118" t="str">
        <f>IFERROR(_xlfn.XLOOKUP($A312,'Raw Data'!$G:$G,'Raw Data'!$AF:$AF)/1000,"")</f>
        <v/>
      </c>
      <c r="J312" s="118"/>
      <c r="K312" s="118" t="str">
        <f>IFERROR(_xlfn.XLOOKUP($A312,'Raw Data'!$G:$G,'Raw Data'!W:W),"")</f>
        <v/>
      </c>
      <c r="L312" s="118" t="str">
        <f>IFERROR(_xlfn.XLOOKUP($A312,'Raw Data'!$G:$G,'Raw Data'!X:X),"")</f>
        <v/>
      </c>
      <c r="M312" s="118" t="str">
        <f>IFERROR(_xlfn.XLOOKUP($A312,'Raw Data'!$G:$G,'Raw Data'!Y:Y),"")</f>
        <v/>
      </c>
      <c r="N312" s="118" t="str">
        <f>IFERROR(_xlfn.XLOOKUP($A312,'Raw Data'!$G:$G,'Raw Data'!Z:Z),"")</f>
        <v/>
      </c>
      <c r="O312" s="145" t="str">
        <f>IFERROR(1-SUMIF('Plant BD'!$B:$B,$A312,'Plant BD'!$AM:$AM)/($AA312+SUMIF('Plant BD'!$B:$B,$A312,'Plant BD'!$AM:$AM)),"")</f>
        <v/>
      </c>
      <c r="P312" s="145"/>
      <c r="Q312" s="146"/>
      <c r="R312" s="145" t="str">
        <f>IFERROR(1-SUMIF('Grid BD'!$B:$B,$A312,'Grid BD'!$AE:$AE)/($AA312+SUMIF('Grid BD'!$B:$B,$A312,'Grid BD'!$AE:$AE)),"")</f>
        <v/>
      </c>
      <c r="T312" s="146" t="str">
        <f>IFERROR(1-SUMIF(Tracker_BD!$H:$H,$A312,Tracker_BD!AI:AI)/$F312,"")</f>
        <v/>
      </c>
      <c r="U312" s="147" t="str">
        <f t="shared" si="18"/>
        <v/>
      </c>
      <c r="V312" s="147"/>
      <c r="W312" s="148" t="str">
        <f t="shared" si="19"/>
        <v/>
      </c>
      <c r="X312" s="143" t="str">
        <f>IFERROR(_xlfn.XLOOKUP($A312,'Raw Data'!$G:$G,'Raw Data'!$AB:$AB),"")</f>
        <v/>
      </c>
      <c r="Y312" s="143" t="str">
        <f>IFERROR(_xlfn.XLOOKUP($A312,'Raw Data'!$G:$G,'Raw Data'!AC:AC),"")</f>
        <v/>
      </c>
      <c r="Z312" s="143" t="str">
        <f>IFERROR(_xlfn.XLOOKUP($A312,'Raw Data'!$G:$G,'Raw Data'!AD:AD),"")</f>
        <v/>
      </c>
      <c r="AA312" s="143" t="str">
        <f>IFERROR(_xlfn.XLOOKUP($A312,'Raw Data'!$G:$G,'Raw Data'!AE:AE)*(1+(_xlfn.XLOOKUP(Table13[[#This Row],[Month Year]],JMR!$A:$A,JMR!$J:$J))),"")</f>
        <v/>
      </c>
      <c r="AB312" s="143" t="str">
        <f>IFERROR(_xlfn.XLOOKUP($A312,'Raw Data'!$G:$G,'Raw Data'!$H:$H),"")</f>
        <v/>
      </c>
      <c r="AC312" s="149">
        <f>IFERROR(_xlfn.XLOOKUP($D312,'Modelling New'!$D:$D,'Modelling New'!$P:$P),"")</f>
        <v>6.9010874285714294</v>
      </c>
      <c r="AD312" s="143">
        <f>IFERROR(_xlfn.XLOOKUP($D312,'Modelling New'!$D:$D,'Modelling New'!$T:$T)*1000,"")</f>
        <v>57320.026734881634</v>
      </c>
      <c r="AE312" s="148">
        <f>IFERROR(_xlfn.XLOOKUP($D312,'Modelling New'!$D:$D,'Modelling New'!$O:$O),"")</f>
        <v>0.70869805877547398</v>
      </c>
      <c r="AF312" s="148">
        <f>IFERROR(_xlfn.XLOOKUP($D312,'Modelling New'!$D:$D,'Modelling New'!$W:$W),"")</f>
        <v>0.20378280266951659</v>
      </c>
      <c r="AG312" s="148">
        <f>IFERROR(_xlfn.XLOOKUP($D312,'Modelling New'!$D:$D,'Modelling New'!AE:AE),"")</f>
        <v>0.995</v>
      </c>
      <c r="AH312" s="148">
        <f>IFERROR(_xlfn.XLOOKUP($D312,'Modelling New'!$D:$D,'Modelling New'!AF:AF),"")</f>
        <v>0.98550000000000004</v>
      </c>
      <c r="AN312" s="145"/>
      <c r="AO312" s="148"/>
      <c r="AP312" s="148"/>
      <c r="AQ312" s="148"/>
      <c r="AR312" s="143">
        <f>IFERROR(_xlfn.XLOOKUP($D312,'Modelling New'!$D:$D,'Modelling New'!$N:$N),"")</f>
        <v>11.72</v>
      </c>
      <c r="AT312" s="143" t="str">
        <f>IFERROR(_xlfn.XLOOKUP(Table13[[#This Row],[Date]],'Raw Data'!$G:$G,'Raw Data'!$AJ:$AJ),"")</f>
        <v/>
      </c>
      <c r="AU312" s="143">
        <f>IFERROR(_xlfn.XLOOKUP(Table13[[#This Row],[Month Year]],'Modelling New'!$D:$D,'Modelling New'!$AO:$AO),"")</f>
        <v>10</v>
      </c>
      <c r="AV312" s="143"/>
    </row>
    <row r="313" spans="1:48">
      <c r="A313" s="142">
        <f t="shared" si="20"/>
        <v>46056</v>
      </c>
      <c r="B313" s="143">
        <f>YEAR(Table13[[#This Row],[Date]])+IF(MONTH(Table13[[#This Row],[Date]])&gt;=4,1,0)</f>
        <v>2026</v>
      </c>
      <c r="C313" s="116">
        <f>YEAR(Table13[[#This Row],[Date]])</f>
        <v>2026</v>
      </c>
      <c r="D313" s="144">
        <f>Table13[[#This Row],[Date]]-DAY(Table13[[#This Row],[Date]])+1</f>
        <v>46054</v>
      </c>
      <c r="E313" s="116">
        <f t="shared" si="17"/>
        <v>28</v>
      </c>
      <c r="F313" s="117" t="str">
        <f>IFERROR(_xlfn.XLOOKUP($A313,'Raw Data'!$G:$G,'Raw Data'!$AH:$AH),"")</f>
        <v/>
      </c>
      <c r="G313" s="118" t="str">
        <f>IFERROR(_xlfn.XLOOKUP($A313,'Raw Data'!$G:$G,'Raw Data'!$S:$S)/1000,"")</f>
        <v/>
      </c>
      <c r="H313" s="118"/>
      <c r="I313" s="118" t="str">
        <f>IFERROR(_xlfn.XLOOKUP($A313,'Raw Data'!$G:$G,'Raw Data'!$AF:$AF)/1000,"")</f>
        <v/>
      </c>
      <c r="J313" s="118"/>
      <c r="K313" s="118" t="str">
        <f>IFERROR(_xlfn.XLOOKUP($A313,'Raw Data'!$G:$G,'Raw Data'!W:W),"")</f>
        <v/>
      </c>
      <c r="L313" s="118" t="str">
        <f>IFERROR(_xlfn.XLOOKUP($A313,'Raw Data'!$G:$G,'Raw Data'!X:X),"")</f>
        <v/>
      </c>
      <c r="M313" s="118" t="str">
        <f>IFERROR(_xlfn.XLOOKUP($A313,'Raw Data'!$G:$G,'Raw Data'!Y:Y),"")</f>
        <v/>
      </c>
      <c r="N313" s="118" t="str">
        <f>IFERROR(_xlfn.XLOOKUP($A313,'Raw Data'!$G:$G,'Raw Data'!Z:Z),"")</f>
        <v/>
      </c>
      <c r="O313" s="145" t="str">
        <f>IFERROR(1-SUMIF('Plant BD'!$B:$B,$A313,'Plant BD'!$AM:$AM)/($AA313+SUMIF('Plant BD'!$B:$B,$A313,'Plant BD'!$AM:$AM)),"")</f>
        <v/>
      </c>
      <c r="P313" s="145"/>
      <c r="Q313" s="146"/>
      <c r="R313" s="145" t="str">
        <f>IFERROR(1-SUMIF('Grid BD'!$B:$B,$A313,'Grid BD'!$AE:$AE)/($AA313+SUMIF('Grid BD'!$B:$B,$A313,'Grid BD'!$AE:$AE)),"")</f>
        <v/>
      </c>
      <c r="T313" s="146" t="str">
        <f>IFERROR(1-SUMIF(Tracker_BD!$H:$H,$A313,Tracker_BD!AI:AI)/$F313,"")</f>
        <v/>
      </c>
      <c r="U313" s="147" t="str">
        <f t="shared" si="18"/>
        <v/>
      </c>
      <c r="V313" s="147"/>
      <c r="W313" s="148" t="str">
        <f t="shared" si="19"/>
        <v/>
      </c>
      <c r="X313" s="143" t="str">
        <f>IFERROR(_xlfn.XLOOKUP($A313,'Raw Data'!$G:$G,'Raw Data'!$AB:$AB),"")</f>
        <v/>
      </c>
      <c r="Y313" s="143" t="str">
        <f>IFERROR(_xlfn.XLOOKUP($A313,'Raw Data'!$G:$G,'Raw Data'!AC:AC),"")</f>
        <v/>
      </c>
      <c r="Z313" s="143" t="str">
        <f>IFERROR(_xlfn.XLOOKUP($A313,'Raw Data'!$G:$G,'Raw Data'!AD:AD),"")</f>
        <v/>
      </c>
      <c r="AA313" s="143" t="str">
        <f>IFERROR(_xlfn.XLOOKUP($A313,'Raw Data'!$G:$G,'Raw Data'!AE:AE)*(1+(_xlfn.XLOOKUP(Table13[[#This Row],[Month Year]],JMR!$A:$A,JMR!$J:$J))),"")</f>
        <v/>
      </c>
      <c r="AB313" s="143" t="str">
        <f>IFERROR(_xlfn.XLOOKUP($A313,'Raw Data'!$G:$G,'Raw Data'!$H:$H),"")</f>
        <v/>
      </c>
      <c r="AC313" s="149">
        <f>IFERROR(_xlfn.XLOOKUP($D313,'Modelling New'!$D:$D,'Modelling New'!$P:$P),"")</f>
        <v>6.9010874285714294</v>
      </c>
      <c r="AD313" s="143">
        <f>IFERROR(_xlfn.XLOOKUP($D313,'Modelling New'!$D:$D,'Modelling New'!$T:$T)*1000,"")</f>
        <v>57320.026734881634</v>
      </c>
      <c r="AE313" s="148">
        <f>IFERROR(_xlfn.XLOOKUP($D313,'Modelling New'!$D:$D,'Modelling New'!$O:$O),"")</f>
        <v>0.70869805877547398</v>
      </c>
      <c r="AF313" s="148">
        <f>IFERROR(_xlfn.XLOOKUP($D313,'Modelling New'!$D:$D,'Modelling New'!$W:$W),"")</f>
        <v>0.20378280266951659</v>
      </c>
      <c r="AG313" s="148">
        <f>IFERROR(_xlfn.XLOOKUP($D313,'Modelling New'!$D:$D,'Modelling New'!AE:AE),"")</f>
        <v>0.995</v>
      </c>
      <c r="AH313" s="148">
        <f>IFERROR(_xlfn.XLOOKUP($D313,'Modelling New'!$D:$D,'Modelling New'!AF:AF),"")</f>
        <v>0.98550000000000004</v>
      </c>
      <c r="AN313" s="145"/>
      <c r="AO313" s="148"/>
      <c r="AP313" s="148"/>
      <c r="AQ313" s="148"/>
      <c r="AR313" s="143">
        <f>IFERROR(_xlfn.XLOOKUP($D313,'Modelling New'!$D:$D,'Modelling New'!$N:$N),"")</f>
        <v>11.72</v>
      </c>
      <c r="AT313" s="143" t="str">
        <f>IFERROR(_xlfn.XLOOKUP(Table13[[#This Row],[Date]],'Raw Data'!$G:$G,'Raw Data'!$AJ:$AJ),"")</f>
        <v/>
      </c>
      <c r="AU313" s="143">
        <f>IFERROR(_xlfn.XLOOKUP(Table13[[#This Row],[Month Year]],'Modelling New'!$D:$D,'Modelling New'!$AO:$AO),"")</f>
        <v>10</v>
      </c>
      <c r="AV313" s="143"/>
    </row>
    <row r="314" spans="1:48">
      <c r="A314" s="142">
        <f t="shared" si="20"/>
        <v>46057</v>
      </c>
      <c r="B314" s="143">
        <f>YEAR(Table13[[#This Row],[Date]])+IF(MONTH(Table13[[#This Row],[Date]])&gt;=4,1,0)</f>
        <v>2026</v>
      </c>
      <c r="C314" s="116">
        <f>YEAR(Table13[[#This Row],[Date]])</f>
        <v>2026</v>
      </c>
      <c r="D314" s="144">
        <f>Table13[[#This Row],[Date]]-DAY(Table13[[#This Row],[Date]])+1</f>
        <v>46054</v>
      </c>
      <c r="E314" s="116">
        <f t="shared" ref="E314:E369" si="21">DAY(EOMONTH(A314,0))</f>
        <v>28</v>
      </c>
      <c r="F314" s="117" t="str">
        <f>IFERROR(_xlfn.XLOOKUP($A314,'Raw Data'!$G:$G,'Raw Data'!$AH:$AH),"")</f>
        <v/>
      </c>
      <c r="G314" s="118" t="str">
        <f>IFERROR(_xlfn.XLOOKUP($A314,'Raw Data'!$G:$G,'Raw Data'!$S:$S)/1000,"")</f>
        <v/>
      </c>
      <c r="H314" s="118"/>
      <c r="I314" s="118" t="str">
        <f>IFERROR(_xlfn.XLOOKUP($A314,'Raw Data'!$G:$G,'Raw Data'!$AF:$AF)/1000,"")</f>
        <v/>
      </c>
      <c r="J314" s="118"/>
      <c r="K314" s="118" t="str">
        <f>IFERROR(_xlfn.XLOOKUP($A314,'Raw Data'!$G:$G,'Raw Data'!W:W),"")</f>
        <v/>
      </c>
      <c r="L314" s="118" t="str">
        <f>IFERROR(_xlfn.XLOOKUP($A314,'Raw Data'!$G:$G,'Raw Data'!X:X),"")</f>
        <v/>
      </c>
      <c r="M314" s="118" t="str">
        <f>IFERROR(_xlfn.XLOOKUP($A314,'Raw Data'!$G:$G,'Raw Data'!Y:Y),"")</f>
        <v/>
      </c>
      <c r="N314" s="118" t="str">
        <f>IFERROR(_xlfn.XLOOKUP($A314,'Raw Data'!$G:$G,'Raw Data'!Z:Z),"")</f>
        <v/>
      </c>
      <c r="O314" s="145" t="str">
        <f>IFERROR(1-SUMIF('Plant BD'!$B:$B,$A314,'Plant BD'!$AM:$AM)/($AA314+SUMIF('Plant BD'!$B:$B,$A314,'Plant BD'!$AM:$AM)),"")</f>
        <v/>
      </c>
      <c r="P314" s="145"/>
      <c r="Q314" s="146"/>
      <c r="R314" s="145" t="str">
        <f>IFERROR(1-SUMIF('Grid BD'!$B:$B,$A314,'Grid BD'!$AE:$AE)/($AA314+SUMIF('Grid BD'!$B:$B,$A314,'Grid BD'!$AE:$AE)),"")</f>
        <v/>
      </c>
      <c r="T314" s="146" t="str">
        <f>IFERROR(1-SUMIF(Tracker_BD!$H:$H,$A314,Tracker_BD!AI:AI)/$F314,"")</f>
        <v/>
      </c>
      <c r="U314" s="147" t="str">
        <f t="shared" si="18"/>
        <v/>
      </c>
      <c r="V314" s="147"/>
      <c r="W314" s="148" t="str">
        <f t="shared" si="19"/>
        <v/>
      </c>
      <c r="X314" s="143" t="str">
        <f>IFERROR(_xlfn.XLOOKUP($A314,'Raw Data'!$G:$G,'Raw Data'!$AB:$AB),"")</f>
        <v/>
      </c>
      <c r="Y314" s="143" t="str">
        <f>IFERROR(_xlfn.XLOOKUP($A314,'Raw Data'!$G:$G,'Raw Data'!AC:AC),"")</f>
        <v/>
      </c>
      <c r="Z314" s="143" t="str">
        <f>IFERROR(_xlfn.XLOOKUP($A314,'Raw Data'!$G:$G,'Raw Data'!AD:AD),"")</f>
        <v/>
      </c>
      <c r="AA314" s="143" t="str">
        <f>IFERROR(_xlfn.XLOOKUP($A314,'Raw Data'!$G:$G,'Raw Data'!AE:AE)*(1+(_xlfn.XLOOKUP(Table13[[#This Row],[Month Year]],JMR!$A:$A,JMR!$J:$J))),"")</f>
        <v/>
      </c>
      <c r="AB314" s="143" t="str">
        <f>IFERROR(_xlfn.XLOOKUP($A314,'Raw Data'!$G:$G,'Raw Data'!$H:$H),"")</f>
        <v/>
      </c>
      <c r="AC314" s="149">
        <f>IFERROR(_xlfn.XLOOKUP($D314,'Modelling New'!$D:$D,'Modelling New'!$P:$P),"")</f>
        <v>6.9010874285714294</v>
      </c>
      <c r="AD314" s="143">
        <f>IFERROR(_xlfn.XLOOKUP($D314,'Modelling New'!$D:$D,'Modelling New'!$T:$T)*1000,"")</f>
        <v>57320.026734881634</v>
      </c>
      <c r="AE314" s="148">
        <f>IFERROR(_xlfn.XLOOKUP($D314,'Modelling New'!$D:$D,'Modelling New'!$O:$O),"")</f>
        <v>0.70869805877547398</v>
      </c>
      <c r="AF314" s="148">
        <f>IFERROR(_xlfn.XLOOKUP($D314,'Modelling New'!$D:$D,'Modelling New'!$W:$W),"")</f>
        <v>0.20378280266951659</v>
      </c>
      <c r="AG314" s="148">
        <f>IFERROR(_xlfn.XLOOKUP($D314,'Modelling New'!$D:$D,'Modelling New'!AE:AE),"")</f>
        <v>0.995</v>
      </c>
      <c r="AH314" s="148">
        <f>IFERROR(_xlfn.XLOOKUP($D314,'Modelling New'!$D:$D,'Modelling New'!AF:AF),"")</f>
        <v>0.98550000000000004</v>
      </c>
      <c r="AN314" s="145"/>
      <c r="AO314" s="148"/>
      <c r="AP314" s="148"/>
      <c r="AQ314" s="148"/>
      <c r="AR314" s="143">
        <f>IFERROR(_xlfn.XLOOKUP($D314,'Modelling New'!$D:$D,'Modelling New'!$N:$N),"")</f>
        <v>11.72</v>
      </c>
      <c r="AT314" s="143" t="str">
        <f>IFERROR(_xlfn.XLOOKUP(Table13[[#This Row],[Date]],'Raw Data'!$G:$G,'Raw Data'!$AJ:$AJ),"")</f>
        <v/>
      </c>
      <c r="AU314" s="143">
        <f>IFERROR(_xlfn.XLOOKUP(Table13[[#This Row],[Month Year]],'Modelling New'!$D:$D,'Modelling New'!$AO:$AO),"")</f>
        <v>10</v>
      </c>
      <c r="AV314" s="143"/>
    </row>
    <row r="315" spans="1:48">
      <c r="A315" s="142">
        <f t="shared" si="20"/>
        <v>46058</v>
      </c>
      <c r="B315" s="143">
        <f>YEAR(Table13[[#This Row],[Date]])+IF(MONTH(Table13[[#This Row],[Date]])&gt;=4,1,0)</f>
        <v>2026</v>
      </c>
      <c r="C315" s="116">
        <f>YEAR(Table13[[#This Row],[Date]])</f>
        <v>2026</v>
      </c>
      <c r="D315" s="144">
        <f>Table13[[#This Row],[Date]]-DAY(Table13[[#This Row],[Date]])+1</f>
        <v>46054</v>
      </c>
      <c r="E315" s="116">
        <f t="shared" si="21"/>
        <v>28</v>
      </c>
      <c r="F315" s="117" t="str">
        <f>IFERROR(_xlfn.XLOOKUP($A315,'Raw Data'!$G:$G,'Raw Data'!$AH:$AH),"")</f>
        <v/>
      </c>
      <c r="G315" s="118" t="str">
        <f>IFERROR(_xlfn.XLOOKUP($A315,'Raw Data'!$G:$G,'Raw Data'!$S:$S)/1000,"")</f>
        <v/>
      </c>
      <c r="H315" s="118"/>
      <c r="I315" s="118" t="str">
        <f>IFERROR(_xlfn.XLOOKUP($A315,'Raw Data'!$G:$G,'Raw Data'!$AF:$AF)/1000,"")</f>
        <v/>
      </c>
      <c r="J315" s="118"/>
      <c r="K315" s="118" t="str">
        <f>IFERROR(_xlfn.XLOOKUP($A315,'Raw Data'!$G:$G,'Raw Data'!W:W),"")</f>
        <v/>
      </c>
      <c r="L315" s="118" t="str">
        <f>IFERROR(_xlfn.XLOOKUP($A315,'Raw Data'!$G:$G,'Raw Data'!X:X),"")</f>
        <v/>
      </c>
      <c r="M315" s="118" t="str">
        <f>IFERROR(_xlfn.XLOOKUP($A315,'Raw Data'!$G:$G,'Raw Data'!Y:Y),"")</f>
        <v/>
      </c>
      <c r="N315" s="118" t="str">
        <f>IFERROR(_xlfn.XLOOKUP($A315,'Raw Data'!$G:$G,'Raw Data'!Z:Z),"")</f>
        <v/>
      </c>
      <c r="O315" s="145" t="str">
        <f>IFERROR(1-SUMIF('Plant BD'!$B:$B,$A315,'Plant BD'!$AM:$AM)/($AA315+SUMIF('Plant BD'!$B:$B,$A315,'Plant BD'!$AM:$AM)),"")</f>
        <v/>
      </c>
      <c r="P315" s="145"/>
      <c r="Q315" s="146"/>
      <c r="R315" s="145" t="str">
        <f>IFERROR(1-SUMIF('Grid BD'!$B:$B,$A315,'Grid BD'!$AE:$AE)/($AA315+SUMIF('Grid BD'!$B:$B,$A315,'Grid BD'!$AE:$AE)),"")</f>
        <v/>
      </c>
      <c r="T315" s="146" t="str">
        <f>IFERROR(1-SUMIF(Tracker_BD!$H:$H,$A315,Tracker_BD!AI:AI)/$F315,"")</f>
        <v/>
      </c>
      <c r="U315" s="147" t="str">
        <f t="shared" si="18"/>
        <v/>
      </c>
      <c r="V315" s="147"/>
      <c r="W315" s="148" t="str">
        <f t="shared" si="19"/>
        <v/>
      </c>
      <c r="X315" s="143" t="str">
        <f>IFERROR(_xlfn.XLOOKUP($A315,'Raw Data'!$G:$G,'Raw Data'!$AB:$AB),"")</f>
        <v/>
      </c>
      <c r="Y315" s="143" t="str">
        <f>IFERROR(_xlfn.XLOOKUP($A315,'Raw Data'!$G:$G,'Raw Data'!AC:AC),"")</f>
        <v/>
      </c>
      <c r="Z315" s="143" t="str">
        <f>IFERROR(_xlfn.XLOOKUP($A315,'Raw Data'!$G:$G,'Raw Data'!AD:AD),"")</f>
        <v/>
      </c>
      <c r="AA315" s="143" t="str">
        <f>IFERROR(_xlfn.XLOOKUP($A315,'Raw Data'!$G:$G,'Raw Data'!AE:AE)*(1+(_xlfn.XLOOKUP(Table13[[#This Row],[Month Year]],JMR!$A:$A,JMR!$J:$J))),"")</f>
        <v/>
      </c>
      <c r="AB315" s="143" t="str">
        <f>IFERROR(_xlfn.XLOOKUP($A315,'Raw Data'!$G:$G,'Raw Data'!$H:$H),"")</f>
        <v/>
      </c>
      <c r="AC315" s="149">
        <f>IFERROR(_xlfn.XLOOKUP($D315,'Modelling New'!$D:$D,'Modelling New'!$P:$P),"")</f>
        <v>6.9010874285714294</v>
      </c>
      <c r="AD315" s="143">
        <f>IFERROR(_xlfn.XLOOKUP($D315,'Modelling New'!$D:$D,'Modelling New'!$T:$T)*1000,"")</f>
        <v>57320.026734881634</v>
      </c>
      <c r="AE315" s="148">
        <f>IFERROR(_xlfn.XLOOKUP($D315,'Modelling New'!$D:$D,'Modelling New'!$O:$O),"")</f>
        <v>0.70869805877547398</v>
      </c>
      <c r="AF315" s="148">
        <f>IFERROR(_xlfn.XLOOKUP($D315,'Modelling New'!$D:$D,'Modelling New'!$W:$W),"")</f>
        <v>0.20378280266951659</v>
      </c>
      <c r="AG315" s="148">
        <f>IFERROR(_xlfn.XLOOKUP($D315,'Modelling New'!$D:$D,'Modelling New'!AE:AE),"")</f>
        <v>0.995</v>
      </c>
      <c r="AH315" s="148">
        <f>IFERROR(_xlfn.XLOOKUP($D315,'Modelling New'!$D:$D,'Modelling New'!AF:AF),"")</f>
        <v>0.98550000000000004</v>
      </c>
      <c r="AN315" s="145"/>
      <c r="AO315" s="148"/>
      <c r="AP315" s="148"/>
      <c r="AQ315" s="148"/>
      <c r="AR315" s="143">
        <f>IFERROR(_xlfn.XLOOKUP($D315,'Modelling New'!$D:$D,'Modelling New'!$N:$N),"")</f>
        <v>11.72</v>
      </c>
      <c r="AT315" s="143" t="str">
        <f>IFERROR(_xlfn.XLOOKUP(Table13[[#This Row],[Date]],'Raw Data'!$G:$G,'Raw Data'!$AJ:$AJ),"")</f>
        <v/>
      </c>
      <c r="AU315" s="143">
        <f>IFERROR(_xlfn.XLOOKUP(Table13[[#This Row],[Month Year]],'Modelling New'!$D:$D,'Modelling New'!$AO:$AO),"")</f>
        <v>10</v>
      </c>
      <c r="AV315" s="143"/>
    </row>
    <row r="316" spans="1:48">
      <c r="A316" s="142">
        <f t="shared" si="20"/>
        <v>46059</v>
      </c>
      <c r="B316" s="143">
        <f>YEAR(Table13[[#This Row],[Date]])+IF(MONTH(Table13[[#This Row],[Date]])&gt;=4,1,0)</f>
        <v>2026</v>
      </c>
      <c r="C316" s="116">
        <f>YEAR(Table13[[#This Row],[Date]])</f>
        <v>2026</v>
      </c>
      <c r="D316" s="144">
        <f>Table13[[#This Row],[Date]]-DAY(Table13[[#This Row],[Date]])+1</f>
        <v>46054</v>
      </c>
      <c r="E316" s="116">
        <f t="shared" si="21"/>
        <v>28</v>
      </c>
      <c r="F316" s="117" t="str">
        <f>IFERROR(_xlfn.XLOOKUP($A316,'Raw Data'!$G:$G,'Raw Data'!$AH:$AH),"")</f>
        <v/>
      </c>
      <c r="G316" s="118" t="str">
        <f>IFERROR(_xlfn.XLOOKUP($A316,'Raw Data'!$G:$G,'Raw Data'!$S:$S)/1000,"")</f>
        <v/>
      </c>
      <c r="H316" s="118"/>
      <c r="I316" s="118" t="str">
        <f>IFERROR(_xlfn.XLOOKUP($A316,'Raw Data'!$G:$G,'Raw Data'!$AF:$AF)/1000,"")</f>
        <v/>
      </c>
      <c r="J316" s="118"/>
      <c r="K316" s="118" t="str">
        <f>IFERROR(_xlfn.XLOOKUP($A316,'Raw Data'!$G:$G,'Raw Data'!W:W),"")</f>
        <v/>
      </c>
      <c r="L316" s="118" t="str">
        <f>IFERROR(_xlfn.XLOOKUP($A316,'Raw Data'!$G:$G,'Raw Data'!X:X),"")</f>
        <v/>
      </c>
      <c r="M316" s="118" t="str">
        <f>IFERROR(_xlfn.XLOOKUP($A316,'Raw Data'!$G:$G,'Raw Data'!Y:Y),"")</f>
        <v/>
      </c>
      <c r="N316" s="118" t="str">
        <f>IFERROR(_xlfn.XLOOKUP($A316,'Raw Data'!$G:$G,'Raw Data'!Z:Z),"")</f>
        <v/>
      </c>
      <c r="O316" s="145" t="str">
        <f>IFERROR(1-SUMIF('Plant BD'!$B:$B,$A316,'Plant BD'!$AM:$AM)/($AA316+SUMIF('Plant BD'!$B:$B,$A316,'Plant BD'!$AM:$AM)),"")</f>
        <v/>
      </c>
      <c r="P316" s="145"/>
      <c r="Q316" s="146"/>
      <c r="R316" s="145" t="str">
        <f>IFERROR(1-SUMIF('Grid BD'!$B:$B,$A316,'Grid BD'!$AE:$AE)/($AA316+SUMIF('Grid BD'!$B:$B,$A316,'Grid BD'!$AE:$AE)),"")</f>
        <v/>
      </c>
      <c r="T316" s="146" t="str">
        <f>IFERROR(1-SUMIF(Tracker_BD!$H:$H,$A316,Tracker_BD!AI:AI)/$F316,"")</f>
        <v/>
      </c>
      <c r="U316" s="147" t="str">
        <f t="shared" si="18"/>
        <v/>
      </c>
      <c r="V316" s="147"/>
      <c r="W316" s="148" t="str">
        <f t="shared" si="19"/>
        <v/>
      </c>
      <c r="X316" s="143" t="str">
        <f>IFERROR(_xlfn.XLOOKUP($A316,'Raw Data'!$G:$G,'Raw Data'!$AB:$AB),"")</f>
        <v/>
      </c>
      <c r="Y316" s="143" t="str">
        <f>IFERROR(_xlfn.XLOOKUP($A316,'Raw Data'!$G:$G,'Raw Data'!AC:AC),"")</f>
        <v/>
      </c>
      <c r="Z316" s="143" t="str">
        <f>IFERROR(_xlfn.XLOOKUP($A316,'Raw Data'!$G:$G,'Raw Data'!AD:AD),"")</f>
        <v/>
      </c>
      <c r="AA316" s="143" t="str">
        <f>IFERROR(_xlfn.XLOOKUP($A316,'Raw Data'!$G:$G,'Raw Data'!AE:AE)*(1+(_xlfn.XLOOKUP(Table13[[#This Row],[Month Year]],JMR!$A:$A,JMR!$J:$J))),"")</f>
        <v/>
      </c>
      <c r="AB316" s="143" t="str">
        <f>IFERROR(_xlfn.XLOOKUP($A316,'Raw Data'!$G:$G,'Raw Data'!$H:$H),"")</f>
        <v/>
      </c>
      <c r="AC316" s="149">
        <f>IFERROR(_xlfn.XLOOKUP($D316,'Modelling New'!$D:$D,'Modelling New'!$P:$P),"")</f>
        <v>6.9010874285714294</v>
      </c>
      <c r="AD316" s="143">
        <f>IFERROR(_xlfn.XLOOKUP($D316,'Modelling New'!$D:$D,'Modelling New'!$T:$T)*1000,"")</f>
        <v>57320.026734881634</v>
      </c>
      <c r="AE316" s="148">
        <f>IFERROR(_xlfn.XLOOKUP($D316,'Modelling New'!$D:$D,'Modelling New'!$O:$O),"")</f>
        <v>0.70869805877547398</v>
      </c>
      <c r="AF316" s="148">
        <f>IFERROR(_xlfn.XLOOKUP($D316,'Modelling New'!$D:$D,'Modelling New'!$W:$W),"")</f>
        <v>0.20378280266951659</v>
      </c>
      <c r="AG316" s="148">
        <f>IFERROR(_xlfn.XLOOKUP($D316,'Modelling New'!$D:$D,'Modelling New'!AE:AE),"")</f>
        <v>0.995</v>
      </c>
      <c r="AH316" s="148">
        <f>IFERROR(_xlfn.XLOOKUP($D316,'Modelling New'!$D:$D,'Modelling New'!AF:AF),"")</f>
        <v>0.98550000000000004</v>
      </c>
      <c r="AN316" s="145"/>
      <c r="AO316" s="148"/>
      <c r="AP316" s="148"/>
      <c r="AQ316" s="148"/>
      <c r="AR316" s="143">
        <f>IFERROR(_xlfn.XLOOKUP($D316,'Modelling New'!$D:$D,'Modelling New'!$N:$N),"")</f>
        <v>11.72</v>
      </c>
      <c r="AT316" s="143" t="str">
        <f>IFERROR(_xlfn.XLOOKUP(Table13[[#This Row],[Date]],'Raw Data'!$G:$G,'Raw Data'!$AJ:$AJ),"")</f>
        <v/>
      </c>
      <c r="AU316" s="143">
        <f>IFERROR(_xlfn.XLOOKUP(Table13[[#This Row],[Month Year]],'Modelling New'!$D:$D,'Modelling New'!$AO:$AO),"")</f>
        <v>10</v>
      </c>
      <c r="AV316" s="143"/>
    </row>
    <row r="317" spans="1:48">
      <c r="A317" s="142">
        <f t="shared" si="20"/>
        <v>46060</v>
      </c>
      <c r="B317" s="143">
        <f>YEAR(Table13[[#This Row],[Date]])+IF(MONTH(Table13[[#This Row],[Date]])&gt;=4,1,0)</f>
        <v>2026</v>
      </c>
      <c r="C317" s="116">
        <f>YEAR(Table13[[#This Row],[Date]])</f>
        <v>2026</v>
      </c>
      <c r="D317" s="144">
        <f>Table13[[#This Row],[Date]]-DAY(Table13[[#This Row],[Date]])+1</f>
        <v>46054</v>
      </c>
      <c r="E317" s="116">
        <f t="shared" si="21"/>
        <v>28</v>
      </c>
      <c r="F317" s="117" t="str">
        <f>IFERROR(_xlfn.XLOOKUP($A317,'Raw Data'!$G:$G,'Raw Data'!$AH:$AH),"")</f>
        <v/>
      </c>
      <c r="G317" s="118" t="str">
        <f>IFERROR(_xlfn.XLOOKUP($A317,'Raw Data'!$G:$G,'Raw Data'!$S:$S)/1000,"")</f>
        <v/>
      </c>
      <c r="H317" s="118"/>
      <c r="I317" s="118" t="str">
        <f>IFERROR(_xlfn.XLOOKUP($A317,'Raw Data'!$G:$G,'Raw Data'!$AF:$AF)/1000,"")</f>
        <v/>
      </c>
      <c r="J317" s="118"/>
      <c r="K317" s="118" t="str">
        <f>IFERROR(_xlfn.XLOOKUP($A317,'Raw Data'!$G:$G,'Raw Data'!W:W),"")</f>
        <v/>
      </c>
      <c r="L317" s="118" t="str">
        <f>IFERROR(_xlfn.XLOOKUP($A317,'Raw Data'!$G:$G,'Raw Data'!X:X),"")</f>
        <v/>
      </c>
      <c r="M317" s="118" t="str">
        <f>IFERROR(_xlfn.XLOOKUP($A317,'Raw Data'!$G:$G,'Raw Data'!Y:Y),"")</f>
        <v/>
      </c>
      <c r="N317" s="118" t="str">
        <f>IFERROR(_xlfn.XLOOKUP($A317,'Raw Data'!$G:$G,'Raw Data'!Z:Z),"")</f>
        <v/>
      </c>
      <c r="O317" s="145" t="str">
        <f>IFERROR(1-SUMIF('Plant BD'!$B:$B,$A317,'Plant BD'!$AM:$AM)/($AA317+SUMIF('Plant BD'!$B:$B,$A317,'Plant BD'!$AM:$AM)),"")</f>
        <v/>
      </c>
      <c r="P317" s="145"/>
      <c r="Q317" s="146"/>
      <c r="R317" s="145" t="str">
        <f>IFERROR(1-SUMIF('Grid BD'!$B:$B,$A317,'Grid BD'!$AE:$AE)/($AA317+SUMIF('Grid BD'!$B:$B,$A317,'Grid BD'!$AE:$AE)),"")</f>
        <v/>
      </c>
      <c r="T317" s="146" t="str">
        <f>IFERROR(1-SUMIF(Tracker_BD!$H:$H,$A317,Tracker_BD!AI:AI)/$F317,"")</f>
        <v/>
      </c>
      <c r="U317" s="147" t="str">
        <f t="shared" ref="U317:U369" si="22">IFERROR(AA317/I317/AB317/1000,"")</f>
        <v/>
      </c>
      <c r="V317" s="147"/>
      <c r="W317" s="148" t="str">
        <f t="shared" ref="W317:W369" si="23">IFERROR(AA317/(24*AR317*1000),"")</f>
        <v/>
      </c>
      <c r="X317" s="143" t="str">
        <f>IFERROR(_xlfn.XLOOKUP($A317,'Raw Data'!$G:$G,'Raw Data'!$AB:$AB),"")</f>
        <v/>
      </c>
      <c r="Y317" s="143" t="str">
        <f>IFERROR(_xlfn.XLOOKUP($A317,'Raw Data'!$G:$G,'Raw Data'!AC:AC),"")</f>
        <v/>
      </c>
      <c r="Z317" s="143" t="str">
        <f>IFERROR(_xlfn.XLOOKUP($A317,'Raw Data'!$G:$G,'Raw Data'!AD:AD),"")</f>
        <v/>
      </c>
      <c r="AA317" s="143" t="str">
        <f>IFERROR(_xlfn.XLOOKUP($A317,'Raw Data'!$G:$G,'Raw Data'!AE:AE)*(1+(_xlfn.XLOOKUP(Table13[[#This Row],[Month Year]],JMR!$A:$A,JMR!$J:$J))),"")</f>
        <v/>
      </c>
      <c r="AB317" s="143" t="str">
        <f>IFERROR(_xlfn.XLOOKUP($A317,'Raw Data'!$G:$G,'Raw Data'!$H:$H),"")</f>
        <v/>
      </c>
      <c r="AC317" s="149">
        <f>IFERROR(_xlfn.XLOOKUP($D317,'Modelling New'!$D:$D,'Modelling New'!$P:$P),"")</f>
        <v>6.9010874285714294</v>
      </c>
      <c r="AD317" s="143">
        <f>IFERROR(_xlfn.XLOOKUP($D317,'Modelling New'!$D:$D,'Modelling New'!$T:$T)*1000,"")</f>
        <v>57320.026734881634</v>
      </c>
      <c r="AE317" s="148">
        <f>IFERROR(_xlfn.XLOOKUP($D317,'Modelling New'!$D:$D,'Modelling New'!$O:$O),"")</f>
        <v>0.70869805877547398</v>
      </c>
      <c r="AF317" s="148">
        <f>IFERROR(_xlfn.XLOOKUP($D317,'Modelling New'!$D:$D,'Modelling New'!$W:$W),"")</f>
        <v>0.20378280266951659</v>
      </c>
      <c r="AG317" s="148">
        <f>IFERROR(_xlfn.XLOOKUP($D317,'Modelling New'!$D:$D,'Modelling New'!AE:AE),"")</f>
        <v>0.995</v>
      </c>
      <c r="AH317" s="148">
        <f>IFERROR(_xlfn.XLOOKUP($D317,'Modelling New'!$D:$D,'Modelling New'!AF:AF),"")</f>
        <v>0.98550000000000004</v>
      </c>
      <c r="AN317" s="145"/>
      <c r="AO317" s="148"/>
      <c r="AP317" s="148"/>
      <c r="AQ317" s="148"/>
      <c r="AR317" s="143">
        <f>IFERROR(_xlfn.XLOOKUP($D317,'Modelling New'!$D:$D,'Modelling New'!$N:$N),"")</f>
        <v>11.72</v>
      </c>
      <c r="AT317" s="143" t="str">
        <f>IFERROR(_xlfn.XLOOKUP(Table13[[#This Row],[Date]],'Raw Data'!$G:$G,'Raw Data'!$AJ:$AJ),"")</f>
        <v/>
      </c>
      <c r="AU317" s="143">
        <f>IFERROR(_xlfn.XLOOKUP(Table13[[#This Row],[Month Year]],'Modelling New'!$D:$D,'Modelling New'!$AO:$AO),"")</f>
        <v>10</v>
      </c>
      <c r="AV317" s="143"/>
    </row>
    <row r="318" spans="1:48">
      <c r="A318" s="142">
        <f t="shared" si="20"/>
        <v>46061</v>
      </c>
      <c r="B318" s="143">
        <f>YEAR(Table13[[#This Row],[Date]])+IF(MONTH(Table13[[#This Row],[Date]])&gt;=4,1,0)</f>
        <v>2026</v>
      </c>
      <c r="C318" s="116">
        <f>YEAR(Table13[[#This Row],[Date]])</f>
        <v>2026</v>
      </c>
      <c r="D318" s="144">
        <f>Table13[[#This Row],[Date]]-DAY(Table13[[#This Row],[Date]])+1</f>
        <v>46054</v>
      </c>
      <c r="E318" s="116">
        <f t="shared" si="21"/>
        <v>28</v>
      </c>
      <c r="F318" s="117" t="str">
        <f>IFERROR(_xlfn.XLOOKUP($A318,'Raw Data'!$G:$G,'Raw Data'!$AH:$AH),"")</f>
        <v/>
      </c>
      <c r="G318" s="118" t="str">
        <f>IFERROR(_xlfn.XLOOKUP($A318,'Raw Data'!$G:$G,'Raw Data'!$S:$S)/1000,"")</f>
        <v/>
      </c>
      <c r="H318" s="118"/>
      <c r="I318" s="118" t="str">
        <f>IFERROR(_xlfn.XLOOKUP($A318,'Raw Data'!$G:$G,'Raw Data'!$AF:$AF)/1000,"")</f>
        <v/>
      </c>
      <c r="J318" s="118"/>
      <c r="K318" s="118" t="str">
        <f>IFERROR(_xlfn.XLOOKUP($A318,'Raw Data'!$G:$G,'Raw Data'!W:W),"")</f>
        <v/>
      </c>
      <c r="L318" s="118" t="str">
        <f>IFERROR(_xlfn.XLOOKUP($A318,'Raw Data'!$G:$G,'Raw Data'!X:X),"")</f>
        <v/>
      </c>
      <c r="M318" s="118" t="str">
        <f>IFERROR(_xlfn.XLOOKUP($A318,'Raw Data'!$G:$G,'Raw Data'!Y:Y),"")</f>
        <v/>
      </c>
      <c r="N318" s="118" t="str">
        <f>IFERROR(_xlfn.XLOOKUP($A318,'Raw Data'!$G:$G,'Raw Data'!Z:Z),"")</f>
        <v/>
      </c>
      <c r="O318" s="145" t="str">
        <f>IFERROR(1-SUMIF('Plant BD'!$B:$B,$A318,'Plant BD'!$AM:$AM)/($AA318+SUMIF('Plant BD'!$B:$B,$A318,'Plant BD'!$AM:$AM)),"")</f>
        <v/>
      </c>
      <c r="P318" s="145"/>
      <c r="Q318" s="146"/>
      <c r="R318" s="145" t="str">
        <f>IFERROR(1-SUMIF('Grid BD'!$B:$B,$A318,'Grid BD'!$AE:$AE)/($AA318+SUMIF('Grid BD'!$B:$B,$A318,'Grid BD'!$AE:$AE)),"")</f>
        <v/>
      </c>
      <c r="T318" s="146" t="str">
        <f>IFERROR(1-SUMIF(Tracker_BD!$H:$H,$A318,Tracker_BD!AI:AI)/$F318,"")</f>
        <v/>
      </c>
      <c r="U318" s="147" t="str">
        <f t="shared" si="22"/>
        <v/>
      </c>
      <c r="V318" s="147"/>
      <c r="W318" s="148" t="str">
        <f t="shared" si="23"/>
        <v/>
      </c>
      <c r="X318" s="143" t="str">
        <f>IFERROR(_xlfn.XLOOKUP($A318,'Raw Data'!$G:$G,'Raw Data'!$AB:$AB),"")</f>
        <v/>
      </c>
      <c r="Y318" s="143" t="str">
        <f>IFERROR(_xlfn.XLOOKUP($A318,'Raw Data'!$G:$G,'Raw Data'!AC:AC),"")</f>
        <v/>
      </c>
      <c r="Z318" s="143" t="str">
        <f>IFERROR(_xlfn.XLOOKUP($A318,'Raw Data'!$G:$G,'Raw Data'!AD:AD),"")</f>
        <v/>
      </c>
      <c r="AA318" s="143" t="str">
        <f>IFERROR(_xlfn.XLOOKUP($A318,'Raw Data'!$G:$G,'Raw Data'!AE:AE)*(1+(_xlfn.XLOOKUP(Table13[[#This Row],[Month Year]],JMR!$A:$A,JMR!$J:$J))),"")</f>
        <v/>
      </c>
      <c r="AB318" s="143" t="str">
        <f>IFERROR(_xlfn.XLOOKUP($A318,'Raw Data'!$G:$G,'Raw Data'!$H:$H),"")</f>
        <v/>
      </c>
      <c r="AC318" s="149">
        <f>IFERROR(_xlfn.XLOOKUP($D318,'Modelling New'!$D:$D,'Modelling New'!$P:$P),"")</f>
        <v>6.9010874285714294</v>
      </c>
      <c r="AD318" s="143">
        <f>IFERROR(_xlfn.XLOOKUP($D318,'Modelling New'!$D:$D,'Modelling New'!$T:$T)*1000,"")</f>
        <v>57320.026734881634</v>
      </c>
      <c r="AE318" s="148">
        <f>IFERROR(_xlfn.XLOOKUP($D318,'Modelling New'!$D:$D,'Modelling New'!$O:$O),"")</f>
        <v>0.70869805877547398</v>
      </c>
      <c r="AF318" s="148">
        <f>IFERROR(_xlfn.XLOOKUP($D318,'Modelling New'!$D:$D,'Modelling New'!$W:$W),"")</f>
        <v>0.20378280266951659</v>
      </c>
      <c r="AG318" s="148">
        <f>IFERROR(_xlfn.XLOOKUP($D318,'Modelling New'!$D:$D,'Modelling New'!AE:AE),"")</f>
        <v>0.995</v>
      </c>
      <c r="AH318" s="148">
        <f>IFERROR(_xlfn.XLOOKUP($D318,'Modelling New'!$D:$D,'Modelling New'!AF:AF),"")</f>
        <v>0.98550000000000004</v>
      </c>
      <c r="AN318" s="145"/>
      <c r="AO318" s="148"/>
      <c r="AP318" s="148"/>
      <c r="AQ318" s="148"/>
      <c r="AR318" s="143">
        <f>IFERROR(_xlfn.XLOOKUP($D318,'Modelling New'!$D:$D,'Modelling New'!$N:$N),"")</f>
        <v>11.72</v>
      </c>
      <c r="AT318" s="143" t="str">
        <f>IFERROR(_xlfn.XLOOKUP(Table13[[#This Row],[Date]],'Raw Data'!$G:$G,'Raw Data'!$AJ:$AJ),"")</f>
        <v/>
      </c>
      <c r="AU318" s="143">
        <f>IFERROR(_xlfn.XLOOKUP(Table13[[#This Row],[Month Year]],'Modelling New'!$D:$D,'Modelling New'!$AO:$AO),"")</f>
        <v>10</v>
      </c>
      <c r="AV318" s="143"/>
    </row>
    <row r="319" spans="1:48">
      <c r="A319" s="142">
        <f t="shared" ref="A319:A369" si="24">A318+1</f>
        <v>46062</v>
      </c>
      <c r="B319" s="143">
        <f>YEAR(Table13[[#This Row],[Date]])+IF(MONTH(Table13[[#This Row],[Date]])&gt;=4,1,0)</f>
        <v>2026</v>
      </c>
      <c r="C319" s="116">
        <f>YEAR(Table13[[#This Row],[Date]])</f>
        <v>2026</v>
      </c>
      <c r="D319" s="144">
        <f>Table13[[#This Row],[Date]]-DAY(Table13[[#This Row],[Date]])+1</f>
        <v>46054</v>
      </c>
      <c r="E319" s="116">
        <f t="shared" si="21"/>
        <v>28</v>
      </c>
      <c r="F319" s="117" t="str">
        <f>IFERROR(_xlfn.XLOOKUP($A319,'Raw Data'!$G:$G,'Raw Data'!$AH:$AH),"")</f>
        <v/>
      </c>
      <c r="G319" s="118" t="str">
        <f>IFERROR(_xlfn.XLOOKUP($A319,'Raw Data'!$G:$G,'Raw Data'!$S:$S)/1000,"")</f>
        <v/>
      </c>
      <c r="H319" s="118"/>
      <c r="I319" s="118" t="str">
        <f>IFERROR(_xlfn.XLOOKUP($A319,'Raw Data'!$G:$G,'Raw Data'!$AF:$AF)/1000,"")</f>
        <v/>
      </c>
      <c r="J319" s="118"/>
      <c r="K319" s="118" t="str">
        <f>IFERROR(_xlfn.XLOOKUP($A319,'Raw Data'!$G:$G,'Raw Data'!W:W),"")</f>
        <v/>
      </c>
      <c r="L319" s="118" t="str">
        <f>IFERROR(_xlfn.XLOOKUP($A319,'Raw Data'!$G:$G,'Raw Data'!X:X),"")</f>
        <v/>
      </c>
      <c r="M319" s="118" t="str">
        <f>IFERROR(_xlfn.XLOOKUP($A319,'Raw Data'!$G:$G,'Raw Data'!Y:Y),"")</f>
        <v/>
      </c>
      <c r="N319" s="118" t="str">
        <f>IFERROR(_xlfn.XLOOKUP($A319,'Raw Data'!$G:$G,'Raw Data'!Z:Z),"")</f>
        <v/>
      </c>
      <c r="O319" s="145" t="str">
        <f>IFERROR(1-SUMIF('Plant BD'!$B:$B,$A319,'Plant BD'!$AM:$AM)/($AA319+SUMIF('Plant BD'!$B:$B,$A319,'Plant BD'!$AM:$AM)),"")</f>
        <v/>
      </c>
      <c r="P319" s="145"/>
      <c r="Q319" s="146"/>
      <c r="R319" s="145" t="str">
        <f>IFERROR(1-SUMIF('Grid BD'!$B:$B,$A319,'Grid BD'!$AE:$AE)/($AA319+SUMIF('Grid BD'!$B:$B,$A319,'Grid BD'!$AE:$AE)),"")</f>
        <v/>
      </c>
      <c r="T319" s="146" t="str">
        <f>IFERROR(1-SUMIF(Tracker_BD!$H:$H,$A319,Tracker_BD!AI:AI)/$F319,"")</f>
        <v/>
      </c>
      <c r="U319" s="147" t="str">
        <f t="shared" si="22"/>
        <v/>
      </c>
      <c r="V319" s="147"/>
      <c r="W319" s="148" t="str">
        <f t="shared" si="23"/>
        <v/>
      </c>
      <c r="X319" s="143" t="str">
        <f>IFERROR(_xlfn.XLOOKUP($A319,'Raw Data'!$G:$G,'Raw Data'!$AB:$AB),"")</f>
        <v/>
      </c>
      <c r="Y319" s="143" t="str">
        <f>IFERROR(_xlfn.XLOOKUP($A319,'Raw Data'!$G:$G,'Raw Data'!AC:AC),"")</f>
        <v/>
      </c>
      <c r="Z319" s="143" t="str">
        <f>IFERROR(_xlfn.XLOOKUP($A319,'Raw Data'!$G:$G,'Raw Data'!AD:AD),"")</f>
        <v/>
      </c>
      <c r="AA319" s="143" t="str">
        <f>IFERROR(_xlfn.XLOOKUP($A319,'Raw Data'!$G:$G,'Raw Data'!AE:AE)*(1+(_xlfn.XLOOKUP(Table13[[#This Row],[Month Year]],JMR!$A:$A,JMR!$J:$J))),"")</f>
        <v/>
      </c>
      <c r="AB319" s="143" t="str">
        <f>IFERROR(_xlfn.XLOOKUP($A319,'Raw Data'!$G:$G,'Raw Data'!$H:$H),"")</f>
        <v/>
      </c>
      <c r="AC319" s="149">
        <f>IFERROR(_xlfn.XLOOKUP($D319,'Modelling New'!$D:$D,'Modelling New'!$P:$P),"")</f>
        <v>6.9010874285714294</v>
      </c>
      <c r="AD319" s="143">
        <f>IFERROR(_xlfn.XLOOKUP($D319,'Modelling New'!$D:$D,'Modelling New'!$T:$T)*1000,"")</f>
        <v>57320.026734881634</v>
      </c>
      <c r="AE319" s="148">
        <f>IFERROR(_xlfn.XLOOKUP($D319,'Modelling New'!$D:$D,'Modelling New'!$O:$O),"")</f>
        <v>0.70869805877547398</v>
      </c>
      <c r="AF319" s="148">
        <f>IFERROR(_xlfn.XLOOKUP($D319,'Modelling New'!$D:$D,'Modelling New'!$W:$W),"")</f>
        <v>0.20378280266951659</v>
      </c>
      <c r="AG319" s="148">
        <f>IFERROR(_xlfn.XLOOKUP($D319,'Modelling New'!$D:$D,'Modelling New'!AE:AE),"")</f>
        <v>0.995</v>
      </c>
      <c r="AH319" s="148">
        <f>IFERROR(_xlfn.XLOOKUP($D319,'Modelling New'!$D:$D,'Modelling New'!AF:AF),"")</f>
        <v>0.98550000000000004</v>
      </c>
      <c r="AN319" s="145"/>
      <c r="AO319" s="148"/>
      <c r="AP319" s="148"/>
      <c r="AQ319" s="148"/>
      <c r="AR319" s="143">
        <f>IFERROR(_xlfn.XLOOKUP($D319,'Modelling New'!$D:$D,'Modelling New'!$N:$N),"")</f>
        <v>11.72</v>
      </c>
      <c r="AT319" s="143" t="str">
        <f>IFERROR(_xlfn.XLOOKUP(Table13[[#This Row],[Date]],'Raw Data'!$G:$G,'Raw Data'!$AJ:$AJ),"")</f>
        <v/>
      </c>
      <c r="AU319" s="143">
        <f>IFERROR(_xlfn.XLOOKUP(Table13[[#This Row],[Month Year]],'Modelling New'!$D:$D,'Modelling New'!$AO:$AO),"")</f>
        <v>10</v>
      </c>
      <c r="AV319" s="143"/>
    </row>
    <row r="320" spans="1:48">
      <c r="A320" s="142">
        <f t="shared" si="24"/>
        <v>46063</v>
      </c>
      <c r="B320" s="143">
        <f>YEAR(Table13[[#This Row],[Date]])+IF(MONTH(Table13[[#This Row],[Date]])&gt;=4,1,0)</f>
        <v>2026</v>
      </c>
      <c r="C320" s="116">
        <f>YEAR(Table13[[#This Row],[Date]])</f>
        <v>2026</v>
      </c>
      <c r="D320" s="144">
        <f>Table13[[#This Row],[Date]]-DAY(Table13[[#This Row],[Date]])+1</f>
        <v>46054</v>
      </c>
      <c r="E320" s="116">
        <f t="shared" si="21"/>
        <v>28</v>
      </c>
      <c r="F320" s="117" t="str">
        <f>IFERROR(_xlfn.XLOOKUP($A320,'Raw Data'!$G:$G,'Raw Data'!$AH:$AH),"")</f>
        <v/>
      </c>
      <c r="G320" s="118" t="str">
        <f>IFERROR(_xlfn.XLOOKUP($A320,'Raw Data'!$G:$G,'Raw Data'!$S:$S)/1000,"")</f>
        <v/>
      </c>
      <c r="H320" s="118"/>
      <c r="I320" s="118" t="str">
        <f>IFERROR(_xlfn.XLOOKUP($A320,'Raw Data'!$G:$G,'Raw Data'!$AF:$AF)/1000,"")</f>
        <v/>
      </c>
      <c r="J320" s="118"/>
      <c r="K320" s="118" t="str">
        <f>IFERROR(_xlfn.XLOOKUP($A320,'Raw Data'!$G:$G,'Raw Data'!W:W),"")</f>
        <v/>
      </c>
      <c r="L320" s="118" t="str">
        <f>IFERROR(_xlfn.XLOOKUP($A320,'Raw Data'!$G:$G,'Raw Data'!X:X),"")</f>
        <v/>
      </c>
      <c r="M320" s="118" t="str">
        <f>IFERROR(_xlfn.XLOOKUP($A320,'Raw Data'!$G:$G,'Raw Data'!Y:Y),"")</f>
        <v/>
      </c>
      <c r="N320" s="118" t="str">
        <f>IFERROR(_xlfn.XLOOKUP($A320,'Raw Data'!$G:$G,'Raw Data'!Z:Z),"")</f>
        <v/>
      </c>
      <c r="O320" s="145" t="str">
        <f>IFERROR(1-SUMIF('Plant BD'!$B:$B,$A320,'Plant BD'!$AM:$AM)/($AA320+SUMIF('Plant BD'!$B:$B,$A320,'Plant BD'!$AM:$AM)),"")</f>
        <v/>
      </c>
      <c r="P320" s="145"/>
      <c r="Q320" s="146"/>
      <c r="R320" s="145" t="str">
        <f>IFERROR(1-SUMIF('Grid BD'!$B:$B,$A320,'Grid BD'!$AE:$AE)/($AA320+SUMIF('Grid BD'!$B:$B,$A320,'Grid BD'!$AE:$AE)),"")</f>
        <v/>
      </c>
      <c r="T320" s="146" t="str">
        <f>IFERROR(1-SUMIF(Tracker_BD!$H:$H,$A320,Tracker_BD!AI:AI)/$F320,"")</f>
        <v/>
      </c>
      <c r="U320" s="147" t="str">
        <f t="shared" si="22"/>
        <v/>
      </c>
      <c r="V320" s="147"/>
      <c r="W320" s="148" t="str">
        <f t="shared" si="23"/>
        <v/>
      </c>
      <c r="X320" s="143" t="str">
        <f>IFERROR(_xlfn.XLOOKUP($A320,'Raw Data'!$G:$G,'Raw Data'!$AB:$AB),"")</f>
        <v/>
      </c>
      <c r="Y320" s="143" t="str">
        <f>IFERROR(_xlfn.XLOOKUP($A320,'Raw Data'!$G:$G,'Raw Data'!AC:AC),"")</f>
        <v/>
      </c>
      <c r="Z320" s="143" t="str">
        <f>IFERROR(_xlfn.XLOOKUP($A320,'Raw Data'!$G:$G,'Raw Data'!AD:AD),"")</f>
        <v/>
      </c>
      <c r="AA320" s="143" t="str">
        <f>IFERROR(_xlfn.XLOOKUP($A320,'Raw Data'!$G:$G,'Raw Data'!AE:AE)*(1+(_xlfn.XLOOKUP(Table13[[#This Row],[Month Year]],JMR!$A:$A,JMR!$J:$J))),"")</f>
        <v/>
      </c>
      <c r="AB320" s="143" t="str">
        <f>IFERROR(_xlfn.XLOOKUP($A320,'Raw Data'!$G:$G,'Raw Data'!$H:$H),"")</f>
        <v/>
      </c>
      <c r="AC320" s="149">
        <f>IFERROR(_xlfn.XLOOKUP($D320,'Modelling New'!$D:$D,'Modelling New'!$P:$P),"")</f>
        <v>6.9010874285714294</v>
      </c>
      <c r="AD320" s="143">
        <f>IFERROR(_xlfn.XLOOKUP($D320,'Modelling New'!$D:$D,'Modelling New'!$T:$T)*1000,"")</f>
        <v>57320.026734881634</v>
      </c>
      <c r="AE320" s="148">
        <f>IFERROR(_xlfn.XLOOKUP($D320,'Modelling New'!$D:$D,'Modelling New'!$O:$O),"")</f>
        <v>0.70869805877547398</v>
      </c>
      <c r="AF320" s="148">
        <f>IFERROR(_xlfn.XLOOKUP($D320,'Modelling New'!$D:$D,'Modelling New'!$W:$W),"")</f>
        <v>0.20378280266951659</v>
      </c>
      <c r="AG320" s="148">
        <f>IFERROR(_xlfn.XLOOKUP($D320,'Modelling New'!$D:$D,'Modelling New'!AE:AE),"")</f>
        <v>0.995</v>
      </c>
      <c r="AH320" s="148">
        <f>IFERROR(_xlfn.XLOOKUP($D320,'Modelling New'!$D:$D,'Modelling New'!AF:AF),"")</f>
        <v>0.98550000000000004</v>
      </c>
      <c r="AN320" s="145"/>
      <c r="AO320" s="148"/>
      <c r="AP320" s="148"/>
      <c r="AQ320" s="148"/>
      <c r="AR320" s="143">
        <f>IFERROR(_xlfn.XLOOKUP($D320,'Modelling New'!$D:$D,'Modelling New'!$N:$N),"")</f>
        <v>11.72</v>
      </c>
      <c r="AT320" s="143" t="str">
        <f>IFERROR(_xlfn.XLOOKUP(Table13[[#This Row],[Date]],'Raw Data'!$G:$G,'Raw Data'!$AJ:$AJ),"")</f>
        <v/>
      </c>
      <c r="AU320" s="143">
        <f>IFERROR(_xlfn.XLOOKUP(Table13[[#This Row],[Month Year]],'Modelling New'!$D:$D,'Modelling New'!$AO:$AO),"")</f>
        <v>10</v>
      </c>
      <c r="AV320" s="143"/>
    </row>
    <row r="321" spans="1:48">
      <c r="A321" s="142">
        <f t="shared" si="24"/>
        <v>46064</v>
      </c>
      <c r="B321" s="143">
        <f>YEAR(Table13[[#This Row],[Date]])+IF(MONTH(Table13[[#This Row],[Date]])&gt;=4,1,0)</f>
        <v>2026</v>
      </c>
      <c r="C321" s="116">
        <f>YEAR(Table13[[#This Row],[Date]])</f>
        <v>2026</v>
      </c>
      <c r="D321" s="144">
        <f>Table13[[#This Row],[Date]]-DAY(Table13[[#This Row],[Date]])+1</f>
        <v>46054</v>
      </c>
      <c r="E321" s="116">
        <f t="shared" si="21"/>
        <v>28</v>
      </c>
      <c r="F321" s="117" t="str">
        <f>IFERROR(_xlfn.XLOOKUP($A321,'Raw Data'!$G:$G,'Raw Data'!$AH:$AH),"")</f>
        <v/>
      </c>
      <c r="G321" s="118" t="str">
        <f>IFERROR(_xlfn.XLOOKUP($A321,'Raw Data'!$G:$G,'Raw Data'!$S:$S)/1000,"")</f>
        <v/>
      </c>
      <c r="H321" s="118"/>
      <c r="I321" s="118" t="str">
        <f>IFERROR(_xlfn.XLOOKUP($A321,'Raw Data'!$G:$G,'Raw Data'!$AF:$AF)/1000,"")</f>
        <v/>
      </c>
      <c r="J321" s="118"/>
      <c r="K321" s="118" t="str">
        <f>IFERROR(_xlfn.XLOOKUP($A321,'Raw Data'!$G:$G,'Raw Data'!W:W),"")</f>
        <v/>
      </c>
      <c r="L321" s="118" t="str">
        <f>IFERROR(_xlfn.XLOOKUP($A321,'Raw Data'!$G:$G,'Raw Data'!X:X),"")</f>
        <v/>
      </c>
      <c r="M321" s="118" t="str">
        <f>IFERROR(_xlfn.XLOOKUP($A321,'Raw Data'!$G:$G,'Raw Data'!Y:Y),"")</f>
        <v/>
      </c>
      <c r="N321" s="118" t="str">
        <f>IFERROR(_xlfn.XLOOKUP($A321,'Raw Data'!$G:$G,'Raw Data'!Z:Z),"")</f>
        <v/>
      </c>
      <c r="O321" s="145" t="str">
        <f>IFERROR(1-SUMIF('Plant BD'!$B:$B,$A321,'Plant BD'!$AM:$AM)/($AA321+SUMIF('Plant BD'!$B:$B,$A321,'Plant BD'!$AM:$AM)),"")</f>
        <v/>
      </c>
      <c r="P321" s="145"/>
      <c r="Q321" s="146"/>
      <c r="R321" s="145" t="str">
        <f>IFERROR(1-SUMIF('Grid BD'!$B:$B,$A321,'Grid BD'!$AE:$AE)/($AA321+SUMIF('Grid BD'!$B:$B,$A321,'Grid BD'!$AE:$AE)),"")</f>
        <v/>
      </c>
      <c r="T321" s="146" t="str">
        <f>IFERROR(1-SUMIF(Tracker_BD!$H:$H,$A321,Tracker_BD!AI:AI)/$F321,"")</f>
        <v/>
      </c>
      <c r="U321" s="147" t="str">
        <f t="shared" si="22"/>
        <v/>
      </c>
      <c r="V321" s="147"/>
      <c r="W321" s="148" t="str">
        <f t="shared" si="23"/>
        <v/>
      </c>
      <c r="X321" s="143" t="str">
        <f>IFERROR(_xlfn.XLOOKUP($A321,'Raw Data'!$G:$G,'Raw Data'!$AB:$AB),"")</f>
        <v/>
      </c>
      <c r="Y321" s="143" t="str">
        <f>IFERROR(_xlfn.XLOOKUP($A321,'Raw Data'!$G:$G,'Raw Data'!AC:AC),"")</f>
        <v/>
      </c>
      <c r="Z321" s="143" t="str">
        <f>IFERROR(_xlfn.XLOOKUP($A321,'Raw Data'!$G:$G,'Raw Data'!AD:AD),"")</f>
        <v/>
      </c>
      <c r="AA321" s="143" t="str">
        <f>IFERROR(_xlfn.XLOOKUP($A321,'Raw Data'!$G:$G,'Raw Data'!AE:AE)*(1+(_xlfn.XLOOKUP(Table13[[#This Row],[Month Year]],JMR!$A:$A,JMR!$J:$J))),"")</f>
        <v/>
      </c>
      <c r="AB321" s="143" t="str">
        <f>IFERROR(_xlfn.XLOOKUP($A321,'Raw Data'!$G:$G,'Raw Data'!$H:$H),"")</f>
        <v/>
      </c>
      <c r="AC321" s="149">
        <f>IFERROR(_xlfn.XLOOKUP($D321,'Modelling New'!$D:$D,'Modelling New'!$P:$P),"")</f>
        <v>6.9010874285714294</v>
      </c>
      <c r="AD321" s="143">
        <f>IFERROR(_xlfn.XLOOKUP($D321,'Modelling New'!$D:$D,'Modelling New'!$T:$T)*1000,"")</f>
        <v>57320.026734881634</v>
      </c>
      <c r="AE321" s="148">
        <f>IFERROR(_xlfn.XLOOKUP($D321,'Modelling New'!$D:$D,'Modelling New'!$O:$O),"")</f>
        <v>0.70869805877547398</v>
      </c>
      <c r="AF321" s="148">
        <f>IFERROR(_xlfn.XLOOKUP($D321,'Modelling New'!$D:$D,'Modelling New'!$W:$W),"")</f>
        <v>0.20378280266951659</v>
      </c>
      <c r="AG321" s="148">
        <f>IFERROR(_xlfn.XLOOKUP($D321,'Modelling New'!$D:$D,'Modelling New'!AE:AE),"")</f>
        <v>0.995</v>
      </c>
      <c r="AH321" s="148">
        <f>IFERROR(_xlfn.XLOOKUP($D321,'Modelling New'!$D:$D,'Modelling New'!AF:AF),"")</f>
        <v>0.98550000000000004</v>
      </c>
      <c r="AN321" s="145"/>
      <c r="AO321" s="148"/>
      <c r="AP321" s="148"/>
      <c r="AQ321" s="148"/>
      <c r="AR321" s="143">
        <f>IFERROR(_xlfn.XLOOKUP($D321,'Modelling New'!$D:$D,'Modelling New'!$N:$N),"")</f>
        <v>11.72</v>
      </c>
      <c r="AT321" s="143" t="str">
        <f>IFERROR(_xlfn.XLOOKUP(Table13[[#This Row],[Date]],'Raw Data'!$G:$G,'Raw Data'!$AJ:$AJ),"")</f>
        <v/>
      </c>
      <c r="AU321" s="143">
        <f>IFERROR(_xlfn.XLOOKUP(Table13[[#This Row],[Month Year]],'Modelling New'!$D:$D,'Modelling New'!$AO:$AO),"")</f>
        <v>10</v>
      </c>
      <c r="AV321" s="143"/>
    </row>
    <row r="322" spans="1:48">
      <c r="A322" s="142">
        <f t="shared" si="24"/>
        <v>46065</v>
      </c>
      <c r="B322" s="143">
        <f>YEAR(Table13[[#This Row],[Date]])+IF(MONTH(Table13[[#This Row],[Date]])&gt;=4,1,0)</f>
        <v>2026</v>
      </c>
      <c r="C322" s="116">
        <f>YEAR(Table13[[#This Row],[Date]])</f>
        <v>2026</v>
      </c>
      <c r="D322" s="144">
        <f>Table13[[#This Row],[Date]]-DAY(Table13[[#This Row],[Date]])+1</f>
        <v>46054</v>
      </c>
      <c r="E322" s="116">
        <f t="shared" si="21"/>
        <v>28</v>
      </c>
      <c r="F322" s="117" t="str">
        <f>IFERROR(_xlfn.XLOOKUP($A322,'Raw Data'!$G:$G,'Raw Data'!$AH:$AH),"")</f>
        <v/>
      </c>
      <c r="G322" s="118" t="str">
        <f>IFERROR(_xlfn.XLOOKUP($A322,'Raw Data'!$G:$G,'Raw Data'!$S:$S)/1000,"")</f>
        <v/>
      </c>
      <c r="H322" s="118"/>
      <c r="I322" s="118" t="str">
        <f>IFERROR(_xlfn.XLOOKUP($A322,'Raw Data'!$G:$G,'Raw Data'!$AF:$AF)/1000,"")</f>
        <v/>
      </c>
      <c r="J322" s="118"/>
      <c r="K322" s="118" t="str">
        <f>IFERROR(_xlfn.XLOOKUP($A322,'Raw Data'!$G:$G,'Raw Data'!W:W),"")</f>
        <v/>
      </c>
      <c r="L322" s="118" t="str">
        <f>IFERROR(_xlfn.XLOOKUP($A322,'Raw Data'!$G:$G,'Raw Data'!X:X),"")</f>
        <v/>
      </c>
      <c r="M322" s="118" t="str">
        <f>IFERROR(_xlfn.XLOOKUP($A322,'Raw Data'!$G:$G,'Raw Data'!Y:Y),"")</f>
        <v/>
      </c>
      <c r="N322" s="118" t="str">
        <f>IFERROR(_xlfn.XLOOKUP($A322,'Raw Data'!$G:$G,'Raw Data'!Z:Z),"")</f>
        <v/>
      </c>
      <c r="O322" s="145" t="str">
        <f>IFERROR(1-SUMIF('Plant BD'!$B:$B,$A322,'Plant BD'!$AM:$AM)/($AA322+SUMIF('Plant BD'!$B:$B,$A322,'Plant BD'!$AM:$AM)),"")</f>
        <v/>
      </c>
      <c r="P322" s="145"/>
      <c r="Q322" s="146"/>
      <c r="R322" s="145" t="str">
        <f>IFERROR(1-SUMIF('Grid BD'!$B:$B,$A322,'Grid BD'!$AE:$AE)/($AA322+SUMIF('Grid BD'!$B:$B,$A322,'Grid BD'!$AE:$AE)),"")</f>
        <v/>
      </c>
      <c r="T322" s="146" t="str">
        <f>IFERROR(1-SUMIF(Tracker_BD!$H:$H,$A322,Tracker_BD!AI:AI)/$F322,"")</f>
        <v/>
      </c>
      <c r="U322" s="147" t="str">
        <f t="shared" si="22"/>
        <v/>
      </c>
      <c r="V322" s="147"/>
      <c r="W322" s="148" t="str">
        <f t="shared" si="23"/>
        <v/>
      </c>
      <c r="X322" s="143" t="str">
        <f>IFERROR(_xlfn.XLOOKUP($A322,'Raw Data'!$G:$G,'Raw Data'!$AB:$AB),"")</f>
        <v/>
      </c>
      <c r="Y322" s="143" t="str">
        <f>IFERROR(_xlfn.XLOOKUP($A322,'Raw Data'!$G:$G,'Raw Data'!AC:AC),"")</f>
        <v/>
      </c>
      <c r="Z322" s="143" t="str">
        <f>IFERROR(_xlfn.XLOOKUP($A322,'Raw Data'!$G:$G,'Raw Data'!AD:AD),"")</f>
        <v/>
      </c>
      <c r="AA322" s="143" t="str">
        <f>IFERROR(_xlfn.XLOOKUP($A322,'Raw Data'!$G:$G,'Raw Data'!AE:AE)*(1+(_xlfn.XLOOKUP(Table13[[#This Row],[Month Year]],JMR!$A:$A,JMR!$J:$J))),"")</f>
        <v/>
      </c>
      <c r="AB322" s="143" t="str">
        <f>IFERROR(_xlfn.XLOOKUP($A322,'Raw Data'!$G:$G,'Raw Data'!$H:$H),"")</f>
        <v/>
      </c>
      <c r="AC322" s="149">
        <f>IFERROR(_xlfn.XLOOKUP($D322,'Modelling New'!$D:$D,'Modelling New'!$P:$P),"")</f>
        <v>6.9010874285714294</v>
      </c>
      <c r="AD322" s="143">
        <f>IFERROR(_xlfn.XLOOKUP($D322,'Modelling New'!$D:$D,'Modelling New'!$T:$T)*1000,"")</f>
        <v>57320.026734881634</v>
      </c>
      <c r="AE322" s="148">
        <f>IFERROR(_xlfn.XLOOKUP($D322,'Modelling New'!$D:$D,'Modelling New'!$O:$O),"")</f>
        <v>0.70869805877547398</v>
      </c>
      <c r="AF322" s="148">
        <f>IFERROR(_xlfn.XLOOKUP($D322,'Modelling New'!$D:$D,'Modelling New'!$W:$W),"")</f>
        <v>0.20378280266951659</v>
      </c>
      <c r="AG322" s="148">
        <f>IFERROR(_xlfn.XLOOKUP($D322,'Modelling New'!$D:$D,'Modelling New'!AE:AE),"")</f>
        <v>0.995</v>
      </c>
      <c r="AH322" s="148">
        <f>IFERROR(_xlfn.XLOOKUP($D322,'Modelling New'!$D:$D,'Modelling New'!AF:AF),"")</f>
        <v>0.98550000000000004</v>
      </c>
      <c r="AN322" s="145"/>
      <c r="AO322" s="148"/>
      <c r="AP322" s="148"/>
      <c r="AQ322" s="148"/>
      <c r="AR322" s="143">
        <f>IFERROR(_xlfn.XLOOKUP($D322,'Modelling New'!$D:$D,'Modelling New'!$N:$N),"")</f>
        <v>11.72</v>
      </c>
      <c r="AT322" s="143" t="str">
        <f>IFERROR(_xlfn.XLOOKUP(Table13[[#This Row],[Date]],'Raw Data'!$G:$G,'Raw Data'!$AJ:$AJ),"")</f>
        <v/>
      </c>
      <c r="AU322" s="143">
        <f>IFERROR(_xlfn.XLOOKUP(Table13[[#This Row],[Month Year]],'Modelling New'!$D:$D,'Modelling New'!$AO:$AO),"")</f>
        <v>10</v>
      </c>
      <c r="AV322" s="143"/>
    </row>
    <row r="323" spans="1:48">
      <c r="A323" s="142">
        <f t="shared" si="24"/>
        <v>46066</v>
      </c>
      <c r="B323" s="143">
        <f>YEAR(Table13[[#This Row],[Date]])+IF(MONTH(Table13[[#This Row],[Date]])&gt;=4,1,0)</f>
        <v>2026</v>
      </c>
      <c r="C323" s="116">
        <f>YEAR(Table13[[#This Row],[Date]])</f>
        <v>2026</v>
      </c>
      <c r="D323" s="144">
        <f>Table13[[#This Row],[Date]]-DAY(Table13[[#This Row],[Date]])+1</f>
        <v>46054</v>
      </c>
      <c r="E323" s="116">
        <f t="shared" si="21"/>
        <v>28</v>
      </c>
      <c r="F323" s="117" t="str">
        <f>IFERROR(_xlfn.XLOOKUP($A323,'Raw Data'!$G:$G,'Raw Data'!$AH:$AH),"")</f>
        <v/>
      </c>
      <c r="G323" s="118" t="str">
        <f>IFERROR(_xlfn.XLOOKUP($A323,'Raw Data'!$G:$G,'Raw Data'!$S:$S)/1000,"")</f>
        <v/>
      </c>
      <c r="H323" s="118"/>
      <c r="I323" s="118" t="str">
        <f>IFERROR(_xlfn.XLOOKUP($A323,'Raw Data'!$G:$G,'Raw Data'!$AF:$AF)/1000,"")</f>
        <v/>
      </c>
      <c r="J323" s="118"/>
      <c r="K323" s="118" t="str">
        <f>IFERROR(_xlfn.XLOOKUP($A323,'Raw Data'!$G:$G,'Raw Data'!W:W),"")</f>
        <v/>
      </c>
      <c r="L323" s="118" t="str">
        <f>IFERROR(_xlfn.XLOOKUP($A323,'Raw Data'!$G:$G,'Raw Data'!X:X),"")</f>
        <v/>
      </c>
      <c r="M323" s="118" t="str">
        <f>IFERROR(_xlfn.XLOOKUP($A323,'Raw Data'!$G:$G,'Raw Data'!Y:Y),"")</f>
        <v/>
      </c>
      <c r="N323" s="118" t="str">
        <f>IFERROR(_xlfn.XLOOKUP($A323,'Raw Data'!$G:$G,'Raw Data'!Z:Z),"")</f>
        <v/>
      </c>
      <c r="O323" s="145" t="str">
        <f>IFERROR(1-SUMIF('Plant BD'!$B:$B,$A323,'Plant BD'!$AM:$AM)/($AA323+SUMIF('Plant BD'!$B:$B,$A323,'Plant BD'!$AM:$AM)),"")</f>
        <v/>
      </c>
      <c r="P323" s="145"/>
      <c r="Q323" s="146"/>
      <c r="R323" s="145" t="str">
        <f>IFERROR(1-SUMIF('Grid BD'!$B:$B,$A323,'Grid BD'!$AE:$AE)/($AA323+SUMIF('Grid BD'!$B:$B,$A323,'Grid BD'!$AE:$AE)),"")</f>
        <v/>
      </c>
      <c r="T323" s="146" t="str">
        <f>IFERROR(1-SUMIF(Tracker_BD!$H:$H,$A323,Tracker_BD!AI:AI)/$F323,"")</f>
        <v/>
      </c>
      <c r="U323" s="147" t="str">
        <f t="shared" si="22"/>
        <v/>
      </c>
      <c r="V323" s="147"/>
      <c r="W323" s="148" t="str">
        <f t="shared" si="23"/>
        <v/>
      </c>
      <c r="X323" s="143" t="str">
        <f>IFERROR(_xlfn.XLOOKUP($A323,'Raw Data'!$G:$G,'Raw Data'!$AB:$AB),"")</f>
        <v/>
      </c>
      <c r="Y323" s="143" t="str">
        <f>IFERROR(_xlfn.XLOOKUP($A323,'Raw Data'!$G:$G,'Raw Data'!AC:AC),"")</f>
        <v/>
      </c>
      <c r="Z323" s="143" t="str">
        <f>IFERROR(_xlfn.XLOOKUP($A323,'Raw Data'!$G:$G,'Raw Data'!AD:AD),"")</f>
        <v/>
      </c>
      <c r="AA323" s="143" t="str">
        <f>IFERROR(_xlfn.XLOOKUP($A323,'Raw Data'!$G:$G,'Raw Data'!AE:AE)*(1+(_xlfn.XLOOKUP(Table13[[#This Row],[Month Year]],JMR!$A:$A,JMR!$J:$J))),"")</f>
        <v/>
      </c>
      <c r="AB323" s="143" t="str">
        <f>IFERROR(_xlfn.XLOOKUP($A323,'Raw Data'!$G:$G,'Raw Data'!$H:$H),"")</f>
        <v/>
      </c>
      <c r="AC323" s="149">
        <f>IFERROR(_xlfn.XLOOKUP($D323,'Modelling New'!$D:$D,'Modelling New'!$P:$P),"")</f>
        <v>6.9010874285714294</v>
      </c>
      <c r="AD323" s="143">
        <f>IFERROR(_xlfn.XLOOKUP($D323,'Modelling New'!$D:$D,'Modelling New'!$T:$T)*1000,"")</f>
        <v>57320.026734881634</v>
      </c>
      <c r="AE323" s="148">
        <f>IFERROR(_xlfn.XLOOKUP($D323,'Modelling New'!$D:$D,'Modelling New'!$O:$O),"")</f>
        <v>0.70869805877547398</v>
      </c>
      <c r="AF323" s="148">
        <f>IFERROR(_xlfn.XLOOKUP($D323,'Modelling New'!$D:$D,'Modelling New'!$W:$W),"")</f>
        <v>0.20378280266951659</v>
      </c>
      <c r="AG323" s="148">
        <f>IFERROR(_xlfn.XLOOKUP($D323,'Modelling New'!$D:$D,'Modelling New'!AE:AE),"")</f>
        <v>0.995</v>
      </c>
      <c r="AH323" s="148">
        <f>IFERROR(_xlfn.XLOOKUP($D323,'Modelling New'!$D:$D,'Modelling New'!AF:AF),"")</f>
        <v>0.98550000000000004</v>
      </c>
      <c r="AN323" s="145"/>
      <c r="AO323" s="148"/>
      <c r="AP323" s="148"/>
      <c r="AQ323" s="148"/>
      <c r="AR323" s="143">
        <f>IFERROR(_xlfn.XLOOKUP($D323,'Modelling New'!$D:$D,'Modelling New'!$N:$N),"")</f>
        <v>11.72</v>
      </c>
      <c r="AT323" s="143" t="str">
        <f>IFERROR(_xlfn.XLOOKUP(Table13[[#This Row],[Date]],'Raw Data'!$G:$G,'Raw Data'!$AJ:$AJ),"")</f>
        <v/>
      </c>
      <c r="AU323" s="143">
        <f>IFERROR(_xlfn.XLOOKUP(Table13[[#This Row],[Month Year]],'Modelling New'!$D:$D,'Modelling New'!$AO:$AO),"")</f>
        <v>10</v>
      </c>
      <c r="AV323" s="143"/>
    </row>
    <row r="324" spans="1:48">
      <c r="A324" s="142">
        <f t="shared" si="24"/>
        <v>46067</v>
      </c>
      <c r="B324" s="143">
        <f>YEAR(Table13[[#This Row],[Date]])+IF(MONTH(Table13[[#This Row],[Date]])&gt;=4,1,0)</f>
        <v>2026</v>
      </c>
      <c r="C324" s="116">
        <f>YEAR(Table13[[#This Row],[Date]])</f>
        <v>2026</v>
      </c>
      <c r="D324" s="144">
        <f>Table13[[#This Row],[Date]]-DAY(Table13[[#This Row],[Date]])+1</f>
        <v>46054</v>
      </c>
      <c r="E324" s="116">
        <f t="shared" si="21"/>
        <v>28</v>
      </c>
      <c r="F324" s="117" t="str">
        <f>IFERROR(_xlfn.XLOOKUP($A324,'Raw Data'!$G:$G,'Raw Data'!$AH:$AH),"")</f>
        <v/>
      </c>
      <c r="G324" s="118" t="str">
        <f>IFERROR(_xlfn.XLOOKUP($A324,'Raw Data'!$G:$G,'Raw Data'!$S:$S)/1000,"")</f>
        <v/>
      </c>
      <c r="H324" s="118"/>
      <c r="I324" s="118" t="str">
        <f>IFERROR(_xlfn.XLOOKUP($A324,'Raw Data'!$G:$G,'Raw Data'!$AF:$AF)/1000,"")</f>
        <v/>
      </c>
      <c r="J324" s="118"/>
      <c r="K324" s="118" t="str">
        <f>IFERROR(_xlfn.XLOOKUP($A324,'Raw Data'!$G:$G,'Raw Data'!W:W),"")</f>
        <v/>
      </c>
      <c r="L324" s="118" t="str">
        <f>IFERROR(_xlfn.XLOOKUP($A324,'Raw Data'!$G:$G,'Raw Data'!X:X),"")</f>
        <v/>
      </c>
      <c r="M324" s="118" t="str">
        <f>IFERROR(_xlfn.XLOOKUP($A324,'Raw Data'!$G:$G,'Raw Data'!Y:Y),"")</f>
        <v/>
      </c>
      <c r="N324" s="118" t="str">
        <f>IFERROR(_xlfn.XLOOKUP($A324,'Raw Data'!$G:$G,'Raw Data'!Z:Z),"")</f>
        <v/>
      </c>
      <c r="O324" s="145" t="str">
        <f>IFERROR(1-SUMIF('Plant BD'!$B:$B,$A324,'Plant BD'!$AM:$AM)/($AA324+SUMIF('Plant BD'!$B:$B,$A324,'Plant BD'!$AM:$AM)),"")</f>
        <v/>
      </c>
      <c r="P324" s="145"/>
      <c r="Q324" s="146"/>
      <c r="R324" s="145" t="str">
        <f>IFERROR(1-SUMIF('Grid BD'!$B:$B,$A324,'Grid BD'!$AE:$AE)/($AA324+SUMIF('Grid BD'!$B:$B,$A324,'Grid BD'!$AE:$AE)),"")</f>
        <v/>
      </c>
      <c r="T324" s="146" t="str">
        <f>IFERROR(1-SUMIF(Tracker_BD!$H:$H,$A324,Tracker_BD!AI:AI)/$F324,"")</f>
        <v/>
      </c>
      <c r="U324" s="147" t="str">
        <f t="shared" si="22"/>
        <v/>
      </c>
      <c r="V324" s="147"/>
      <c r="W324" s="148" t="str">
        <f t="shared" si="23"/>
        <v/>
      </c>
      <c r="X324" s="143" t="str">
        <f>IFERROR(_xlfn.XLOOKUP($A324,'Raw Data'!$G:$G,'Raw Data'!$AB:$AB),"")</f>
        <v/>
      </c>
      <c r="Y324" s="143" t="str">
        <f>IFERROR(_xlfn.XLOOKUP($A324,'Raw Data'!$G:$G,'Raw Data'!AC:AC),"")</f>
        <v/>
      </c>
      <c r="Z324" s="143" t="str">
        <f>IFERROR(_xlfn.XLOOKUP($A324,'Raw Data'!$G:$G,'Raw Data'!AD:AD),"")</f>
        <v/>
      </c>
      <c r="AA324" s="143" t="str">
        <f>IFERROR(_xlfn.XLOOKUP($A324,'Raw Data'!$G:$G,'Raw Data'!AE:AE)*(1+(_xlfn.XLOOKUP(Table13[[#This Row],[Month Year]],JMR!$A:$A,JMR!$J:$J))),"")</f>
        <v/>
      </c>
      <c r="AB324" s="143" t="str">
        <f>IFERROR(_xlfn.XLOOKUP($A324,'Raw Data'!$G:$G,'Raw Data'!$H:$H),"")</f>
        <v/>
      </c>
      <c r="AC324" s="149">
        <f>IFERROR(_xlfn.XLOOKUP($D324,'Modelling New'!$D:$D,'Modelling New'!$P:$P),"")</f>
        <v>6.9010874285714294</v>
      </c>
      <c r="AD324" s="143">
        <f>IFERROR(_xlfn.XLOOKUP($D324,'Modelling New'!$D:$D,'Modelling New'!$T:$T)*1000,"")</f>
        <v>57320.026734881634</v>
      </c>
      <c r="AE324" s="148">
        <f>IFERROR(_xlfn.XLOOKUP($D324,'Modelling New'!$D:$D,'Modelling New'!$O:$O),"")</f>
        <v>0.70869805877547398</v>
      </c>
      <c r="AF324" s="148">
        <f>IFERROR(_xlfn.XLOOKUP($D324,'Modelling New'!$D:$D,'Modelling New'!$W:$W),"")</f>
        <v>0.20378280266951659</v>
      </c>
      <c r="AG324" s="148">
        <f>IFERROR(_xlfn.XLOOKUP($D324,'Modelling New'!$D:$D,'Modelling New'!AE:AE),"")</f>
        <v>0.995</v>
      </c>
      <c r="AH324" s="148">
        <f>IFERROR(_xlfn.XLOOKUP($D324,'Modelling New'!$D:$D,'Modelling New'!AF:AF),"")</f>
        <v>0.98550000000000004</v>
      </c>
      <c r="AN324" s="145"/>
      <c r="AO324" s="148"/>
      <c r="AP324" s="148"/>
      <c r="AQ324" s="148"/>
      <c r="AR324" s="143">
        <f>IFERROR(_xlfn.XLOOKUP($D324,'Modelling New'!$D:$D,'Modelling New'!$N:$N),"")</f>
        <v>11.72</v>
      </c>
      <c r="AT324" s="143" t="str">
        <f>IFERROR(_xlfn.XLOOKUP(Table13[[#This Row],[Date]],'Raw Data'!$G:$G,'Raw Data'!$AJ:$AJ),"")</f>
        <v/>
      </c>
      <c r="AU324" s="143">
        <f>IFERROR(_xlfn.XLOOKUP(Table13[[#This Row],[Month Year]],'Modelling New'!$D:$D,'Modelling New'!$AO:$AO),"")</f>
        <v>10</v>
      </c>
      <c r="AV324" s="143"/>
    </row>
    <row r="325" spans="1:48">
      <c r="A325" s="142">
        <f t="shared" si="24"/>
        <v>46068</v>
      </c>
      <c r="B325" s="143">
        <f>YEAR(Table13[[#This Row],[Date]])+IF(MONTH(Table13[[#This Row],[Date]])&gt;=4,1,0)</f>
        <v>2026</v>
      </c>
      <c r="C325" s="116">
        <f>YEAR(Table13[[#This Row],[Date]])</f>
        <v>2026</v>
      </c>
      <c r="D325" s="144">
        <f>Table13[[#This Row],[Date]]-DAY(Table13[[#This Row],[Date]])+1</f>
        <v>46054</v>
      </c>
      <c r="E325" s="116">
        <f t="shared" si="21"/>
        <v>28</v>
      </c>
      <c r="F325" s="117" t="str">
        <f>IFERROR(_xlfn.XLOOKUP($A325,'Raw Data'!$G:$G,'Raw Data'!$AH:$AH),"")</f>
        <v/>
      </c>
      <c r="G325" s="118" t="str">
        <f>IFERROR(_xlfn.XLOOKUP($A325,'Raw Data'!$G:$G,'Raw Data'!$S:$S)/1000,"")</f>
        <v/>
      </c>
      <c r="H325" s="118"/>
      <c r="I325" s="118" t="str">
        <f>IFERROR(_xlfn.XLOOKUP($A325,'Raw Data'!$G:$G,'Raw Data'!$AF:$AF)/1000,"")</f>
        <v/>
      </c>
      <c r="J325" s="118"/>
      <c r="K325" s="118" t="str">
        <f>IFERROR(_xlfn.XLOOKUP($A325,'Raw Data'!$G:$G,'Raw Data'!W:W),"")</f>
        <v/>
      </c>
      <c r="L325" s="118" t="str">
        <f>IFERROR(_xlfn.XLOOKUP($A325,'Raw Data'!$G:$G,'Raw Data'!X:X),"")</f>
        <v/>
      </c>
      <c r="M325" s="118" t="str">
        <f>IFERROR(_xlfn.XLOOKUP($A325,'Raw Data'!$G:$G,'Raw Data'!Y:Y),"")</f>
        <v/>
      </c>
      <c r="N325" s="118" t="str">
        <f>IFERROR(_xlfn.XLOOKUP($A325,'Raw Data'!$G:$G,'Raw Data'!Z:Z),"")</f>
        <v/>
      </c>
      <c r="O325" s="145" t="str">
        <f>IFERROR(1-SUMIF('Plant BD'!$B:$B,$A325,'Plant BD'!$AM:$AM)/($AA325+SUMIF('Plant BD'!$B:$B,$A325,'Plant BD'!$AM:$AM)),"")</f>
        <v/>
      </c>
      <c r="P325" s="145"/>
      <c r="Q325" s="146"/>
      <c r="R325" s="145" t="str">
        <f>IFERROR(1-SUMIF('Grid BD'!$B:$B,$A325,'Grid BD'!$AE:$AE)/($AA325+SUMIF('Grid BD'!$B:$B,$A325,'Grid BD'!$AE:$AE)),"")</f>
        <v/>
      </c>
      <c r="T325" s="146" t="str">
        <f>IFERROR(1-SUMIF(Tracker_BD!$H:$H,$A325,Tracker_BD!AI:AI)/$F325,"")</f>
        <v/>
      </c>
      <c r="U325" s="147" t="str">
        <f t="shared" si="22"/>
        <v/>
      </c>
      <c r="V325" s="147"/>
      <c r="W325" s="148" t="str">
        <f t="shared" si="23"/>
        <v/>
      </c>
      <c r="X325" s="143" t="str">
        <f>IFERROR(_xlfn.XLOOKUP($A325,'Raw Data'!$G:$G,'Raw Data'!$AB:$AB),"")</f>
        <v/>
      </c>
      <c r="Y325" s="143" t="str">
        <f>IFERROR(_xlfn.XLOOKUP($A325,'Raw Data'!$G:$G,'Raw Data'!AC:AC),"")</f>
        <v/>
      </c>
      <c r="Z325" s="143" t="str">
        <f>IFERROR(_xlfn.XLOOKUP($A325,'Raw Data'!$G:$G,'Raw Data'!AD:AD),"")</f>
        <v/>
      </c>
      <c r="AA325" s="143" t="str">
        <f>IFERROR(_xlfn.XLOOKUP($A325,'Raw Data'!$G:$G,'Raw Data'!AE:AE)*(1+(_xlfn.XLOOKUP(Table13[[#This Row],[Month Year]],JMR!$A:$A,JMR!$J:$J))),"")</f>
        <v/>
      </c>
      <c r="AB325" s="143" t="str">
        <f>IFERROR(_xlfn.XLOOKUP($A325,'Raw Data'!$G:$G,'Raw Data'!$H:$H),"")</f>
        <v/>
      </c>
      <c r="AC325" s="149">
        <f>IFERROR(_xlfn.XLOOKUP($D325,'Modelling New'!$D:$D,'Modelling New'!$P:$P),"")</f>
        <v>6.9010874285714294</v>
      </c>
      <c r="AD325" s="143">
        <f>IFERROR(_xlfn.XLOOKUP($D325,'Modelling New'!$D:$D,'Modelling New'!$T:$T)*1000,"")</f>
        <v>57320.026734881634</v>
      </c>
      <c r="AE325" s="148">
        <f>IFERROR(_xlfn.XLOOKUP($D325,'Modelling New'!$D:$D,'Modelling New'!$O:$O),"")</f>
        <v>0.70869805877547398</v>
      </c>
      <c r="AF325" s="148">
        <f>IFERROR(_xlfn.XLOOKUP($D325,'Modelling New'!$D:$D,'Modelling New'!$W:$W),"")</f>
        <v>0.20378280266951659</v>
      </c>
      <c r="AG325" s="148">
        <f>IFERROR(_xlfn.XLOOKUP($D325,'Modelling New'!$D:$D,'Modelling New'!AE:AE),"")</f>
        <v>0.995</v>
      </c>
      <c r="AH325" s="148">
        <f>IFERROR(_xlfn.XLOOKUP($D325,'Modelling New'!$D:$D,'Modelling New'!AF:AF),"")</f>
        <v>0.98550000000000004</v>
      </c>
      <c r="AN325" s="145"/>
      <c r="AO325" s="148"/>
      <c r="AP325" s="148"/>
      <c r="AQ325" s="148"/>
      <c r="AR325" s="143">
        <f>IFERROR(_xlfn.XLOOKUP($D325,'Modelling New'!$D:$D,'Modelling New'!$N:$N),"")</f>
        <v>11.72</v>
      </c>
      <c r="AT325" s="143" t="str">
        <f>IFERROR(_xlfn.XLOOKUP(Table13[[#This Row],[Date]],'Raw Data'!$G:$G,'Raw Data'!$AJ:$AJ),"")</f>
        <v/>
      </c>
      <c r="AU325" s="143">
        <f>IFERROR(_xlfn.XLOOKUP(Table13[[#This Row],[Month Year]],'Modelling New'!$D:$D,'Modelling New'!$AO:$AO),"")</f>
        <v>10</v>
      </c>
      <c r="AV325" s="143"/>
    </row>
    <row r="326" spans="1:48">
      <c r="A326" s="142">
        <f t="shared" si="24"/>
        <v>46069</v>
      </c>
      <c r="B326" s="143">
        <f>YEAR(Table13[[#This Row],[Date]])+IF(MONTH(Table13[[#This Row],[Date]])&gt;=4,1,0)</f>
        <v>2026</v>
      </c>
      <c r="C326" s="116">
        <f>YEAR(Table13[[#This Row],[Date]])</f>
        <v>2026</v>
      </c>
      <c r="D326" s="144">
        <f>Table13[[#This Row],[Date]]-DAY(Table13[[#This Row],[Date]])+1</f>
        <v>46054</v>
      </c>
      <c r="E326" s="116">
        <f t="shared" si="21"/>
        <v>28</v>
      </c>
      <c r="F326" s="117" t="str">
        <f>IFERROR(_xlfn.XLOOKUP($A326,'Raw Data'!$G:$G,'Raw Data'!$AH:$AH),"")</f>
        <v/>
      </c>
      <c r="G326" s="118" t="str">
        <f>IFERROR(_xlfn.XLOOKUP($A326,'Raw Data'!$G:$G,'Raw Data'!$S:$S)/1000,"")</f>
        <v/>
      </c>
      <c r="H326" s="118"/>
      <c r="I326" s="118" t="str">
        <f>IFERROR(_xlfn.XLOOKUP($A326,'Raw Data'!$G:$G,'Raw Data'!$AF:$AF)/1000,"")</f>
        <v/>
      </c>
      <c r="J326" s="118"/>
      <c r="K326" s="118" t="str">
        <f>IFERROR(_xlfn.XLOOKUP($A326,'Raw Data'!$G:$G,'Raw Data'!W:W),"")</f>
        <v/>
      </c>
      <c r="L326" s="118" t="str">
        <f>IFERROR(_xlfn.XLOOKUP($A326,'Raw Data'!$G:$G,'Raw Data'!X:X),"")</f>
        <v/>
      </c>
      <c r="M326" s="118" t="str">
        <f>IFERROR(_xlfn.XLOOKUP($A326,'Raw Data'!$G:$G,'Raw Data'!Y:Y),"")</f>
        <v/>
      </c>
      <c r="N326" s="118" t="str">
        <f>IFERROR(_xlfn.XLOOKUP($A326,'Raw Data'!$G:$G,'Raw Data'!Z:Z),"")</f>
        <v/>
      </c>
      <c r="O326" s="145" t="str">
        <f>IFERROR(1-SUMIF('Plant BD'!$B:$B,$A326,'Plant BD'!$AM:$AM)/($AA326+SUMIF('Plant BD'!$B:$B,$A326,'Plant BD'!$AM:$AM)),"")</f>
        <v/>
      </c>
      <c r="P326" s="145"/>
      <c r="Q326" s="146"/>
      <c r="R326" s="145" t="str">
        <f>IFERROR(1-SUMIF('Grid BD'!$B:$B,$A326,'Grid BD'!$AE:$AE)/($AA326+SUMIF('Grid BD'!$B:$B,$A326,'Grid BD'!$AE:$AE)),"")</f>
        <v/>
      </c>
      <c r="T326" s="146" t="str">
        <f>IFERROR(1-SUMIF(Tracker_BD!$H:$H,$A326,Tracker_BD!AI:AI)/$F326,"")</f>
        <v/>
      </c>
      <c r="U326" s="147" t="str">
        <f t="shared" si="22"/>
        <v/>
      </c>
      <c r="V326" s="147"/>
      <c r="W326" s="148" t="str">
        <f t="shared" si="23"/>
        <v/>
      </c>
      <c r="X326" s="143" t="str">
        <f>IFERROR(_xlfn.XLOOKUP($A326,'Raw Data'!$G:$G,'Raw Data'!$AB:$AB),"")</f>
        <v/>
      </c>
      <c r="Y326" s="143" t="str">
        <f>IFERROR(_xlfn.XLOOKUP($A326,'Raw Data'!$G:$G,'Raw Data'!AC:AC),"")</f>
        <v/>
      </c>
      <c r="Z326" s="143" t="str">
        <f>IFERROR(_xlfn.XLOOKUP($A326,'Raw Data'!$G:$G,'Raw Data'!AD:AD),"")</f>
        <v/>
      </c>
      <c r="AA326" s="143" t="str">
        <f>IFERROR(_xlfn.XLOOKUP($A326,'Raw Data'!$G:$G,'Raw Data'!AE:AE)*(1+(_xlfn.XLOOKUP(Table13[[#This Row],[Month Year]],JMR!$A:$A,JMR!$J:$J))),"")</f>
        <v/>
      </c>
      <c r="AB326" s="143" t="str">
        <f>IFERROR(_xlfn.XLOOKUP($A326,'Raw Data'!$G:$G,'Raw Data'!$H:$H),"")</f>
        <v/>
      </c>
      <c r="AC326" s="149">
        <f>IFERROR(_xlfn.XLOOKUP($D326,'Modelling New'!$D:$D,'Modelling New'!$P:$P),"")</f>
        <v>6.9010874285714294</v>
      </c>
      <c r="AD326" s="143">
        <f>IFERROR(_xlfn.XLOOKUP($D326,'Modelling New'!$D:$D,'Modelling New'!$T:$T)*1000,"")</f>
        <v>57320.026734881634</v>
      </c>
      <c r="AE326" s="148">
        <f>IFERROR(_xlfn.XLOOKUP($D326,'Modelling New'!$D:$D,'Modelling New'!$O:$O),"")</f>
        <v>0.70869805877547398</v>
      </c>
      <c r="AF326" s="148">
        <f>IFERROR(_xlfn.XLOOKUP($D326,'Modelling New'!$D:$D,'Modelling New'!$W:$W),"")</f>
        <v>0.20378280266951659</v>
      </c>
      <c r="AG326" s="148">
        <f>IFERROR(_xlfn.XLOOKUP($D326,'Modelling New'!$D:$D,'Modelling New'!AE:AE),"")</f>
        <v>0.995</v>
      </c>
      <c r="AH326" s="148">
        <f>IFERROR(_xlfn.XLOOKUP($D326,'Modelling New'!$D:$D,'Modelling New'!AF:AF),"")</f>
        <v>0.98550000000000004</v>
      </c>
      <c r="AN326" s="145"/>
      <c r="AO326" s="148"/>
      <c r="AP326" s="148"/>
      <c r="AQ326" s="148"/>
      <c r="AR326" s="143">
        <f>IFERROR(_xlfn.XLOOKUP($D326,'Modelling New'!$D:$D,'Modelling New'!$N:$N),"")</f>
        <v>11.72</v>
      </c>
      <c r="AT326" s="143" t="str">
        <f>IFERROR(_xlfn.XLOOKUP(Table13[[#This Row],[Date]],'Raw Data'!$G:$G,'Raw Data'!$AJ:$AJ),"")</f>
        <v/>
      </c>
      <c r="AU326" s="143">
        <f>IFERROR(_xlfn.XLOOKUP(Table13[[#This Row],[Month Year]],'Modelling New'!$D:$D,'Modelling New'!$AO:$AO),"")</f>
        <v>10</v>
      </c>
      <c r="AV326" s="143"/>
    </row>
    <row r="327" spans="1:48">
      <c r="A327" s="142">
        <f t="shared" si="24"/>
        <v>46070</v>
      </c>
      <c r="B327" s="143">
        <f>YEAR(Table13[[#This Row],[Date]])+IF(MONTH(Table13[[#This Row],[Date]])&gt;=4,1,0)</f>
        <v>2026</v>
      </c>
      <c r="C327" s="116">
        <f>YEAR(Table13[[#This Row],[Date]])</f>
        <v>2026</v>
      </c>
      <c r="D327" s="144">
        <f>Table13[[#This Row],[Date]]-DAY(Table13[[#This Row],[Date]])+1</f>
        <v>46054</v>
      </c>
      <c r="E327" s="116">
        <f t="shared" si="21"/>
        <v>28</v>
      </c>
      <c r="F327" s="117" t="str">
        <f>IFERROR(_xlfn.XLOOKUP($A327,'Raw Data'!$G:$G,'Raw Data'!$AH:$AH),"")</f>
        <v/>
      </c>
      <c r="G327" s="118" t="str">
        <f>IFERROR(_xlfn.XLOOKUP($A327,'Raw Data'!$G:$G,'Raw Data'!$S:$S)/1000,"")</f>
        <v/>
      </c>
      <c r="H327" s="118"/>
      <c r="I327" s="118" t="str">
        <f>IFERROR(_xlfn.XLOOKUP($A327,'Raw Data'!$G:$G,'Raw Data'!$AF:$AF)/1000,"")</f>
        <v/>
      </c>
      <c r="J327" s="118"/>
      <c r="K327" s="118" t="str">
        <f>IFERROR(_xlfn.XLOOKUP($A327,'Raw Data'!$G:$G,'Raw Data'!W:W),"")</f>
        <v/>
      </c>
      <c r="L327" s="118" t="str">
        <f>IFERROR(_xlfn.XLOOKUP($A327,'Raw Data'!$G:$G,'Raw Data'!X:X),"")</f>
        <v/>
      </c>
      <c r="M327" s="118" t="str">
        <f>IFERROR(_xlfn.XLOOKUP($A327,'Raw Data'!$G:$G,'Raw Data'!Y:Y),"")</f>
        <v/>
      </c>
      <c r="N327" s="118" t="str">
        <f>IFERROR(_xlfn.XLOOKUP($A327,'Raw Data'!$G:$G,'Raw Data'!Z:Z),"")</f>
        <v/>
      </c>
      <c r="O327" s="145" t="str">
        <f>IFERROR(1-SUMIF('Plant BD'!$B:$B,$A327,'Plant BD'!$AM:$AM)/($AA327+SUMIF('Plant BD'!$B:$B,$A327,'Plant BD'!$AM:$AM)),"")</f>
        <v/>
      </c>
      <c r="P327" s="145"/>
      <c r="Q327" s="146"/>
      <c r="R327" s="145" t="str">
        <f>IFERROR(1-SUMIF('Grid BD'!$B:$B,$A327,'Grid BD'!$AE:$AE)/($AA327+SUMIF('Grid BD'!$B:$B,$A327,'Grid BD'!$AE:$AE)),"")</f>
        <v/>
      </c>
      <c r="T327" s="146" t="str">
        <f>IFERROR(1-SUMIF(Tracker_BD!$H:$H,$A327,Tracker_BD!AI:AI)/$F327,"")</f>
        <v/>
      </c>
      <c r="U327" s="147" t="str">
        <f t="shared" si="22"/>
        <v/>
      </c>
      <c r="V327" s="147"/>
      <c r="W327" s="148" t="str">
        <f t="shared" si="23"/>
        <v/>
      </c>
      <c r="X327" s="143" t="str">
        <f>IFERROR(_xlfn.XLOOKUP($A327,'Raw Data'!$G:$G,'Raw Data'!$AB:$AB),"")</f>
        <v/>
      </c>
      <c r="Y327" s="143" t="str">
        <f>IFERROR(_xlfn.XLOOKUP($A327,'Raw Data'!$G:$G,'Raw Data'!AC:AC),"")</f>
        <v/>
      </c>
      <c r="Z327" s="143" t="str">
        <f>IFERROR(_xlfn.XLOOKUP($A327,'Raw Data'!$G:$G,'Raw Data'!AD:AD),"")</f>
        <v/>
      </c>
      <c r="AA327" s="143" t="str">
        <f>IFERROR(_xlfn.XLOOKUP($A327,'Raw Data'!$G:$G,'Raw Data'!AE:AE)*(1+(_xlfn.XLOOKUP(Table13[[#This Row],[Month Year]],JMR!$A:$A,JMR!$J:$J))),"")</f>
        <v/>
      </c>
      <c r="AB327" s="143" t="str">
        <f>IFERROR(_xlfn.XLOOKUP($A327,'Raw Data'!$G:$G,'Raw Data'!$H:$H),"")</f>
        <v/>
      </c>
      <c r="AC327" s="149">
        <f>IFERROR(_xlfn.XLOOKUP($D327,'Modelling New'!$D:$D,'Modelling New'!$P:$P),"")</f>
        <v>6.9010874285714294</v>
      </c>
      <c r="AD327" s="143">
        <f>IFERROR(_xlfn.XLOOKUP($D327,'Modelling New'!$D:$D,'Modelling New'!$T:$T)*1000,"")</f>
        <v>57320.026734881634</v>
      </c>
      <c r="AE327" s="148">
        <f>IFERROR(_xlfn.XLOOKUP($D327,'Modelling New'!$D:$D,'Modelling New'!$O:$O),"")</f>
        <v>0.70869805877547398</v>
      </c>
      <c r="AF327" s="148">
        <f>IFERROR(_xlfn.XLOOKUP($D327,'Modelling New'!$D:$D,'Modelling New'!$W:$W),"")</f>
        <v>0.20378280266951659</v>
      </c>
      <c r="AG327" s="148">
        <f>IFERROR(_xlfn.XLOOKUP($D327,'Modelling New'!$D:$D,'Modelling New'!AE:AE),"")</f>
        <v>0.995</v>
      </c>
      <c r="AH327" s="148">
        <f>IFERROR(_xlfn.XLOOKUP($D327,'Modelling New'!$D:$D,'Modelling New'!AF:AF),"")</f>
        <v>0.98550000000000004</v>
      </c>
      <c r="AN327" s="145"/>
      <c r="AO327" s="148"/>
      <c r="AP327" s="148"/>
      <c r="AQ327" s="148"/>
      <c r="AR327" s="143">
        <f>IFERROR(_xlfn.XLOOKUP($D327,'Modelling New'!$D:$D,'Modelling New'!$N:$N),"")</f>
        <v>11.72</v>
      </c>
      <c r="AT327" s="143" t="str">
        <f>IFERROR(_xlfn.XLOOKUP(Table13[[#This Row],[Date]],'Raw Data'!$G:$G,'Raw Data'!$AJ:$AJ),"")</f>
        <v/>
      </c>
      <c r="AU327" s="143">
        <f>IFERROR(_xlfn.XLOOKUP(Table13[[#This Row],[Month Year]],'Modelling New'!$D:$D,'Modelling New'!$AO:$AO),"")</f>
        <v>10</v>
      </c>
      <c r="AV327" s="143"/>
    </row>
    <row r="328" spans="1:48">
      <c r="A328" s="142">
        <f t="shared" si="24"/>
        <v>46071</v>
      </c>
      <c r="B328" s="143">
        <f>YEAR(Table13[[#This Row],[Date]])+IF(MONTH(Table13[[#This Row],[Date]])&gt;=4,1,0)</f>
        <v>2026</v>
      </c>
      <c r="C328" s="116">
        <f>YEAR(Table13[[#This Row],[Date]])</f>
        <v>2026</v>
      </c>
      <c r="D328" s="144">
        <f>Table13[[#This Row],[Date]]-DAY(Table13[[#This Row],[Date]])+1</f>
        <v>46054</v>
      </c>
      <c r="E328" s="116">
        <f t="shared" si="21"/>
        <v>28</v>
      </c>
      <c r="F328" s="117" t="str">
        <f>IFERROR(_xlfn.XLOOKUP($A328,'Raw Data'!$G:$G,'Raw Data'!$AH:$AH),"")</f>
        <v/>
      </c>
      <c r="G328" s="118" t="str">
        <f>IFERROR(_xlfn.XLOOKUP($A328,'Raw Data'!$G:$G,'Raw Data'!$S:$S)/1000,"")</f>
        <v/>
      </c>
      <c r="H328" s="118"/>
      <c r="I328" s="118" t="str">
        <f>IFERROR(_xlfn.XLOOKUP($A328,'Raw Data'!$G:$G,'Raw Data'!$AF:$AF)/1000,"")</f>
        <v/>
      </c>
      <c r="J328" s="118"/>
      <c r="K328" s="118" t="str">
        <f>IFERROR(_xlfn.XLOOKUP($A328,'Raw Data'!$G:$G,'Raw Data'!W:W),"")</f>
        <v/>
      </c>
      <c r="L328" s="118" t="str">
        <f>IFERROR(_xlfn.XLOOKUP($A328,'Raw Data'!$G:$G,'Raw Data'!X:X),"")</f>
        <v/>
      </c>
      <c r="M328" s="118" t="str">
        <f>IFERROR(_xlfn.XLOOKUP($A328,'Raw Data'!$G:$G,'Raw Data'!Y:Y),"")</f>
        <v/>
      </c>
      <c r="N328" s="118" t="str">
        <f>IFERROR(_xlfn.XLOOKUP($A328,'Raw Data'!$G:$G,'Raw Data'!Z:Z),"")</f>
        <v/>
      </c>
      <c r="O328" s="145" t="str">
        <f>IFERROR(1-SUMIF('Plant BD'!$B:$B,$A328,'Plant BD'!$AM:$AM)/($AA328+SUMIF('Plant BD'!$B:$B,$A328,'Plant BD'!$AM:$AM)),"")</f>
        <v/>
      </c>
      <c r="P328" s="145"/>
      <c r="Q328" s="146"/>
      <c r="R328" s="145" t="str">
        <f>IFERROR(1-SUMIF('Grid BD'!$B:$B,$A328,'Grid BD'!$AE:$AE)/($AA328+SUMIF('Grid BD'!$B:$B,$A328,'Grid BD'!$AE:$AE)),"")</f>
        <v/>
      </c>
      <c r="T328" s="146" t="str">
        <f>IFERROR(1-SUMIF(Tracker_BD!$H:$H,$A328,Tracker_BD!AI:AI)/$F328,"")</f>
        <v/>
      </c>
      <c r="U328" s="147" t="str">
        <f t="shared" si="22"/>
        <v/>
      </c>
      <c r="V328" s="147"/>
      <c r="W328" s="148" t="str">
        <f t="shared" si="23"/>
        <v/>
      </c>
      <c r="X328" s="143" t="str">
        <f>IFERROR(_xlfn.XLOOKUP($A328,'Raw Data'!$G:$G,'Raw Data'!$AB:$AB),"")</f>
        <v/>
      </c>
      <c r="Y328" s="143" t="str">
        <f>IFERROR(_xlfn.XLOOKUP($A328,'Raw Data'!$G:$G,'Raw Data'!AC:AC),"")</f>
        <v/>
      </c>
      <c r="Z328" s="143" t="str">
        <f>IFERROR(_xlfn.XLOOKUP($A328,'Raw Data'!$G:$G,'Raw Data'!AD:AD),"")</f>
        <v/>
      </c>
      <c r="AA328" s="143" t="str">
        <f>IFERROR(_xlfn.XLOOKUP($A328,'Raw Data'!$G:$G,'Raw Data'!AE:AE)*(1+(_xlfn.XLOOKUP(Table13[[#This Row],[Month Year]],JMR!$A:$A,JMR!$J:$J))),"")</f>
        <v/>
      </c>
      <c r="AB328" s="143" t="str">
        <f>IFERROR(_xlfn.XLOOKUP($A328,'Raw Data'!$G:$G,'Raw Data'!$H:$H),"")</f>
        <v/>
      </c>
      <c r="AC328" s="149">
        <f>IFERROR(_xlfn.XLOOKUP($D328,'Modelling New'!$D:$D,'Modelling New'!$P:$P),"")</f>
        <v>6.9010874285714294</v>
      </c>
      <c r="AD328" s="143">
        <f>IFERROR(_xlfn.XLOOKUP($D328,'Modelling New'!$D:$D,'Modelling New'!$T:$T)*1000,"")</f>
        <v>57320.026734881634</v>
      </c>
      <c r="AE328" s="148">
        <f>IFERROR(_xlfn.XLOOKUP($D328,'Modelling New'!$D:$D,'Modelling New'!$O:$O),"")</f>
        <v>0.70869805877547398</v>
      </c>
      <c r="AF328" s="148">
        <f>IFERROR(_xlfn.XLOOKUP($D328,'Modelling New'!$D:$D,'Modelling New'!$W:$W),"")</f>
        <v>0.20378280266951659</v>
      </c>
      <c r="AG328" s="148">
        <f>IFERROR(_xlfn.XLOOKUP($D328,'Modelling New'!$D:$D,'Modelling New'!AE:AE),"")</f>
        <v>0.995</v>
      </c>
      <c r="AH328" s="148">
        <f>IFERROR(_xlfn.XLOOKUP($D328,'Modelling New'!$D:$D,'Modelling New'!AF:AF),"")</f>
        <v>0.98550000000000004</v>
      </c>
      <c r="AN328" s="145"/>
      <c r="AO328" s="148"/>
      <c r="AP328" s="148"/>
      <c r="AQ328" s="148"/>
      <c r="AR328" s="143">
        <f>IFERROR(_xlfn.XLOOKUP($D328,'Modelling New'!$D:$D,'Modelling New'!$N:$N),"")</f>
        <v>11.72</v>
      </c>
      <c r="AT328" s="143" t="str">
        <f>IFERROR(_xlfn.XLOOKUP(Table13[[#This Row],[Date]],'Raw Data'!$G:$G,'Raw Data'!$AJ:$AJ),"")</f>
        <v/>
      </c>
      <c r="AU328" s="143">
        <f>IFERROR(_xlfn.XLOOKUP(Table13[[#This Row],[Month Year]],'Modelling New'!$D:$D,'Modelling New'!$AO:$AO),"")</f>
        <v>10</v>
      </c>
      <c r="AV328" s="143"/>
    </row>
    <row r="329" spans="1:48">
      <c r="A329" s="142">
        <f t="shared" si="24"/>
        <v>46072</v>
      </c>
      <c r="B329" s="143">
        <f>YEAR(Table13[[#This Row],[Date]])+IF(MONTH(Table13[[#This Row],[Date]])&gt;=4,1,0)</f>
        <v>2026</v>
      </c>
      <c r="C329" s="116">
        <f>YEAR(Table13[[#This Row],[Date]])</f>
        <v>2026</v>
      </c>
      <c r="D329" s="144">
        <f>Table13[[#This Row],[Date]]-DAY(Table13[[#This Row],[Date]])+1</f>
        <v>46054</v>
      </c>
      <c r="E329" s="116">
        <f t="shared" si="21"/>
        <v>28</v>
      </c>
      <c r="F329" s="117" t="str">
        <f>IFERROR(_xlfn.XLOOKUP($A329,'Raw Data'!$G:$G,'Raw Data'!$AH:$AH),"")</f>
        <v/>
      </c>
      <c r="G329" s="118" t="str">
        <f>IFERROR(_xlfn.XLOOKUP($A329,'Raw Data'!$G:$G,'Raw Data'!$S:$S)/1000,"")</f>
        <v/>
      </c>
      <c r="H329" s="118"/>
      <c r="I329" s="118" t="str">
        <f>IFERROR(_xlfn.XLOOKUP($A329,'Raw Data'!$G:$G,'Raw Data'!$AF:$AF)/1000,"")</f>
        <v/>
      </c>
      <c r="J329" s="118"/>
      <c r="K329" s="118" t="str">
        <f>IFERROR(_xlfn.XLOOKUP($A329,'Raw Data'!$G:$G,'Raw Data'!W:W),"")</f>
        <v/>
      </c>
      <c r="L329" s="118" t="str">
        <f>IFERROR(_xlfn.XLOOKUP($A329,'Raw Data'!$G:$G,'Raw Data'!X:X),"")</f>
        <v/>
      </c>
      <c r="M329" s="118" t="str">
        <f>IFERROR(_xlfn.XLOOKUP($A329,'Raw Data'!$G:$G,'Raw Data'!Y:Y),"")</f>
        <v/>
      </c>
      <c r="N329" s="118" t="str">
        <f>IFERROR(_xlfn.XLOOKUP($A329,'Raw Data'!$G:$G,'Raw Data'!Z:Z),"")</f>
        <v/>
      </c>
      <c r="O329" s="145" t="str">
        <f>IFERROR(1-SUMIF('Plant BD'!$B:$B,$A329,'Plant BD'!$AM:$AM)/($AA329+SUMIF('Plant BD'!$B:$B,$A329,'Plant BD'!$AM:$AM)),"")</f>
        <v/>
      </c>
      <c r="P329" s="145"/>
      <c r="Q329" s="146"/>
      <c r="R329" s="145" t="str">
        <f>IFERROR(1-SUMIF('Grid BD'!$B:$B,$A329,'Grid BD'!$AE:$AE)/($AA329+SUMIF('Grid BD'!$B:$B,$A329,'Grid BD'!$AE:$AE)),"")</f>
        <v/>
      </c>
      <c r="T329" s="146" t="str">
        <f>IFERROR(1-SUMIF(Tracker_BD!$H:$H,$A329,Tracker_BD!AI:AI)/$F329,"")</f>
        <v/>
      </c>
      <c r="U329" s="147" t="str">
        <f t="shared" si="22"/>
        <v/>
      </c>
      <c r="V329" s="147"/>
      <c r="W329" s="148" t="str">
        <f t="shared" si="23"/>
        <v/>
      </c>
      <c r="X329" s="143" t="str">
        <f>IFERROR(_xlfn.XLOOKUP($A329,'Raw Data'!$G:$G,'Raw Data'!$AB:$AB),"")</f>
        <v/>
      </c>
      <c r="Y329" s="143" t="str">
        <f>IFERROR(_xlfn.XLOOKUP($A329,'Raw Data'!$G:$G,'Raw Data'!AC:AC),"")</f>
        <v/>
      </c>
      <c r="Z329" s="143" t="str">
        <f>IFERROR(_xlfn.XLOOKUP($A329,'Raw Data'!$G:$G,'Raw Data'!AD:AD),"")</f>
        <v/>
      </c>
      <c r="AA329" s="143" t="str">
        <f>IFERROR(_xlfn.XLOOKUP($A329,'Raw Data'!$G:$G,'Raw Data'!AE:AE)*(1+(_xlfn.XLOOKUP(Table13[[#This Row],[Month Year]],JMR!$A:$A,JMR!$J:$J))),"")</f>
        <v/>
      </c>
      <c r="AB329" s="143" t="str">
        <f>IFERROR(_xlfn.XLOOKUP($A329,'Raw Data'!$G:$G,'Raw Data'!$H:$H),"")</f>
        <v/>
      </c>
      <c r="AC329" s="149">
        <f>IFERROR(_xlfn.XLOOKUP($D329,'Modelling New'!$D:$D,'Modelling New'!$P:$P),"")</f>
        <v>6.9010874285714294</v>
      </c>
      <c r="AD329" s="143">
        <f>IFERROR(_xlfn.XLOOKUP($D329,'Modelling New'!$D:$D,'Modelling New'!$T:$T)*1000,"")</f>
        <v>57320.026734881634</v>
      </c>
      <c r="AE329" s="148">
        <f>IFERROR(_xlfn.XLOOKUP($D329,'Modelling New'!$D:$D,'Modelling New'!$O:$O),"")</f>
        <v>0.70869805877547398</v>
      </c>
      <c r="AF329" s="148">
        <f>IFERROR(_xlfn.XLOOKUP($D329,'Modelling New'!$D:$D,'Modelling New'!$W:$W),"")</f>
        <v>0.20378280266951659</v>
      </c>
      <c r="AG329" s="148">
        <f>IFERROR(_xlfn.XLOOKUP($D329,'Modelling New'!$D:$D,'Modelling New'!AE:AE),"")</f>
        <v>0.995</v>
      </c>
      <c r="AH329" s="148">
        <f>IFERROR(_xlfn.XLOOKUP($D329,'Modelling New'!$D:$D,'Modelling New'!AF:AF),"")</f>
        <v>0.98550000000000004</v>
      </c>
      <c r="AN329" s="145"/>
      <c r="AO329" s="148"/>
      <c r="AP329" s="148"/>
      <c r="AQ329" s="148"/>
      <c r="AR329" s="143">
        <f>IFERROR(_xlfn.XLOOKUP($D329,'Modelling New'!$D:$D,'Modelling New'!$N:$N),"")</f>
        <v>11.72</v>
      </c>
      <c r="AT329" s="143" t="str">
        <f>IFERROR(_xlfn.XLOOKUP(Table13[[#This Row],[Date]],'Raw Data'!$G:$G,'Raw Data'!$AJ:$AJ),"")</f>
        <v/>
      </c>
      <c r="AU329" s="143">
        <f>IFERROR(_xlfn.XLOOKUP(Table13[[#This Row],[Month Year]],'Modelling New'!$D:$D,'Modelling New'!$AO:$AO),"")</f>
        <v>10</v>
      </c>
      <c r="AV329" s="143"/>
    </row>
    <row r="330" spans="1:48">
      <c r="A330" s="142">
        <f t="shared" si="24"/>
        <v>46073</v>
      </c>
      <c r="B330" s="143">
        <f>YEAR(Table13[[#This Row],[Date]])+IF(MONTH(Table13[[#This Row],[Date]])&gt;=4,1,0)</f>
        <v>2026</v>
      </c>
      <c r="C330" s="116">
        <f>YEAR(Table13[[#This Row],[Date]])</f>
        <v>2026</v>
      </c>
      <c r="D330" s="144">
        <f>Table13[[#This Row],[Date]]-DAY(Table13[[#This Row],[Date]])+1</f>
        <v>46054</v>
      </c>
      <c r="E330" s="116">
        <f t="shared" si="21"/>
        <v>28</v>
      </c>
      <c r="F330" s="117" t="str">
        <f>IFERROR(_xlfn.XLOOKUP($A330,'Raw Data'!$G:$G,'Raw Data'!$AH:$AH),"")</f>
        <v/>
      </c>
      <c r="G330" s="118" t="str">
        <f>IFERROR(_xlfn.XLOOKUP($A330,'Raw Data'!$G:$G,'Raw Data'!$S:$S)/1000,"")</f>
        <v/>
      </c>
      <c r="H330" s="118"/>
      <c r="I330" s="118" t="str">
        <f>IFERROR(_xlfn.XLOOKUP($A330,'Raw Data'!$G:$G,'Raw Data'!$AF:$AF)/1000,"")</f>
        <v/>
      </c>
      <c r="J330" s="118"/>
      <c r="K330" s="118" t="str">
        <f>IFERROR(_xlfn.XLOOKUP($A330,'Raw Data'!$G:$G,'Raw Data'!W:W),"")</f>
        <v/>
      </c>
      <c r="L330" s="118" t="str">
        <f>IFERROR(_xlfn.XLOOKUP($A330,'Raw Data'!$G:$G,'Raw Data'!X:X),"")</f>
        <v/>
      </c>
      <c r="M330" s="118" t="str">
        <f>IFERROR(_xlfn.XLOOKUP($A330,'Raw Data'!$G:$G,'Raw Data'!Y:Y),"")</f>
        <v/>
      </c>
      <c r="N330" s="118" t="str">
        <f>IFERROR(_xlfn.XLOOKUP($A330,'Raw Data'!$G:$G,'Raw Data'!Z:Z),"")</f>
        <v/>
      </c>
      <c r="O330" s="145" t="str">
        <f>IFERROR(1-SUMIF('Plant BD'!$B:$B,$A330,'Plant BD'!$AM:$AM)/($AA330+SUMIF('Plant BD'!$B:$B,$A330,'Plant BD'!$AM:$AM)),"")</f>
        <v/>
      </c>
      <c r="P330" s="145"/>
      <c r="Q330" s="146"/>
      <c r="R330" s="145" t="str">
        <f>IFERROR(1-SUMIF('Grid BD'!$B:$B,$A330,'Grid BD'!$AE:$AE)/($AA330+SUMIF('Grid BD'!$B:$B,$A330,'Grid BD'!$AE:$AE)),"")</f>
        <v/>
      </c>
      <c r="T330" s="146" t="str">
        <f>IFERROR(1-SUMIF(Tracker_BD!$H:$H,$A330,Tracker_BD!AI:AI)/$F330,"")</f>
        <v/>
      </c>
      <c r="U330" s="147" t="str">
        <f t="shared" si="22"/>
        <v/>
      </c>
      <c r="V330" s="147"/>
      <c r="W330" s="148" t="str">
        <f t="shared" si="23"/>
        <v/>
      </c>
      <c r="X330" s="143" t="str">
        <f>IFERROR(_xlfn.XLOOKUP($A330,'Raw Data'!$G:$G,'Raw Data'!$AB:$AB),"")</f>
        <v/>
      </c>
      <c r="Y330" s="143" t="str">
        <f>IFERROR(_xlfn.XLOOKUP($A330,'Raw Data'!$G:$G,'Raw Data'!AC:AC),"")</f>
        <v/>
      </c>
      <c r="Z330" s="143" t="str">
        <f>IFERROR(_xlfn.XLOOKUP($A330,'Raw Data'!$G:$G,'Raw Data'!AD:AD),"")</f>
        <v/>
      </c>
      <c r="AA330" s="143" t="str">
        <f>IFERROR(_xlfn.XLOOKUP($A330,'Raw Data'!$G:$G,'Raw Data'!AE:AE)*(1+(_xlfn.XLOOKUP(Table13[[#This Row],[Month Year]],JMR!$A:$A,JMR!$J:$J))),"")</f>
        <v/>
      </c>
      <c r="AB330" s="143" t="str">
        <f>IFERROR(_xlfn.XLOOKUP($A330,'Raw Data'!$G:$G,'Raw Data'!$H:$H),"")</f>
        <v/>
      </c>
      <c r="AC330" s="149">
        <f>IFERROR(_xlfn.XLOOKUP($D330,'Modelling New'!$D:$D,'Modelling New'!$P:$P),"")</f>
        <v>6.9010874285714294</v>
      </c>
      <c r="AD330" s="143">
        <f>IFERROR(_xlfn.XLOOKUP($D330,'Modelling New'!$D:$D,'Modelling New'!$T:$T)*1000,"")</f>
        <v>57320.026734881634</v>
      </c>
      <c r="AE330" s="148">
        <f>IFERROR(_xlfn.XLOOKUP($D330,'Modelling New'!$D:$D,'Modelling New'!$O:$O),"")</f>
        <v>0.70869805877547398</v>
      </c>
      <c r="AF330" s="148">
        <f>IFERROR(_xlfn.XLOOKUP($D330,'Modelling New'!$D:$D,'Modelling New'!$W:$W),"")</f>
        <v>0.20378280266951659</v>
      </c>
      <c r="AG330" s="148">
        <f>IFERROR(_xlfn.XLOOKUP($D330,'Modelling New'!$D:$D,'Modelling New'!AE:AE),"")</f>
        <v>0.995</v>
      </c>
      <c r="AH330" s="148">
        <f>IFERROR(_xlfn.XLOOKUP($D330,'Modelling New'!$D:$D,'Modelling New'!AF:AF),"")</f>
        <v>0.98550000000000004</v>
      </c>
      <c r="AN330" s="145"/>
      <c r="AO330" s="148"/>
      <c r="AP330" s="148"/>
      <c r="AQ330" s="148"/>
      <c r="AR330" s="143">
        <f>IFERROR(_xlfn.XLOOKUP($D330,'Modelling New'!$D:$D,'Modelling New'!$N:$N),"")</f>
        <v>11.72</v>
      </c>
      <c r="AT330" s="143" t="str">
        <f>IFERROR(_xlfn.XLOOKUP(Table13[[#This Row],[Date]],'Raw Data'!$G:$G,'Raw Data'!$AJ:$AJ),"")</f>
        <v/>
      </c>
      <c r="AU330" s="143">
        <f>IFERROR(_xlfn.XLOOKUP(Table13[[#This Row],[Month Year]],'Modelling New'!$D:$D,'Modelling New'!$AO:$AO),"")</f>
        <v>10</v>
      </c>
      <c r="AV330" s="143"/>
    </row>
    <row r="331" spans="1:48">
      <c r="A331" s="142">
        <f t="shared" si="24"/>
        <v>46074</v>
      </c>
      <c r="B331" s="143">
        <f>YEAR(Table13[[#This Row],[Date]])+IF(MONTH(Table13[[#This Row],[Date]])&gt;=4,1,0)</f>
        <v>2026</v>
      </c>
      <c r="C331" s="116">
        <f>YEAR(Table13[[#This Row],[Date]])</f>
        <v>2026</v>
      </c>
      <c r="D331" s="144">
        <f>Table13[[#This Row],[Date]]-DAY(Table13[[#This Row],[Date]])+1</f>
        <v>46054</v>
      </c>
      <c r="E331" s="116">
        <f t="shared" si="21"/>
        <v>28</v>
      </c>
      <c r="F331" s="117" t="str">
        <f>IFERROR(_xlfn.XLOOKUP($A331,'Raw Data'!$G:$G,'Raw Data'!$AH:$AH),"")</f>
        <v/>
      </c>
      <c r="G331" s="118" t="str">
        <f>IFERROR(_xlfn.XLOOKUP($A331,'Raw Data'!$G:$G,'Raw Data'!$S:$S)/1000,"")</f>
        <v/>
      </c>
      <c r="H331" s="118"/>
      <c r="I331" s="118" t="str">
        <f>IFERROR(_xlfn.XLOOKUP($A331,'Raw Data'!$G:$G,'Raw Data'!$AF:$AF)/1000,"")</f>
        <v/>
      </c>
      <c r="J331" s="118"/>
      <c r="K331" s="118" t="str">
        <f>IFERROR(_xlfn.XLOOKUP($A331,'Raw Data'!$G:$G,'Raw Data'!W:W),"")</f>
        <v/>
      </c>
      <c r="L331" s="118" t="str">
        <f>IFERROR(_xlfn.XLOOKUP($A331,'Raw Data'!$G:$G,'Raw Data'!X:X),"")</f>
        <v/>
      </c>
      <c r="M331" s="118" t="str">
        <f>IFERROR(_xlfn.XLOOKUP($A331,'Raw Data'!$G:$G,'Raw Data'!Y:Y),"")</f>
        <v/>
      </c>
      <c r="N331" s="118" t="str">
        <f>IFERROR(_xlfn.XLOOKUP($A331,'Raw Data'!$G:$G,'Raw Data'!Z:Z),"")</f>
        <v/>
      </c>
      <c r="O331" s="145" t="str">
        <f>IFERROR(1-SUMIF('Plant BD'!$B:$B,$A331,'Plant BD'!$AM:$AM)/($AA331+SUMIF('Plant BD'!$B:$B,$A331,'Plant BD'!$AM:$AM)),"")</f>
        <v/>
      </c>
      <c r="P331" s="145"/>
      <c r="Q331" s="146"/>
      <c r="R331" s="145" t="str">
        <f>IFERROR(1-SUMIF('Grid BD'!$B:$B,$A331,'Grid BD'!$AE:$AE)/($AA331+SUMIF('Grid BD'!$B:$B,$A331,'Grid BD'!$AE:$AE)),"")</f>
        <v/>
      </c>
      <c r="T331" s="146" t="str">
        <f>IFERROR(1-SUMIF(Tracker_BD!$H:$H,$A331,Tracker_BD!AI:AI)/$F331,"")</f>
        <v/>
      </c>
      <c r="U331" s="147" t="str">
        <f t="shared" si="22"/>
        <v/>
      </c>
      <c r="V331" s="147"/>
      <c r="W331" s="148" t="str">
        <f t="shared" si="23"/>
        <v/>
      </c>
      <c r="X331" s="143" t="str">
        <f>IFERROR(_xlfn.XLOOKUP($A331,'Raw Data'!$G:$G,'Raw Data'!$AB:$AB),"")</f>
        <v/>
      </c>
      <c r="Y331" s="143" t="str">
        <f>IFERROR(_xlfn.XLOOKUP($A331,'Raw Data'!$G:$G,'Raw Data'!AC:AC),"")</f>
        <v/>
      </c>
      <c r="Z331" s="143" t="str">
        <f>IFERROR(_xlfn.XLOOKUP($A331,'Raw Data'!$G:$G,'Raw Data'!AD:AD),"")</f>
        <v/>
      </c>
      <c r="AA331" s="143" t="str">
        <f>IFERROR(_xlfn.XLOOKUP($A331,'Raw Data'!$G:$G,'Raw Data'!AE:AE)*(1+(_xlfn.XLOOKUP(Table13[[#This Row],[Month Year]],JMR!$A:$A,JMR!$J:$J))),"")</f>
        <v/>
      </c>
      <c r="AB331" s="143" t="str">
        <f>IFERROR(_xlfn.XLOOKUP($A331,'Raw Data'!$G:$G,'Raw Data'!$H:$H),"")</f>
        <v/>
      </c>
      <c r="AC331" s="149">
        <f>IFERROR(_xlfn.XLOOKUP($D331,'Modelling New'!$D:$D,'Modelling New'!$P:$P),"")</f>
        <v>6.9010874285714294</v>
      </c>
      <c r="AD331" s="143">
        <f>IFERROR(_xlfn.XLOOKUP($D331,'Modelling New'!$D:$D,'Modelling New'!$T:$T)*1000,"")</f>
        <v>57320.026734881634</v>
      </c>
      <c r="AE331" s="148">
        <f>IFERROR(_xlfn.XLOOKUP($D331,'Modelling New'!$D:$D,'Modelling New'!$O:$O),"")</f>
        <v>0.70869805877547398</v>
      </c>
      <c r="AF331" s="148">
        <f>IFERROR(_xlfn.XLOOKUP($D331,'Modelling New'!$D:$D,'Modelling New'!$W:$W),"")</f>
        <v>0.20378280266951659</v>
      </c>
      <c r="AG331" s="148">
        <f>IFERROR(_xlfn.XLOOKUP($D331,'Modelling New'!$D:$D,'Modelling New'!AE:AE),"")</f>
        <v>0.995</v>
      </c>
      <c r="AH331" s="148">
        <f>IFERROR(_xlfn.XLOOKUP($D331,'Modelling New'!$D:$D,'Modelling New'!AF:AF),"")</f>
        <v>0.98550000000000004</v>
      </c>
      <c r="AN331" s="145"/>
      <c r="AO331" s="148"/>
      <c r="AP331" s="148"/>
      <c r="AQ331" s="148"/>
      <c r="AR331" s="143">
        <f>IFERROR(_xlfn.XLOOKUP($D331,'Modelling New'!$D:$D,'Modelling New'!$N:$N),"")</f>
        <v>11.72</v>
      </c>
      <c r="AT331" s="143" t="str">
        <f>IFERROR(_xlfn.XLOOKUP(Table13[[#This Row],[Date]],'Raw Data'!$G:$G,'Raw Data'!$AJ:$AJ),"")</f>
        <v/>
      </c>
      <c r="AU331" s="143">
        <f>IFERROR(_xlfn.XLOOKUP(Table13[[#This Row],[Month Year]],'Modelling New'!$D:$D,'Modelling New'!$AO:$AO),"")</f>
        <v>10</v>
      </c>
      <c r="AV331" s="143"/>
    </row>
    <row r="332" spans="1:48">
      <c r="A332" s="142">
        <f t="shared" si="24"/>
        <v>46075</v>
      </c>
      <c r="B332" s="143">
        <f>YEAR(Table13[[#This Row],[Date]])+IF(MONTH(Table13[[#This Row],[Date]])&gt;=4,1,0)</f>
        <v>2026</v>
      </c>
      <c r="C332" s="116">
        <f>YEAR(Table13[[#This Row],[Date]])</f>
        <v>2026</v>
      </c>
      <c r="D332" s="144">
        <f>Table13[[#This Row],[Date]]-DAY(Table13[[#This Row],[Date]])+1</f>
        <v>46054</v>
      </c>
      <c r="E332" s="116">
        <f t="shared" si="21"/>
        <v>28</v>
      </c>
      <c r="F332" s="117" t="str">
        <f>IFERROR(_xlfn.XLOOKUP($A332,'Raw Data'!$G:$G,'Raw Data'!$AH:$AH),"")</f>
        <v/>
      </c>
      <c r="G332" s="118" t="str">
        <f>IFERROR(_xlfn.XLOOKUP($A332,'Raw Data'!$G:$G,'Raw Data'!$S:$S)/1000,"")</f>
        <v/>
      </c>
      <c r="H332" s="118"/>
      <c r="I332" s="118" t="str">
        <f>IFERROR(_xlfn.XLOOKUP($A332,'Raw Data'!$G:$G,'Raw Data'!$AF:$AF)/1000,"")</f>
        <v/>
      </c>
      <c r="J332" s="118"/>
      <c r="K332" s="118" t="str">
        <f>IFERROR(_xlfn.XLOOKUP($A332,'Raw Data'!$G:$G,'Raw Data'!W:W),"")</f>
        <v/>
      </c>
      <c r="L332" s="118" t="str">
        <f>IFERROR(_xlfn.XLOOKUP($A332,'Raw Data'!$G:$G,'Raw Data'!X:X),"")</f>
        <v/>
      </c>
      <c r="M332" s="118" t="str">
        <f>IFERROR(_xlfn.XLOOKUP($A332,'Raw Data'!$G:$G,'Raw Data'!Y:Y),"")</f>
        <v/>
      </c>
      <c r="N332" s="118" t="str">
        <f>IFERROR(_xlfn.XLOOKUP($A332,'Raw Data'!$G:$G,'Raw Data'!Z:Z),"")</f>
        <v/>
      </c>
      <c r="O332" s="145" t="str">
        <f>IFERROR(1-SUMIF('Plant BD'!$B:$B,$A332,'Plant BD'!$AM:$AM)/($AA332+SUMIF('Plant BD'!$B:$B,$A332,'Plant BD'!$AM:$AM)),"")</f>
        <v/>
      </c>
      <c r="P332" s="145"/>
      <c r="Q332" s="146"/>
      <c r="R332" s="145" t="str">
        <f>IFERROR(1-SUMIF('Grid BD'!$B:$B,$A332,'Grid BD'!$AE:$AE)/($AA332+SUMIF('Grid BD'!$B:$B,$A332,'Grid BD'!$AE:$AE)),"")</f>
        <v/>
      </c>
      <c r="T332" s="146" t="str">
        <f>IFERROR(1-SUMIF(Tracker_BD!$H:$H,$A332,Tracker_BD!AI:AI)/$F332,"")</f>
        <v/>
      </c>
      <c r="U332" s="147" t="str">
        <f t="shared" si="22"/>
        <v/>
      </c>
      <c r="V332" s="147"/>
      <c r="W332" s="148" t="str">
        <f t="shared" si="23"/>
        <v/>
      </c>
      <c r="X332" s="143" t="str">
        <f>IFERROR(_xlfn.XLOOKUP($A332,'Raw Data'!$G:$G,'Raw Data'!$AB:$AB),"")</f>
        <v/>
      </c>
      <c r="Y332" s="143" t="str">
        <f>IFERROR(_xlfn.XLOOKUP($A332,'Raw Data'!$G:$G,'Raw Data'!AC:AC),"")</f>
        <v/>
      </c>
      <c r="Z332" s="143" t="str">
        <f>IFERROR(_xlfn.XLOOKUP($A332,'Raw Data'!$G:$G,'Raw Data'!AD:AD),"")</f>
        <v/>
      </c>
      <c r="AA332" s="143" t="str">
        <f>IFERROR(_xlfn.XLOOKUP($A332,'Raw Data'!$G:$G,'Raw Data'!AE:AE)*(1+(_xlfn.XLOOKUP(Table13[[#This Row],[Month Year]],JMR!$A:$A,JMR!$J:$J))),"")</f>
        <v/>
      </c>
      <c r="AB332" s="143" t="str">
        <f>IFERROR(_xlfn.XLOOKUP($A332,'Raw Data'!$G:$G,'Raw Data'!$H:$H),"")</f>
        <v/>
      </c>
      <c r="AC332" s="149">
        <f>IFERROR(_xlfn.XLOOKUP($D332,'Modelling New'!$D:$D,'Modelling New'!$P:$P),"")</f>
        <v>6.9010874285714294</v>
      </c>
      <c r="AD332" s="143">
        <f>IFERROR(_xlfn.XLOOKUP($D332,'Modelling New'!$D:$D,'Modelling New'!$T:$T)*1000,"")</f>
        <v>57320.026734881634</v>
      </c>
      <c r="AE332" s="148">
        <f>IFERROR(_xlfn.XLOOKUP($D332,'Modelling New'!$D:$D,'Modelling New'!$O:$O),"")</f>
        <v>0.70869805877547398</v>
      </c>
      <c r="AF332" s="148">
        <f>IFERROR(_xlfn.XLOOKUP($D332,'Modelling New'!$D:$D,'Modelling New'!$W:$W),"")</f>
        <v>0.20378280266951659</v>
      </c>
      <c r="AG332" s="148">
        <f>IFERROR(_xlfn.XLOOKUP($D332,'Modelling New'!$D:$D,'Modelling New'!AE:AE),"")</f>
        <v>0.995</v>
      </c>
      <c r="AH332" s="148">
        <f>IFERROR(_xlfn.XLOOKUP($D332,'Modelling New'!$D:$D,'Modelling New'!AF:AF),"")</f>
        <v>0.98550000000000004</v>
      </c>
      <c r="AN332" s="145"/>
      <c r="AO332" s="148"/>
      <c r="AP332" s="148"/>
      <c r="AQ332" s="148"/>
      <c r="AR332" s="143">
        <f>IFERROR(_xlfn.XLOOKUP($D332,'Modelling New'!$D:$D,'Modelling New'!$N:$N),"")</f>
        <v>11.72</v>
      </c>
      <c r="AT332" s="143" t="str">
        <f>IFERROR(_xlfn.XLOOKUP(Table13[[#This Row],[Date]],'Raw Data'!$G:$G,'Raw Data'!$AJ:$AJ),"")</f>
        <v/>
      </c>
      <c r="AU332" s="143">
        <f>IFERROR(_xlfn.XLOOKUP(Table13[[#This Row],[Month Year]],'Modelling New'!$D:$D,'Modelling New'!$AO:$AO),"")</f>
        <v>10</v>
      </c>
      <c r="AV332" s="143"/>
    </row>
    <row r="333" spans="1:48">
      <c r="A333" s="142">
        <f t="shared" si="24"/>
        <v>46076</v>
      </c>
      <c r="B333" s="143">
        <f>YEAR(Table13[[#This Row],[Date]])+IF(MONTH(Table13[[#This Row],[Date]])&gt;=4,1,0)</f>
        <v>2026</v>
      </c>
      <c r="C333" s="116">
        <f>YEAR(Table13[[#This Row],[Date]])</f>
        <v>2026</v>
      </c>
      <c r="D333" s="144">
        <f>Table13[[#This Row],[Date]]-DAY(Table13[[#This Row],[Date]])+1</f>
        <v>46054</v>
      </c>
      <c r="E333" s="116">
        <f t="shared" si="21"/>
        <v>28</v>
      </c>
      <c r="F333" s="117" t="str">
        <f>IFERROR(_xlfn.XLOOKUP($A333,'Raw Data'!$G:$G,'Raw Data'!$AH:$AH),"")</f>
        <v/>
      </c>
      <c r="G333" s="118" t="str">
        <f>IFERROR(_xlfn.XLOOKUP($A333,'Raw Data'!$G:$G,'Raw Data'!$S:$S)/1000,"")</f>
        <v/>
      </c>
      <c r="H333" s="118"/>
      <c r="I333" s="118" t="str">
        <f>IFERROR(_xlfn.XLOOKUP($A333,'Raw Data'!$G:$G,'Raw Data'!$AF:$AF)/1000,"")</f>
        <v/>
      </c>
      <c r="J333" s="118"/>
      <c r="K333" s="118" t="str">
        <f>IFERROR(_xlfn.XLOOKUP($A333,'Raw Data'!$G:$G,'Raw Data'!W:W),"")</f>
        <v/>
      </c>
      <c r="L333" s="118" t="str">
        <f>IFERROR(_xlfn.XLOOKUP($A333,'Raw Data'!$G:$G,'Raw Data'!X:X),"")</f>
        <v/>
      </c>
      <c r="M333" s="118" t="str">
        <f>IFERROR(_xlfn.XLOOKUP($A333,'Raw Data'!$G:$G,'Raw Data'!Y:Y),"")</f>
        <v/>
      </c>
      <c r="N333" s="118" t="str">
        <f>IFERROR(_xlfn.XLOOKUP($A333,'Raw Data'!$G:$G,'Raw Data'!Z:Z),"")</f>
        <v/>
      </c>
      <c r="O333" s="145" t="str">
        <f>IFERROR(1-SUMIF('Plant BD'!$B:$B,$A333,'Plant BD'!$AM:$AM)/($AA333+SUMIF('Plant BD'!$B:$B,$A333,'Plant BD'!$AM:$AM)),"")</f>
        <v/>
      </c>
      <c r="P333" s="145"/>
      <c r="Q333" s="146"/>
      <c r="R333" s="145" t="str">
        <f>IFERROR(1-SUMIF('Grid BD'!$B:$B,$A333,'Grid BD'!$AE:$AE)/($AA333+SUMIF('Grid BD'!$B:$B,$A333,'Grid BD'!$AE:$AE)),"")</f>
        <v/>
      </c>
      <c r="T333" s="146" t="str">
        <f>IFERROR(1-SUMIF(Tracker_BD!$H:$H,$A333,Tracker_BD!AI:AI)/$F333,"")</f>
        <v/>
      </c>
      <c r="U333" s="147" t="str">
        <f t="shared" si="22"/>
        <v/>
      </c>
      <c r="V333" s="147"/>
      <c r="W333" s="148" t="str">
        <f t="shared" si="23"/>
        <v/>
      </c>
      <c r="X333" s="143" t="str">
        <f>IFERROR(_xlfn.XLOOKUP($A333,'Raw Data'!$G:$G,'Raw Data'!$AB:$AB),"")</f>
        <v/>
      </c>
      <c r="Y333" s="143" t="str">
        <f>IFERROR(_xlfn.XLOOKUP($A333,'Raw Data'!$G:$G,'Raw Data'!AC:AC),"")</f>
        <v/>
      </c>
      <c r="Z333" s="143" t="str">
        <f>IFERROR(_xlfn.XLOOKUP($A333,'Raw Data'!$G:$G,'Raw Data'!AD:AD),"")</f>
        <v/>
      </c>
      <c r="AA333" s="143" t="str">
        <f>IFERROR(_xlfn.XLOOKUP($A333,'Raw Data'!$G:$G,'Raw Data'!AE:AE)*(1+(_xlfn.XLOOKUP(Table13[[#This Row],[Month Year]],JMR!$A:$A,JMR!$J:$J))),"")</f>
        <v/>
      </c>
      <c r="AB333" s="143" t="str">
        <f>IFERROR(_xlfn.XLOOKUP($A333,'Raw Data'!$G:$G,'Raw Data'!$H:$H),"")</f>
        <v/>
      </c>
      <c r="AC333" s="149">
        <f>IFERROR(_xlfn.XLOOKUP($D333,'Modelling New'!$D:$D,'Modelling New'!$P:$P),"")</f>
        <v>6.9010874285714294</v>
      </c>
      <c r="AD333" s="143">
        <f>IFERROR(_xlfn.XLOOKUP($D333,'Modelling New'!$D:$D,'Modelling New'!$T:$T)*1000,"")</f>
        <v>57320.026734881634</v>
      </c>
      <c r="AE333" s="148">
        <f>IFERROR(_xlfn.XLOOKUP($D333,'Modelling New'!$D:$D,'Modelling New'!$O:$O),"")</f>
        <v>0.70869805877547398</v>
      </c>
      <c r="AF333" s="148">
        <f>IFERROR(_xlfn.XLOOKUP($D333,'Modelling New'!$D:$D,'Modelling New'!$W:$W),"")</f>
        <v>0.20378280266951659</v>
      </c>
      <c r="AG333" s="148">
        <f>IFERROR(_xlfn.XLOOKUP($D333,'Modelling New'!$D:$D,'Modelling New'!AE:AE),"")</f>
        <v>0.995</v>
      </c>
      <c r="AH333" s="148">
        <f>IFERROR(_xlfn.XLOOKUP($D333,'Modelling New'!$D:$D,'Modelling New'!AF:AF),"")</f>
        <v>0.98550000000000004</v>
      </c>
      <c r="AN333" s="145"/>
      <c r="AO333" s="148"/>
      <c r="AP333" s="148"/>
      <c r="AQ333" s="148"/>
      <c r="AR333" s="143">
        <f>IFERROR(_xlfn.XLOOKUP($D333,'Modelling New'!$D:$D,'Modelling New'!$N:$N),"")</f>
        <v>11.72</v>
      </c>
      <c r="AT333" s="143" t="str">
        <f>IFERROR(_xlfn.XLOOKUP(Table13[[#This Row],[Date]],'Raw Data'!$G:$G,'Raw Data'!$AJ:$AJ),"")</f>
        <v/>
      </c>
      <c r="AU333" s="143">
        <f>IFERROR(_xlfn.XLOOKUP(Table13[[#This Row],[Month Year]],'Modelling New'!$D:$D,'Modelling New'!$AO:$AO),"")</f>
        <v>10</v>
      </c>
      <c r="AV333" s="143"/>
    </row>
    <row r="334" spans="1:48">
      <c r="A334" s="142">
        <f t="shared" si="24"/>
        <v>46077</v>
      </c>
      <c r="B334" s="143">
        <f>YEAR(Table13[[#This Row],[Date]])+IF(MONTH(Table13[[#This Row],[Date]])&gt;=4,1,0)</f>
        <v>2026</v>
      </c>
      <c r="C334" s="116">
        <f>YEAR(Table13[[#This Row],[Date]])</f>
        <v>2026</v>
      </c>
      <c r="D334" s="144">
        <f>Table13[[#This Row],[Date]]-DAY(Table13[[#This Row],[Date]])+1</f>
        <v>46054</v>
      </c>
      <c r="E334" s="116">
        <f t="shared" si="21"/>
        <v>28</v>
      </c>
      <c r="F334" s="117" t="str">
        <f>IFERROR(_xlfn.XLOOKUP($A334,'Raw Data'!$G:$G,'Raw Data'!$AH:$AH),"")</f>
        <v/>
      </c>
      <c r="G334" s="118" t="str">
        <f>IFERROR(_xlfn.XLOOKUP($A334,'Raw Data'!$G:$G,'Raw Data'!$S:$S)/1000,"")</f>
        <v/>
      </c>
      <c r="H334" s="118"/>
      <c r="I334" s="118" t="str">
        <f>IFERROR(_xlfn.XLOOKUP($A334,'Raw Data'!$G:$G,'Raw Data'!$AF:$AF)/1000,"")</f>
        <v/>
      </c>
      <c r="J334" s="118"/>
      <c r="K334" s="118" t="str">
        <f>IFERROR(_xlfn.XLOOKUP($A334,'Raw Data'!$G:$G,'Raw Data'!W:W),"")</f>
        <v/>
      </c>
      <c r="L334" s="118" t="str">
        <f>IFERROR(_xlfn.XLOOKUP($A334,'Raw Data'!$G:$G,'Raw Data'!X:X),"")</f>
        <v/>
      </c>
      <c r="M334" s="118" t="str">
        <f>IFERROR(_xlfn.XLOOKUP($A334,'Raw Data'!$G:$G,'Raw Data'!Y:Y),"")</f>
        <v/>
      </c>
      <c r="N334" s="118" t="str">
        <f>IFERROR(_xlfn.XLOOKUP($A334,'Raw Data'!$G:$G,'Raw Data'!Z:Z),"")</f>
        <v/>
      </c>
      <c r="O334" s="145" t="str">
        <f>IFERROR(1-SUMIF('Plant BD'!$B:$B,$A334,'Plant BD'!$AM:$AM)/($AA334+SUMIF('Plant BD'!$B:$B,$A334,'Plant BD'!$AM:$AM)),"")</f>
        <v/>
      </c>
      <c r="P334" s="145"/>
      <c r="Q334" s="146"/>
      <c r="R334" s="145" t="str">
        <f>IFERROR(1-SUMIF('Grid BD'!$B:$B,$A334,'Grid BD'!$AE:$AE)/($AA334+SUMIF('Grid BD'!$B:$B,$A334,'Grid BD'!$AE:$AE)),"")</f>
        <v/>
      </c>
      <c r="T334" s="146" t="str">
        <f>IFERROR(1-SUMIF(Tracker_BD!$H:$H,$A334,Tracker_BD!AI:AI)/$F334,"")</f>
        <v/>
      </c>
      <c r="U334" s="147" t="str">
        <f t="shared" si="22"/>
        <v/>
      </c>
      <c r="V334" s="147"/>
      <c r="W334" s="148" t="str">
        <f t="shared" si="23"/>
        <v/>
      </c>
      <c r="X334" s="143" t="str">
        <f>IFERROR(_xlfn.XLOOKUP($A334,'Raw Data'!$G:$G,'Raw Data'!$AB:$AB),"")</f>
        <v/>
      </c>
      <c r="Y334" s="143" t="str">
        <f>IFERROR(_xlfn.XLOOKUP($A334,'Raw Data'!$G:$G,'Raw Data'!AC:AC),"")</f>
        <v/>
      </c>
      <c r="Z334" s="143" t="str">
        <f>IFERROR(_xlfn.XLOOKUP($A334,'Raw Data'!$G:$G,'Raw Data'!AD:AD),"")</f>
        <v/>
      </c>
      <c r="AA334" s="143" t="str">
        <f>IFERROR(_xlfn.XLOOKUP($A334,'Raw Data'!$G:$G,'Raw Data'!AE:AE)*(1+(_xlfn.XLOOKUP(Table13[[#This Row],[Month Year]],JMR!$A:$A,JMR!$J:$J))),"")</f>
        <v/>
      </c>
      <c r="AB334" s="143" t="str">
        <f>IFERROR(_xlfn.XLOOKUP($A334,'Raw Data'!$G:$G,'Raw Data'!$H:$H),"")</f>
        <v/>
      </c>
      <c r="AC334" s="149">
        <f>IFERROR(_xlfn.XLOOKUP($D334,'Modelling New'!$D:$D,'Modelling New'!$P:$P),"")</f>
        <v>6.9010874285714294</v>
      </c>
      <c r="AD334" s="143">
        <f>IFERROR(_xlfn.XLOOKUP($D334,'Modelling New'!$D:$D,'Modelling New'!$T:$T)*1000,"")</f>
        <v>57320.026734881634</v>
      </c>
      <c r="AE334" s="148">
        <f>IFERROR(_xlfn.XLOOKUP($D334,'Modelling New'!$D:$D,'Modelling New'!$O:$O),"")</f>
        <v>0.70869805877547398</v>
      </c>
      <c r="AF334" s="148">
        <f>IFERROR(_xlfn.XLOOKUP($D334,'Modelling New'!$D:$D,'Modelling New'!$W:$W),"")</f>
        <v>0.20378280266951659</v>
      </c>
      <c r="AG334" s="148">
        <f>IFERROR(_xlfn.XLOOKUP($D334,'Modelling New'!$D:$D,'Modelling New'!AE:AE),"")</f>
        <v>0.995</v>
      </c>
      <c r="AH334" s="148">
        <f>IFERROR(_xlfn.XLOOKUP($D334,'Modelling New'!$D:$D,'Modelling New'!AF:AF),"")</f>
        <v>0.98550000000000004</v>
      </c>
      <c r="AN334" s="145"/>
      <c r="AO334" s="148"/>
      <c r="AP334" s="148"/>
      <c r="AQ334" s="148"/>
      <c r="AR334" s="143">
        <f>IFERROR(_xlfn.XLOOKUP($D334,'Modelling New'!$D:$D,'Modelling New'!$N:$N),"")</f>
        <v>11.72</v>
      </c>
      <c r="AT334" s="143" t="str">
        <f>IFERROR(_xlfn.XLOOKUP(Table13[[#This Row],[Date]],'Raw Data'!$G:$G,'Raw Data'!$AJ:$AJ),"")</f>
        <v/>
      </c>
      <c r="AU334" s="143">
        <f>IFERROR(_xlfn.XLOOKUP(Table13[[#This Row],[Month Year]],'Modelling New'!$D:$D,'Modelling New'!$AO:$AO),"")</f>
        <v>10</v>
      </c>
      <c r="AV334" s="143"/>
    </row>
    <row r="335" spans="1:48">
      <c r="A335" s="142">
        <f t="shared" si="24"/>
        <v>46078</v>
      </c>
      <c r="B335" s="143">
        <f>YEAR(Table13[[#This Row],[Date]])+IF(MONTH(Table13[[#This Row],[Date]])&gt;=4,1,0)</f>
        <v>2026</v>
      </c>
      <c r="C335" s="116">
        <f>YEAR(Table13[[#This Row],[Date]])</f>
        <v>2026</v>
      </c>
      <c r="D335" s="144">
        <f>Table13[[#This Row],[Date]]-DAY(Table13[[#This Row],[Date]])+1</f>
        <v>46054</v>
      </c>
      <c r="E335" s="116">
        <f t="shared" si="21"/>
        <v>28</v>
      </c>
      <c r="F335" s="117" t="str">
        <f>IFERROR(_xlfn.XLOOKUP($A335,'Raw Data'!$G:$G,'Raw Data'!$AH:$AH),"")</f>
        <v/>
      </c>
      <c r="G335" s="118" t="str">
        <f>IFERROR(_xlfn.XLOOKUP($A335,'Raw Data'!$G:$G,'Raw Data'!$S:$S)/1000,"")</f>
        <v/>
      </c>
      <c r="H335" s="118"/>
      <c r="I335" s="118" t="str">
        <f>IFERROR(_xlfn.XLOOKUP($A335,'Raw Data'!$G:$G,'Raw Data'!$AF:$AF)/1000,"")</f>
        <v/>
      </c>
      <c r="J335" s="118"/>
      <c r="K335" s="118" t="str">
        <f>IFERROR(_xlfn.XLOOKUP($A335,'Raw Data'!$G:$G,'Raw Data'!W:W),"")</f>
        <v/>
      </c>
      <c r="L335" s="118" t="str">
        <f>IFERROR(_xlfn.XLOOKUP($A335,'Raw Data'!$G:$G,'Raw Data'!X:X),"")</f>
        <v/>
      </c>
      <c r="M335" s="118" t="str">
        <f>IFERROR(_xlfn.XLOOKUP($A335,'Raw Data'!$G:$G,'Raw Data'!Y:Y),"")</f>
        <v/>
      </c>
      <c r="N335" s="118" t="str">
        <f>IFERROR(_xlfn.XLOOKUP($A335,'Raw Data'!$G:$G,'Raw Data'!Z:Z),"")</f>
        <v/>
      </c>
      <c r="O335" s="145" t="str">
        <f>IFERROR(1-SUMIF('Plant BD'!$B:$B,$A335,'Plant BD'!$AM:$AM)/($AA335+SUMIF('Plant BD'!$B:$B,$A335,'Plant BD'!$AM:$AM)),"")</f>
        <v/>
      </c>
      <c r="P335" s="145"/>
      <c r="Q335" s="146"/>
      <c r="R335" s="145" t="str">
        <f>IFERROR(1-SUMIF('Grid BD'!$B:$B,$A335,'Grid BD'!$AE:$AE)/($AA335+SUMIF('Grid BD'!$B:$B,$A335,'Grid BD'!$AE:$AE)),"")</f>
        <v/>
      </c>
      <c r="T335" s="146" t="str">
        <f>IFERROR(1-SUMIF(Tracker_BD!$H:$H,$A335,Tracker_BD!AI:AI)/$F335,"")</f>
        <v/>
      </c>
      <c r="U335" s="147" t="str">
        <f t="shared" si="22"/>
        <v/>
      </c>
      <c r="V335" s="147"/>
      <c r="W335" s="148" t="str">
        <f t="shared" si="23"/>
        <v/>
      </c>
      <c r="X335" s="143" t="str">
        <f>IFERROR(_xlfn.XLOOKUP($A335,'Raw Data'!$G:$G,'Raw Data'!$AB:$AB),"")</f>
        <v/>
      </c>
      <c r="Y335" s="143" t="str">
        <f>IFERROR(_xlfn.XLOOKUP($A335,'Raw Data'!$G:$G,'Raw Data'!AC:AC),"")</f>
        <v/>
      </c>
      <c r="Z335" s="143" t="str">
        <f>IFERROR(_xlfn.XLOOKUP($A335,'Raw Data'!$G:$G,'Raw Data'!AD:AD),"")</f>
        <v/>
      </c>
      <c r="AA335" s="143" t="str">
        <f>IFERROR(_xlfn.XLOOKUP($A335,'Raw Data'!$G:$G,'Raw Data'!AE:AE)*(1+(_xlfn.XLOOKUP(Table13[[#This Row],[Month Year]],JMR!$A:$A,JMR!$J:$J))),"")</f>
        <v/>
      </c>
      <c r="AB335" s="143" t="str">
        <f>IFERROR(_xlfn.XLOOKUP($A335,'Raw Data'!$G:$G,'Raw Data'!$H:$H),"")</f>
        <v/>
      </c>
      <c r="AC335" s="149">
        <f>IFERROR(_xlfn.XLOOKUP($D335,'Modelling New'!$D:$D,'Modelling New'!$P:$P),"")</f>
        <v>6.9010874285714294</v>
      </c>
      <c r="AD335" s="143">
        <f>IFERROR(_xlfn.XLOOKUP($D335,'Modelling New'!$D:$D,'Modelling New'!$T:$T)*1000,"")</f>
        <v>57320.026734881634</v>
      </c>
      <c r="AE335" s="148">
        <f>IFERROR(_xlfn.XLOOKUP($D335,'Modelling New'!$D:$D,'Modelling New'!$O:$O),"")</f>
        <v>0.70869805877547398</v>
      </c>
      <c r="AF335" s="148">
        <f>IFERROR(_xlfn.XLOOKUP($D335,'Modelling New'!$D:$D,'Modelling New'!$W:$W),"")</f>
        <v>0.20378280266951659</v>
      </c>
      <c r="AG335" s="148">
        <f>IFERROR(_xlfn.XLOOKUP($D335,'Modelling New'!$D:$D,'Modelling New'!AE:AE),"")</f>
        <v>0.995</v>
      </c>
      <c r="AH335" s="148">
        <f>IFERROR(_xlfn.XLOOKUP($D335,'Modelling New'!$D:$D,'Modelling New'!AF:AF),"")</f>
        <v>0.98550000000000004</v>
      </c>
      <c r="AN335" s="145"/>
      <c r="AO335" s="148"/>
      <c r="AP335" s="148"/>
      <c r="AQ335" s="148"/>
      <c r="AR335" s="143">
        <f>IFERROR(_xlfn.XLOOKUP($D335,'Modelling New'!$D:$D,'Modelling New'!$N:$N),"")</f>
        <v>11.72</v>
      </c>
      <c r="AT335" s="143" t="str">
        <f>IFERROR(_xlfn.XLOOKUP(Table13[[#This Row],[Date]],'Raw Data'!$G:$G,'Raw Data'!$AJ:$AJ),"")</f>
        <v/>
      </c>
      <c r="AU335" s="143">
        <f>IFERROR(_xlfn.XLOOKUP(Table13[[#This Row],[Month Year]],'Modelling New'!$D:$D,'Modelling New'!$AO:$AO),"")</f>
        <v>10</v>
      </c>
      <c r="AV335" s="143"/>
    </row>
    <row r="336" spans="1:48">
      <c r="A336" s="142">
        <f t="shared" si="24"/>
        <v>46079</v>
      </c>
      <c r="B336" s="143">
        <f>YEAR(Table13[[#This Row],[Date]])+IF(MONTH(Table13[[#This Row],[Date]])&gt;=4,1,0)</f>
        <v>2026</v>
      </c>
      <c r="C336" s="116">
        <f>YEAR(Table13[[#This Row],[Date]])</f>
        <v>2026</v>
      </c>
      <c r="D336" s="144">
        <f>Table13[[#This Row],[Date]]-DAY(Table13[[#This Row],[Date]])+1</f>
        <v>46054</v>
      </c>
      <c r="E336" s="116">
        <f t="shared" si="21"/>
        <v>28</v>
      </c>
      <c r="F336" s="117" t="str">
        <f>IFERROR(_xlfn.XLOOKUP($A336,'Raw Data'!$G:$G,'Raw Data'!$AH:$AH),"")</f>
        <v/>
      </c>
      <c r="G336" s="118" t="str">
        <f>IFERROR(_xlfn.XLOOKUP($A336,'Raw Data'!$G:$G,'Raw Data'!$S:$S)/1000,"")</f>
        <v/>
      </c>
      <c r="H336" s="118"/>
      <c r="I336" s="118" t="str">
        <f>IFERROR(_xlfn.XLOOKUP($A336,'Raw Data'!$G:$G,'Raw Data'!$AF:$AF)/1000,"")</f>
        <v/>
      </c>
      <c r="J336" s="118"/>
      <c r="K336" s="118" t="str">
        <f>IFERROR(_xlfn.XLOOKUP($A336,'Raw Data'!$G:$G,'Raw Data'!W:W),"")</f>
        <v/>
      </c>
      <c r="L336" s="118" t="str">
        <f>IFERROR(_xlfn.XLOOKUP($A336,'Raw Data'!$G:$G,'Raw Data'!X:X),"")</f>
        <v/>
      </c>
      <c r="M336" s="118" t="str">
        <f>IFERROR(_xlfn.XLOOKUP($A336,'Raw Data'!$G:$G,'Raw Data'!Y:Y),"")</f>
        <v/>
      </c>
      <c r="N336" s="118" t="str">
        <f>IFERROR(_xlfn.XLOOKUP($A336,'Raw Data'!$G:$G,'Raw Data'!Z:Z),"")</f>
        <v/>
      </c>
      <c r="O336" s="145" t="str">
        <f>IFERROR(1-SUMIF('Plant BD'!$B:$B,$A336,'Plant BD'!$AM:$AM)/($AA336+SUMIF('Plant BD'!$B:$B,$A336,'Plant BD'!$AM:$AM)),"")</f>
        <v/>
      </c>
      <c r="P336" s="145"/>
      <c r="Q336" s="146"/>
      <c r="R336" s="145" t="str">
        <f>IFERROR(1-SUMIF('Grid BD'!$B:$B,$A336,'Grid BD'!$AE:$AE)/($AA336+SUMIF('Grid BD'!$B:$B,$A336,'Grid BD'!$AE:$AE)),"")</f>
        <v/>
      </c>
      <c r="T336" s="146" t="str">
        <f>IFERROR(1-SUMIF(Tracker_BD!$H:$H,$A336,Tracker_BD!AI:AI)/$F336,"")</f>
        <v/>
      </c>
      <c r="U336" s="147" t="str">
        <f t="shared" si="22"/>
        <v/>
      </c>
      <c r="V336" s="147"/>
      <c r="W336" s="148" t="str">
        <f t="shared" si="23"/>
        <v/>
      </c>
      <c r="X336" s="143" t="str">
        <f>IFERROR(_xlfn.XLOOKUP($A336,'Raw Data'!$G:$G,'Raw Data'!$AB:$AB),"")</f>
        <v/>
      </c>
      <c r="Y336" s="143" t="str">
        <f>IFERROR(_xlfn.XLOOKUP($A336,'Raw Data'!$G:$G,'Raw Data'!AC:AC),"")</f>
        <v/>
      </c>
      <c r="Z336" s="143" t="str">
        <f>IFERROR(_xlfn.XLOOKUP($A336,'Raw Data'!$G:$G,'Raw Data'!AD:AD),"")</f>
        <v/>
      </c>
      <c r="AA336" s="143" t="str">
        <f>IFERROR(_xlfn.XLOOKUP($A336,'Raw Data'!$G:$G,'Raw Data'!AE:AE)*(1+(_xlfn.XLOOKUP(Table13[[#This Row],[Month Year]],JMR!$A:$A,JMR!$J:$J))),"")</f>
        <v/>
      </c>
      <c r="AB336" s="143" t="str">
        <f>IFERROR(_xlfn.XLOOKUP($A336,'Raw Data'!$G:$G,'Raw Data'!$H:$H),"")</f>
        <v/>
      </c>
      <c r="AC336" s="149">
        <f>IFERROR(_xlfn.XLOOKUP($D336,'Modelling New'!$D:$D,'Modelling New'!$P:$P),"")</f>
        <v>6.9010874285714294</v>
      </c>
      <c r="AD336" s="143">
        <f>IFERROR(_xlfn.XLOOKUP($D336,'Modelling New'!$D:$D,'Modelling New'!$T:$T)*1000,"")</f>
        <v>57320.026734881634</v>
      </c>
      <c r="AE336" s="148">
        <f>IFERROR(_xlfn.XLOOKUP($D336,'Modelling New'!$D:$D,'Modelling New'!$O:$O),"")</f>
        <v>0.70869805877547398</v>
      </c>
      <c r="AF336" s="148">
        <f>IFERROR(_xlfn.XLOOKUP($D336,'Modelling New'!$D:$D,'Modelling New'!$W:$W),"")</f>
        <v>0.20378280266951659</v>
      </c>
      <c r="AG336" s="148">
        <f>IFERROR(_xlfn.XLOOKUP($D336,'Modelling New'!$D:$D,'Modelling New'!AE:AE),"")</f>
        <v>0.995</v>
      </c>
      <c r="AH336" s="148">
        <f>IFERROR(_xlfn.XLOOKUP($D336,'Modelling New'!$D:$D,'Modelling New'!AF:AF),"")</f>
        <v>0.98550000000000004</v>
      </c>
      <c r="AN336" s="145"/>
      <c r="AO336" s="148"/>
      <c r="AP336" s="148"/>
      <c r="AQ336" s="148"/>
      <c r="AR336" s="143">
        <f>IFERROR(_xlfn.XLOOKUP($D336,'Modelling New'!$D:$D,'Modelling New'!$N:$N),"")</f>
        <v>11.72</v>
      </c>
      <c r="AT336" s="143" t="str">
        <f>IFERROR(_xlfn.XLOOKUP(Table13[[#This Row],[Date]],'Raw Data'!$G:$G,'Raw Data'!$AJ:$AJ),"")</f>
        <v/>
      </c>
      <c r="AU336" s="143">
        <f>IFERROR(_xlfn.XLOOKUP(Table13[[#This Row],[Month Year]],'Modelling New'!$D:$D,'Modelling New'!$AO:$AO),"")</f>
        <v>10</v>
      </c>
      <c r="AV336" s="143"/>
    </row>
    <row r="337" spans="1:48">
      <c r="A337" s="142">
        <f t="shared" si="24"/>
        <v>46080</v>
      </c>
      <c r="B337" s="143">
        <f>YEAR(Table13[[#This Row],[Date]])+IF(MONTH(Table13[[#This Row],[Date]])&gt;=4,1,0)</f>
        <v>2026</v>
      </c>
      <c r="C337" s="116">
        <f>YEAR(Table13[[#This Row],[Date]])</f>
        <v>2026</v>
      </c>
      <c r="D337" s="144">
        <f>Table13[[#This Row],[Date]]-DAY(Table13[[#This Row],[Date]])+1</f>
        <v>46054</v>
      </c>
      <c r="E337" s="116">
        <f t="shared" si="21"/>
        <v>28</v>
      </c>
      <c r="F337" s="117" t="str">
        <f>IFERROR(_xlfn.XLOOKUP($A337,'Raw Data'!$G:$G,'Raw Data'!$AH:$AH),"")</f>
        <v/>
      </c>
      <c r="G337" s="118" t="str">
        <f>IFERROR(_xlfn.XLOOKUP($A337,'Raw Data'!$G:$G,'Raw Data'!$S:$S)/1000,"")</f>
        <v/>
      </c>
      <c r="H337" s="118"/>
      <c r="I337" s="118" t="str">
        <f>IFERROR(_xlfn.XLOOKUP($A337,'Raw Data'!$G:$G,'Raw Data'!$AF:$AF)/1000,"")</f>
        <v/>
      </c>
      <c r="J337" s="118"/>
      <c r="K337" s="118" t="str">
        <f>IFERROR(_xlfn.XLOOKUP($A337,'Raw Data'!$G:$G,'Raw Data'!W:W),"")</f>
        <v/>
      </c>
      <c r="L337" s="118" t="str">
        <f>IFERROR(_xlfn.XLOOKUP($A337,'Raw Data'!$G:$G,'Raw Data'!X:X),"")</f>
        <v/>
      </c>
      <c r="M337" s="118" t="str">
        <f>IFERROR(_xlfn.XLOOKUP($A337,'Raw Data'!$G:$G,'Raw Data'!Y:Y),"")</f>
        <v/>
      </c>
      <c r="N337" s="118" t="str">
        <f>IFERROR(_xlfn.XLOOKUP($A337,'Raw Data'!$G:$G,'Raw Data'!Z:Z),"")</f>
        <v/>
      </c>
      <c r="O337" s="145" t="str">
        <f>IFERROR(1-SUMIF('Plant BD'!$B:$B,$A337,'Plant BD'!$AM:$AM)/($AA337+SUMIF('Plant BD'!$B:$B,$A337,'Plant BD'!$AM:$AM)),"")</f>
        <v/>
      </c>
      <c r="P337" s="145"/>
      <c r="Q337" s="146"/>
      <c r="R337" s="145" t="str">
        <f>IFERROR(1-SUMIF('Grid BD'!$B:$B,$A337,'Grid BD'!$AE:$AE)/($AA337+SUMIF('Grid BD'!$B:$B,$A337,'Grid BD'!$AE:$AE)),"")</f>
        <v/>
      </c>
      <c r="T337" s="146" t="str">
        <f>IFERROR(1-SUMIF(Tracker_BD!$H:$H,$A337,Tracker_BD!AI:AI)/$F337,"")</f>
        <v/>
      </c>
      <c r="U337" s="147" t="str">
        <f t="shared" si="22"/>
        <v/>
      </c>
      <c r="V337" s="147"/>
      <c r="W337" s="148" t="str">
        <f t="shared" si="23"/>
        <v/>
      </c>
      <c r="X337" s="143" t="str">
        <f>IFERROR(_xlfn.XLOOKUP($A337,'Raw Data'!$G:$G,'Raw Data'!$AB:$AB),"")</f>
        <v/>
      </c>
      <c r="Y337" s="143" t="str">
        <f>IFERROR(_xlfn.XLOOKUP($A337,'Raw Data'!$G:$G,'Raw Data'!AC:AC),"")</f>
        <v/>
      </c>
      <c r="Z337" s="143" t="str">
        <f>IFERROR(_xlfn.XLOOKUP($A337,'Raw Data'!$G:$G,'Raw Data'!AD:AD),"")</f>
        <v/>
      </c>
      <c r="AA337" s="143" t="str">
        <f>IFERROR(_xlfn.XLOOKUP($A337,'Raw Data'!$G:$G,'Raw Data'!AE:AE)*(1+(_xlfn.XLOOKUP(Table13[[#This Row],[Month Year]],JMR!$A:$A,JMR!$J:$J))),"")</f>
        <v/>
      </c>
      <c r="AB337" s="143" t="str">
        <f>IFERROR(_xlfn.XLOOKUP($A337,'Raw Data'!$G:$G,'Raw Data'!$H:$H),"")</f>
        <v/>
      </c>
      <c r="AC337" s="149">
        <f>IFERROR(_xlfn.XLOOKUP($D337,'Modelling New'!$D:$D,'Modelling New'!$P:$P),"")</f>
        <v>6.9010874285714294</v>
      </c>
      <c r="AD337" s="143">
        <f>IFERROR(_xlfn.XLOOKUP($D337,'Modelling New'!$D:$D,'Modelling New'!$T:$T)*1000,"")</f>
        <v>57320.026734881634</v>
      </c>
      <c r="AE337" s="148">
        <f>IFERROR(_xlfn.XLOOKUP($D337,'Modelling New'!$D:$D,'Modelling New'!$O:$O),"")</f>
        <v>0.70869805877547398</v>
      </c>
      <c r="AF337" s="148">
        <f>IFERROR(_xlfn.XLOOKUP($D337,'Modelling New'!$D:$D,'Modelling New'!$W:$W),"")</f>
        <v>0.20378280266951659</v>
      </c>
      <c r="AG337" s="148">
        <f>IFERROR(_xlfn.XLOOKUP($D337,'Modelling New'!$D:$D,'Modelling New'!AE:AE),"")</f>
        <v>0.995</v>
      </c>
      <c r="AH337" s="148">
        <f>IFERROR(_xlfn.XLOOKUP($D337,'Modelling New'!$D:$D,'Modelling New'!AF:AF),"")</f>
        <v>0.98550000000000004</v>
      </c>
      <c r="AN337" s="145"/>
      <c r="AO337" s="148"/>
      <c r="AP337" s="148"/>
      <c r="AQ337" s="148"/>
      <c r="AR337" s="143">
        <f>IFERROR(_xlfn.XLOOKUP($D337,'Modelling New'!$D:$D,'Modelling New'!$N:$N),"")</f>
        <v>11.72</v>
      </c>
      <c r="AT337" s="143" t="str">
        <f>IFERROR(_xlfn.XLOOKUP(Table13[[#This Row],[Date]],'Raw Data'!$G:$G,'Raw Data'!$AJ:$AJ),"")</f>
        <v/>
      </c>
      <c r="AU337" s="143">
        <f>IFERROR(_xlfn.XLOOKUP(Table13[[#This Row],[Month Year]],'Modelling New'!$D:$D,'Modelling New'!$AO:$AO),"")</f>
        <v>10</v>
      </c>
      <c r="AV337" s="143"/>
    </row>
    <row r="338" spans="1:48">
      <c r="A338" s="142">
        <f t="shared" si="24"/>
        <v>46081</v>
      </c>
      <c r="B338" s="143">
        <f>YEAR(Table13[[#This Row],[Date]])+IF(MONTH(Table13[[#This Row],[Date]])&gt;=4,1,0)</f>
        <v>2026</v>
      </c>
      <c r="C338" s="116">
        <f>YEAR(Table13[[#This Row],[Date]])</f>
        <v>2026</v>
      </c>
      <c r="D338" s="144">
        <f>Table13[[#This Row],[Date]]-DAY(Table13[[#This Row],[Date]])+1</f>
        <v>46054</v>
      </c>
      <c r="E338" s="116">
        <f t="shared" si="21"/>
        <v>28</v>
      </c>
      <c r="F338" s="117" t="str">
        <f>IFERROR(_xlfn.XLOOKUP($A338,'Raw Data'!$G:$G,'Raw Data'!$AH:$AH),"")</f>
        <v/>
      </c>
      <c r="G338" s="118" t="str">
        <f>IFERROR(_xlfn.XLOOKUP($A338,'Raw Data'!$G:$G,'Raw Data'!$S:$S)/1000,"")</f>
        <v/>
      </c>
      <c r="H338" s="118"/>
      <c r="I338" s="118" t="str">
        <f>IFERROR(_xlfn.XLOOKUP($A338,'Raw Data'!$G:$G,'Raw Data'!$AF:$AF)/1000,"")</f>
        <v/>
      </c>
      <c r="J338" s="118"/>
      <c r="K338" s="118" t="str">
        <f>IFERROR(_xlfn.XLOOKUP($A338,'Raw Data'!$G:$G,'Raw Data'!W:W),"")</f>
        <v/>
      </c>
      <c r="L338" s="118" t="str">
        <f>IFERROR(_xlfn.XLOOKUP($A338,'Raw Data'!$G:$G,'Raw Data'!X:X),"")</f>
        <v/>
      </c>
      <c r="M338" s="118" t="str">
        <f>IFERROR(_xlfn.XLOOKUP($A338,'Raw Data'!$G:$G,'Raw Data'!Y:Y),"")</f>
        <v/>
      </c>
      <c r="N338" s="118" t="str">
        <f>IFERROR(_xlfn.XLOOKUP($A338,'Raw Data'!$G:$G,'Raw Data'!Z:Z),"")</f>
        <v/>
      </c>
      <c r="O338" s="145" t="str">
        <f>IFERROR(1-SUMIF('Plant BD'!$B:$B,$A338,'Plant BD'!$AM:$AM)/($AA338+SUMIF('Plant BD'!$B:$B,$A338,'Plant BD'!$AM:$AM)),"")</f>
        <v/>
      </c>
      <c r="P338" s="145"/>
      <c r="Q338" s="146"/>
      <c r="R338" s="145" t="str">
        <f>IFERROR(1-SUMIF('Grid BD'!$B:$B,$A338,'Grid BD'!$AE:$AE)/($AA338+SUMIF('Grid BD'!$B:$B,$A338,'Grid BD'!$AE:$AE)),"")</f>
        <v/>
      </c>
      <c r="T338" s="146" t="str">
        <f>IFERROR(1-SUMIF(Tracker_BD!$H:$H,$A338,Tracker_BD!AI:AI)/$F338,"")</f>
        <v/>
      </c>
      <c r="U338" s="147" t="str">
        <f t="shared" si="22"/>
        <v/>
      </c>
      <c r="V338" s="147"/>
      <c r="W338" s="148" t="str">
        <f t="shared" si="23"/>
        <v/>
      </c>
      <c r="X338" s="143" t="str">
        <f>IFERROR(_xlfn.XLOOKUP($A338,'Raw Data'!$G:$G,'Raw Data'!$AB:$AB),"")</f>
        <v/>
      </c>
      <c r="Y338" s="143" t="str">
        <f>IFERROR(_xlfn.XLOOKUP($A338,'Raw Data'!$G:$G,'Raw Data'!AC:AC),"")</f>
        <v/>
      </c>
      <c r="Z338" s="143" t="str">
        <f>IFERROR(_xlfn.XLOOKUP($A338,'Raw Data'!$G:$G,'Raw Data'!AD:AD),"")</f>
        <v/>
      </c>
      <c r="AA338" s="143" t="str">
        <f>IFERROR(_xlfn.XLOOKUP($A338,'Raw Data'!$G:$G,'Raw Data'!AE:AE)*(1+(_xlfn.XLOOKUP(Table13[[#This Row],[Month Year]],JMR!$A:$A,JMR!$J:$J))),"")</f>
        <v/>
      </c>
      <c r="AB338" s="143" t="str">
        <f>IFERROR(_xlfn.XLOOKUP($A338,'Raw Data'!$G:$G,'Raw Data'!$H:$H),"")</f>
        <v/>
      </c>
      <c r="AC338" s="149">
        <f>IFERROR(_xlfn.XLOOKUP($D338,'Modelling New'!$D:$D,'Modelling New'!$P:$P),"")</f>
        <v>6.9010874285714294</v>
      </c>
      <c r="AD338" s="143">
        <f>IFERROR(_xlfn.XLOOKUP($D338,'Modelling New'!$D:$D,'Modelling New'!$T:$T)*1000,"")</f>
        <v>57320.026734881634</v>
      </c>
      <c r="AE338" s="148">
        <f>IFERROR(_xlfn.XLOOKUP($D338,'Modelling New'!$D:$D,'Modelling New'!$O:$O),"")</f>
        <v>0.70869805877547398</v>
      </c>
      <c r="AF338" s="148">
        <f>IFERROR(_xlfn.XLOOKUP($D338,'Modelling New'!$D:$D,'Modelling New'!$W:$W),"")</f>
        <v>0.20378280266951659</v>
      </c>
      <c r="AG338" s="148">
        <f>IFERROR(_xlfn.XLOOKUP($D338,'Modelling New'!$D:$D,'Modelling New'!AE:AE),"")</f>
        <v>0.995</v>
      </c>
      <c r="AH338" s="148">
        <f>IFERROR(_xlfn.XLOOKUP($D338,'Modelling New'!$D:$D,'Modelling New'!AF:AF),"")</f>
        <v>0.98550000000000004</v>
      </c>
      <c r="AN338" s="145"/>
      <c r="AO338" s="148"/>
      <c r="AP338" s="148"/>
      <c r="AQ338" s="148"/>
      <c r="AR338" s="143">
        <f>IFERROR(_xlfn.XLOOKUP($D338,'Modelling New'!$D:$D,'Modelling New'!$N:$N),"")</f>
        <v>11.72</v>
      </c>
      <c r="AT338" s="143" t="str">
        <f>IFERROR(_xlfn.XLOOKUP(Table13[[#This Row],[Date]],'Raw Data'!$G:$G,'Raw Data'!$AJ:$AJ),"")</f>
        <v/>
      </c>
      <c r="AU338" s="143">
        <f>IFERROR(_xlfn.XLOOKUP(Table13[[#This Row],[Month Year]],'Modelling New'!$D:$D,'Modelling New'!$AO:$AO),"")</f>
        <v>10</v>
      </c>
      <c r="AV338" s="143"/>
    </row>
    <row r="339" spans="1:48">
      <c r="A339" s="142">
        <f t="shared" si="24"/>
        <v>46082</v>
      </c>
      <c r="B339" s="143">
        <f>YEAR(Table13[[#This Row],[Date]])+IF(MONTH(Table13[[#This Row],[Date]])&gt;=4,1,0)</f>
        <v>2026</v>
      </c>
      <c r="C339" s="116">
        <f>YEAR(Table13[[#This Row],[Date]])</f>
        <v>2026</v>
      </c>
      <c r="D339" s="144">
        <f>Table13[[#This Row],[Date]]-DAY(Table13[[#This Row],[Date]])+1</f>
        <v>46082</v>
      </c>
      <c r="E339" s="116">
        <f t="shared" si="21"/>
        <v>31</v>
      </c>
      <c r="F339" s="117" t="str">
        <f>IFERROR(_xlfn.XLOOKUP($A339,'Raw Data'!$G:$G,'Raw Data'!$AH:$AH),"")</f>
        <v/>
      </c>
      <c r="G339" s="118" t="str">
        <f>IFERROR(_xlfn.XLOOKUP($A339,'Raw Data'!$G:$G,'Raw Data'!$S:$S)/1000,"")</f>
        <v/>
      </c>
      <c r="H339" s="118"/>
      <c r="I339" s="118" t="str">
        <f>IFERROR(_xlfn.XLOOKUP($A339,'Raw Data'!$G:$G,'Raw Data'!$AF:$AF)/1000,"")</f>
        <v/>
      </c>
      <c r="J339" s="118"/>
      <c r="K339" s="118" t="str">
        <f>IFERROR(_xlfn.XLOOKUP($A339,'Raw Data'!$G:$G,'Raw Data'!W:W),"")</f>
        <v/>
      </c>
      <c r="L339" s="118" t="str">
        <f>IFERROR(_xlfn.XLOOKUP($A339,'Raw Data'!$G:$G,'Raw Data'!X:X),"")</f>
        <v/>
      </c>
      <c r="M339" s="118" t="str">
        <f>IFERROR(_xlfn.XLOOKUP($A339,'Raw Data'!$G:$G,'Raw Data'!Y:Y),"")</f>
        <v/>
      </c>
      <c r="N339" s="118" t="str">
        <f>IFERROR(_xlfn.XLOOKUP($A339,'Raw Data'!$G:$G,'Raw Data'!Z:Z),"")</f>
        <v/>
      </c>
      <c r="O339" s="145" t="str">
        <f>IFERROR(1-SUMIF('Plant BD'!$B:$B,$A339,'Plant BD'!$AM:$AM)/($AA339+SUMIF('Plant BD'!$B:$B,$A339,'Plant BD'!$AM:$AM)),"")</f>
        <v/>
      </c>
      <c r="P339" s="145"/>
      <c r="Q339" s="146"/>
      <c r="R339" s="145" t="str">
        <f>IFERROR(1-SUMIF('Grid BD'!$B:$B,$A339,'Grid BD'!$AE:$AE)/($AA339+SUMIF('Grid BD'!$B:$B,$A339,'Grid BD'!$AE:$AE)),"")</f>
        <v/>
      </c>
      <c r="T339" s="146" t="str">
        <f>IFERROR(1-SUMIF(Tracker_BD!$H:$H,$A339,Tracker_BD!AI:AI)/$F339,"")</f>
        <v/>
      </c>
      <c r="U339" s="147" t="str">
        <f t="shared" si="22"/>
        <v/>
      </c>
      <c r="V339" s="147"/>
      <c r="W339" s="148" t="str">
        <f t="shared" si="23"/>
        <v/>
      </c>
      <c r="X339" s="143" t="str">
        <f>IFERROR(_xlfn.XLOOKUP($A339,'Raw Data'!$G:$G,'Raw Data'!$AB:$AB),"")</f>
        <v/>
      </c>
      <c r="Y339" s="143" t="str">
        <f>IFERROR(_xlfn.XLOOKUP($A339,'Raw Data'!$G:$G,'Raw Data'!AC:AC),"")</f>
        <v/>
      </c>
      <c r="Z339" s="143" t="str">
        <f>IFERROR(_xlfn.XLOOKUP($A339,'Raw Data'!$G:$G,'Raw Data'!AD:AD),"")</f>
        <v/>
      </c>
      <c r="AA339" s="143" t="str">
        <f>IFERROR(_xlfn.XLOOKUP($A339,'Raw Data'!$G:$G,'Raw Data'!AE:AE)*(1+(_xlfn.XLOOKUP(Table13[[#This Row],[Month Year]],JMR!$A:$A,JMR!$J:$J))),"")</f>
        <v/>
      </c>
      <c r="AB339" s="143" t="str">
        <f>IFERROR(_xlfn.XLOOKUP($A339,'Raw Data'!$G:$G,'Raw Data'!$H:$H),"")</f>
        <v/>
      </c>
      <c r="AC339" s="149">
        <f>IFERROR(_xlfn.XLOOKUP($D339,'Modelling New'!$D:$D,'Modelling New'!$P:$P),"")</f>
        <v>7.7166057064516123</v>
      </c>
      <c r="AD339" s="143">
        <f>IFERROR(_xlfn.XLOOKUP($D339,'Modelling New'!$D:$D,'Modelling New'!$T:$T)*1000,"")</f>
        <v>67607.798406693953</v>
      </c>
      <c r="AE339" s="148">
        <f>IFERROR(_xlfn.XLOOKUP($D339,'Modelling New'!$D:$D,'Modelling New'!$O:$O),"")</f>
        <v>0.74755452089211905</v>
      </c>
      <c r="AF339" s="148">
        <f>IFERROR(_xlfn.XLOOKUP($D339,'Modelling New'!$D:$D,'Modelling New'!$W:$W),"")</f>
        <v>0.24035764507499272</v>
      </c>
      <c r="AG339" s="148">
        <f>IFERROR(_xlfn.XLOOKUP($D339,'Modelling New'!$D:$D,'Modelling New'!AE:AE),"")</f>
        <v>0.995</v>
      </c>
      <c r="AH339" s="148">
        <f>IFERROR(_xlfn.XLOOKUP($D339,'Modelling New'!$D:$D,'Modelling New'!AF:AF),"")</f>
        <v>0.98550000000000004</v>
      </c>
      <c r="AN339" s="145"/>
      <c r="AO339" s="148"/>
      <c r="AP339" s="148"/>
      <c r="AQ339" s="148"/>
      <c r="AR339" s="143">
        <f>IFERROR(_xlfn.XLOOKUP($D339,'Modelling New'!$D:$D,'Modelling New'!$N:$N),"")</f>
        <v>11.72</v>
      </c>
      <c r="AT339" s="143" t="str">
        <f>IFERROR(_xlfn.XLOOKUP(Table13[[#This Row],[Date]],'Raw Data'!$G:$G,'Raw Data'!$AJ:$AJ),"")</f>
        <v/>
      </c>
      <c r="AU339" s="143">
        <f>IFERROR(_xlfn.XLOOKUP(Table13[[#This Row],[Month Year]],'Modelling New'!$D:$D,'Modelling New'!$AO:$AO),"")</f>
        <v>10</v>
      </c>
      <c r="AV339" s="143"/>
    </row>
    <row r="340" spans="1:48">
      <c r="A340" s="142">
        <f t="shared" si="24"/>
        <v>46083</v>
      </c>
      <c r="B340" s="143">
        <f>YEAR(Table13[[#This Row],[Date]])+IF(MONTH(Table13[[#This Row],[Date]])&gt;=4,1,0)</f>
        <v>2026</v>
      </c>
      <c r="C340" s="116">
        <f>YEAR(Table13[[#This Row],[Date]])</f>
        <v>2026</v>
      </c>
      <c r="D340" s="144">
        <f>Table13[[#This Row],[Date]]-DAY(Table13[[#This Row],[Date]])+1</f>
        <v>46082</v>
      </c>
      <c r="E340" s="116">
        <f t="shared" si="21"/>
        <v>31</v>
      </c>
      <c r="F340" s="117" t="str">
        <f>IFERROR(_xlfn.XLOOKUP($A340,'Raw Data'!$G:$G,'Raw Data'!$AH:$AH),"")</f>
        <v/>
      </c>
      <c r="G340" s="118" t="str">
        <f>IFERROR(_xlfn.XLOOKUP($A340,'Raw Data'!$G:$G,'Raw Data'!$S:$S)/1000,"")</f>
        <v/>
      </c>
      <c r="H340" s="118"/>
      <c r="I340" s="118" t="str">
        <f>IFERROR(_xlfn.XLOOKUP($A340,'Raw Data'!$G:$G,'Raw Data'!$AF:$AF)/1000,"")</f>
        <v/>
      </c>
      <c r="J340" s="118"/>
      <c r="K340" s="118" t="str">
        <f>IFERROR(_xlfn.XLOOKUP($A340,'Raw Data'!$G:$G,'Raw Data'!W:W),"")</f>
        <v/>
      </c>
      <c r="L340" s="118" t="str">
        <f>IFERROR(_xlfn.XLOOKUP($A340,'Raw Data'!$G:$G,'Raw Data'!X:X),"")</f>
        <v/>
      </c>
      <c r="M340" s="118" t="str">
        <f>IFERROR(_xlfn.XLOOKUP($A340,'Raw Data'!$G:$G,'Raw Data'!Y:Y),"")</f>
        <v/>
      </c>
      <c r="N340" s="118" t="str">
        <f>IFERROR(_xlfn.XLOOKUP($A340,'Raw Data'!$G:$G,'Raw Data'!Z:Z),"")</f>
        <v/>
      </c>
      <c r="O340" s="145" t="str">
        <f>IFERROR(1-SUMIF('Plant BD'!$B:$B,$A340,'Plant BD'!$AM:$AM)/($AA340+SUMIF('Plant BD'!$B:$B,$A340,'Plant BD'!$AM:$AM)),"")</f>
        <v/>
      </c>
      <c r="P340" s="145"/>
      <c r="Q340" s="146"/>
      <c r="R340" s="145" t="str">
        <f>IFERROR(1-SUMIF('Grid BD'!$B:$B,$A340,'Grid BD'!$AE:$AE)/($AA340+SUMIF('Grid BD'!$B:$B,$A340,'Grid BD'!$AE:$AE)),"")</f>
        <v/>
      </c>
      <c r="T340" s="146" t="str">
        <f>IFERROR(1-SUMIF(Tracker_BD!$H:$H,$A340,Tracker_BD!AI:AI)/$F340,"")</f>
        <v/>
      </c>
      <c r="U340" s="147" t="str">
        <f t="shared" si="22"/>
        <v/>
      </c>
      <c r="V340" s="147"/>
      <c r="W340" s="148" t="str">
        <f t="shared" si="23"/>
        <v/>
      </c>
      <c r="X340" s="143" t="str">
        <f>IFERROR(_xlfn.XLOOKUP($A340,'Raw Data'!$G:$G,'Raw Data'!$AB:$AB),"")</f>
        <v/>
      </c>
      <c r="Y340" s="143" t="str">
        <f>IFERROR(_xlfn.XLOOKUP($A340,'Raw Data'!$G:$G,'Raw Data'!AC:AC),"")</f>
        <v/>
      </c>
      <c r="Z340" s="143" t="str">
        <f>IFERROR(_xlfn.XLOOKUP($A340,'Raw Data'!$G:$G,'Raw Data'!AD:AD),"")</f>
        <v/>
      </c>
      <c r="AA340" s="143" t="str">
        <f>IFERROR(_xlfn.XLOOKUP($A340,'Raw Data'!$G:$G,'Raw Data'!AE:AE)*(1+(_xlfn.XLOOKUP(Table13[[#This Row],[Month Year]],JMR!$A:$A,JMR!$J:$J))),"")</f>
        <v/>
      </c>
      <c r="AB340" s="143" t="str">
        <f>IFERROR(_xlfn.XLOOKUP($A340,'Raw Data'!$G:$G,'Raw Data'!$H:$H),"")</f>
        <v/>
      </c>
      <c r="AC340" s="149">
        <f>IFERROR(_xlfn.XLOOKUP($D340,'Modelling New'!$D:$D,'Modelling New'!$P:$P),"")</f>
        <v>7.7166057064516123</v>
      </c>
      <c r="AD340" s="143">
        <f>IFERROR(_xlfn.XLOOKUP($D340,'Modelling New'!$D:$D,'Modelling New'!$T:$T)*1000,"")</f>
        <v>67607.798406693953</v>
      </c>
      <c r="AE340" s="148">
        <f>IFERROR(_xlfn.XLOOKUP($D340,'Modelling New'!$D:$D,'Modelling New'!$O:$O),"")</f>
        <v>0.74755452089211905</v>
      </c>
      <c r="AF340" s="148">
        <f>IFERROR(_xlfn.XLOOKUP($D340,'Modelling New'!$D:$D,'Modelling New'!$W:$W),"")</f>
        <v>0.24035764507499272</v>
      </c>
      <c r="AG340" s="148">
        <f>IFERROR(_xlfn.XLOOKUP($D340,'Modelling New'!$D:$D,'Modelling New'!AE:AE),"")</f>
        <v>0.995</v>
      </c>
      <c r="AH340" s="148">
        <f>IFERROR(_xlfn.XLOOKUP($D340,'Modelling New'!$D:$D,'Modelling New'!AF:AF),"")</f>
        <v>0.98550000000000004</v>
      </c>
      <c r="AN340" s="145"/>
      <c r="AO340" s="148"/>
      <c r="AP340" s="148"/>
      <c r="AQ340" s="148"/>
      <c r="AR340" s="143">
        <f>IFERROR(_xlfn.XLOOKUP($D340,'Modelling New'!$D:$D,'Modelling New'!$N:$N),"")</f>
        <v>11.72</v>
      </c>
      <c r="AT340" s="143" t="str">
        <f>IFERROR(_xlfn.XLOOKUP(Table13[[#This Row],[Date]],'Raw Data'!$G:$G,'Raw Data'!$AJ:$AJ),"")</f>
        <v/>
      </c>
      <c r="AU340" s="143">
        <f>IFERROR(_xlfn.XLOOKUP(Table13[[#This Row],[Month Year]],'Modelling New'!$D:$D,'Modelling New'!$AO:$AO),"")</f>
        <v>10</v>
      </c>
      <c r="AV340" s="143"/>
    </row>
    <row r="341" spans="1:48">
      <c r="A341" s="142">
        <f t="shared" si="24"/>
        <v>46084</v>
      </c>
      <c r="B341" s="143">
        <f>YEAR(Table13[[#This Row],[Date]])+IF(MONTH(Table13[[#This Row],[Date]])&gt;=4,1,0)</f>
        <v>2026</v>
      </c>
      <c r="C341" s="116">
        <f>YEAR(Table13[[#This Row],[Date]])</f>
        <v>2026</v>
      </c>
      <c r="D341" s="144">
        <f>Table13[[#This Row],[Date]]-DAY(Table13[[#This Row],[Date]])+1</f>
        <v>46082</v>
      </c>
      <c r="E341" s="116">
        <f t="shared" si="21"/>
        <v>31</v>
      </c>
      <c r="F341" s="117" t="str">
        <f>IFERROR(_xlfn.XLOOKUP($A341,'Raw Data'!$G:$G,'Raw Data'!$AH:$AH),"")</f>
        <v/>
      </c>
      <c r="G341" s="118" t="str">
        <f>IFERROR(_xlfn.XLOOKUP($A341,'Raw Data'!$G:$G,'Raw Data'!$S:$S)/1000,"")</f>
        <v/>
      </c>
      <c r="H341" s="118"/>
      <c r="I341" s="118" t="str">
        <f>IFERROR(_xlfn.XLOOKUP($A341,'Raw Data'!$G:$G,'Raw Data'!$AF:$AF)/1000,"")</f>
        <v/>
      </c>
      <c r="J341" s="118"/>
      <c r="K341" s="118" t="str">
        <f>IFERROR(_xlfn.XLOOKUP($A341,'Raw Data'!$G:$G,'Raw Data'!W:W),"")</f>
        <v/>
      </c>
      <c r="L341" s="118" t="str">
        <f>IFERROR(_xlfn.XLOOKUP($A341,'Raw Data'!$G:$G,'Raw Data'!X:X),"")</f>
        <v/>
      </c>
      <c r="M341" s="118" t="str">
        <f>IFERROR(_xlfn.XLOOKUP($A341,'Raw Data'!$G:$G,'Raw Data'!Y:Y),"")</f>
        <v/>
      </c>
      <c r="N341" s="118" t="str">
        <f>IFERROR(_xlfn.XLOOKUP($A341,'Raw Data'!$G:$G,'Raw Data'!Z:Z),"")</f>
        <v/>
      </c>
      <c r="O341" s="145" t="str">
        <f>IFERROR(1-SUMIF('Plant BD'!$B:$B,$A341,'Plant BD'!$AM:$AM)/($AA341+SUMIF('Plant BD'!$B:$B,$A341,'Plant BD'!$AM:$AM)),"")</f>
        <v/>
      </c>
      <c r="P341" s="145"/>
      <c r="Q341" s="146"/>
      <c r="R341" s="145" t="str">
        <f>IFERROR(1-SUMIF('Grid BD'!$B:$B,$A341,'Grid BD'!$AE:$AE)/($AA341+SUMIF('Grid BD'!$B:$B,$A341,'Grid BD'!$AE:$AE)),"")</f>
        <v/>
      </c>
      <c r="T341" s="146" t="str">
        <f>IFERROR(1-SUMIF(Tracker_BD!$H:$H,$A341,Tracker_BD!AI:AI)/$F341,"")</f>
        <v/>
      </c>
      <c r="U341" s="147" t="str">
        <f t="shared" si="22"/>
        <v/>
      </c>
      <c r="V341" s="147"/>
      <c r="W341" s="148" t="str">
        <f t="shared" si="23"/>
        <v/>
      </c>
      <c r="X341" s="143" t="str">
        <f>IFERROR(_xlfn.XLOOKUP($A341,'Raw Data'!$G:$G,'Raw Data'!$AB:$AB),"")</f>
        <v/>
      </c>
      <c r="Y341" s="143" t="str">
        <f>IFERROR(_xlfn.XLOOKUP($A341,'Raw Data'!$G:$G,'Raw Data'!AC:AC),"")</f>
        <v/>
      </c>
      <c r="Z341" s="143" t="str">
        <f>IFERROR(_xlfn.XLOOKUP($A341,'Raw Data'!$G:$G,'Raw Data'!AD:AD),"")</f>
        <v/>
      </c>
      <c r="AA341" s="143" t="str">
        <f>IFERROR(_xlfn.XLOOKUP($A341,'Raw Data'!$G:$G,'Raw Data'!AE:AE)*(1+(_xlfn.XLOOKUP(Table13[[#This Row],[Month Year]],JMR!$A:$A,JMR!$J:$J))),"")</f>
        <v/>
      </c>
      <c r="AB341" s="143" t="str">
        <f>IFERROR(_xlfn.XLOOKUP($A341,'Raw Data'!$G:$G,'Raw Data'!$H:$H),"")</f>
        <v/>
      </c>
      <c r="AC341" s="149">
        <f>IFERROR(_xlfn.XLOOKUP($D341,'Modelling New'!$D:$D,'Modelling New'!$P:$P),"")</f>
        <v>7.7166057064516123</v>
      </c>
      <c r="AD341" s="143">
        <f>IFERROR(_xlfn.XLOOKUP($D341,'Modelling New'!$D:$D,'Modelling New'!$T:$T)*1000,"")</f>
        <v>67607.798406693953</v>
      </c>
      <c r="AE341" s="148">
        <f>IFERROR(_xlfn.XLOOKUP($D341,'Modelling New'!$D:$D,'Modelling New'!$O:$O),"")</f>
        <v>0.74755452089211905</v>
      </c>
      <c r="AF341" s="148">
        <f>IFERROR(_xlfn.XLOOKUP($D341,'Modelling New'!$D:$D,'Modelling New'!$W:$W),"")</f>
        <v>0.24035764507499272</v>
      </c>
      <c r="AG341" s="148">
        <f>IFERROR(_xlfn.XLOOKUP($D341,'Modelling New'!$D:$D,'Modelling New'!AE:AE),"")</f>
        <v>0.995</v>
      </c>
      <c r="AH341" s="148">
        <f>IFERROR(_xlfn.XLOOKUP($D341,'Modelling New'!$D:$D,'Modelling New'!AF:AF),"")</f>
        <v>0.98550000000000004</v>
      </c>
      <c r="AN341" s="145"/>
      <c r="AO341" s="148"/>
      <c r="AP341" s="148"/>
      <c r="AQ341" s="148"/>
      <c r="AR341" s="143">
        <f>IFERROR(_xlfn.XLOOKUP($D341,'Modelling New'!$D:$D,'Modelling New'!$N:$N),"")</f>
        <v>11.72</v>
      </c>
      <c r="AT341" s="143" t="str">
        <f>IFERROR(_xlfn.XLOOKUP(Table13[[#This Row],[Date]],'Raw Data'!$G:$G,'Raw Data'!$AJ:$AJ),"")</f>
        <v/>
      </c>
      <c r="AU341" s="143">
        <f>IFERROR(_xlfn.XLOOKUP(Table13[[#This Row],[Month Year]],'Modelling New'!$D:$D,'Modelling New'!$AO:$AO),"")</f>
        <v>10</v>
      </c>
      <c r="AV341" s="143"/>
    </row>
    <row r="342" spans="1:48">
      <c r="A342" s="142">
        <f t="shared" si="24"/>
        <v>46085</v>
      </c>
      <c r="B342" s="143">
        <f>YEAR(Table13[[#This Row],[Date]])+IF(MONTH(Table13[[#This Row],[Date]])&gt;=4,1,0)</f>
        <v>2026</v>
      </c>
      <c r="C342" s="116">
        <f>YEAR(Table13[[#This Row],[Date]])</f>
        <v>2026</v>
      </c>
      <c r="D342" s="144">
        <f>Table13[[#This Row],[Date]]-DAY(Table13[[#This Row],[Date]])+1</f>
        <v>46082</v>
      </c>
      <c r="E342" s="116">
        <f t="shared" si="21"/>
        <v>31</v>
      </c>
      <c r="F342" s="117" t="str">
        <f>IFERROR(_xlfn.XLOOKUP($A342,'Raw Data'!$G:$G,'Raw Data'!$AH:$AH),"")</f>
        <v/>
      </c>
      <c r="G342" s="118" t="str">
        <f>IFERROR(_xlfn.XLOOKUP($A342,'Raw Data'!$G:$G,'Raw Data'!$S:$S)/1000,"")</f>
        <v/>
      </c>
      <c r="H342" s="118"/>
      <c r="I342" s="118" t="str">
        <f>IFERROR(_xlfn.XLOOKUP($A342,'Raw Data'!$G:$G,'Raw Data'!$AF:$AF)/1000,"")</f>
        <v/>
      </c>
      <c r="J342" s="118"/>
      <c r="K342" s="118" t="str">
        <f>IFERROR(_xlfn.XLOOKUP($A342,'Raw Data'!$G:$G,'Raw Data'!W:W),"")</f>
        <v/>
      </c>
      <c r="L342" s="118" t="str">
        <f>IFERROR(_xlfn.XLOOKUP($A342,'Raw Data'!$G:$G,'Raw Data'!X:X),"")</f>
        <v/>
      </c>
      <c r="M342" s="118" t="str">
        <f>IFERROR(_xlfn.XLOOKUP($A342,'Raw Data'!$G:$G,'Raw Data'!Y:Y),"")</f>
        <v/>
      </c>
      <c r="N342" s="118" t="str">
        <f>IFERROR(_xlfn.XLOOKUP($A342,'Raw Data'!$G:$G,'Raw Data'!Z:Z),"")</f>
        <v/>
      </c>
      <c r="O342" s="145" t="str">
        <f>IFERROR(1-SUMIF('Plant BD'!$B:$B,$A342,'Plant BD'!$AM:$AM)/($AA342+SUMIF('Plant BD'!$B:$B,$A342,'Plant BD'!$AM:$AM)),"")</f>
        <v/>
      </c>
      <c r="P342" s="145"/>
      <c r="Q342" s="146"/>
      <c r="R342" s="145" t="str">
        <f>IFERROR(1-SUMIF('Grid BD'!$B:$B,$A342,'Grid BD'!$AE:$AE)/($AA342+SUMIF('Grid BD'!$B:$B,$A342,'Grid BD'!$AE:$AE)),"")</f>
        <v/>
      </c>
      <c r="T342" s="146" t="str">
        <f>IFERROR(1-SUMIF(Tracker_BD!$H:$H,$A342,Tracker_BD!AI:AI)/$F342,"")</f>
        <v/>
      </c>
      <c r="U342" s="147" t="str">
        <f t="shared" si="22"/>
        <v/>
      </c>
      <c r="V342" s="147"/>
      <c r="W342" s="148" t="str">
        <f t="shared" si="23"/>
        <v/>
      </c>
      <c r="X342" s="143" t="str">
        <f>IFERROR(_xlfn.XLOOKUP($A342,'Raw Data'!$G:$G,'Raw Data'!$AB:$AB),"")</f>
        <v/>
      </c>
      <c r="Y342" s="143" t="str">
        <f>IFERROR(_xlfn.XLOOKUP($A342,'Raw Data'!$G:$G,'Raw Data'!AC:AC),"")</f>
        <v/>
      </c>
      <c r="Z342" s="143" t="str">
        <f>IFERROR(_xlfn.XLOOKUP($A342,'Raw Data'!$G:$G,'Raw Data'!AD:AD),"")</f>
        <v/>
      </c>
      <c r="AA342" s="143" t="str">
        <f>IFERROR(_xlfn.XLOOKUP($A342,'Raw Data'!$G:$G,'Raw Data'!AE:AE)*(1+(_xlfn.XLOOKUP(Table13[[#This Row],[Month Year]],JMR!$A:$A,JMR!$J:$J))),"")</f>
        <v/>
      </c>
      <c r="AB342" s="143" t="str">
        <f>IFERROR(_xlfn.XLOOKUP($A342,'Raw Data'!$G:$G,'Raw Data'!$H:$H),"")</f>
        <v/>
      </c>
      <c r="AC342" s="149">
        <f>IFERROR(_xlfn.XLOOKUP($D342,'Modelling New'!$D:$D,'Modelling New'!$P:$P),"")</f>
        <v>7.7166057064516123</v>
      </c>
      <c r="AD342" s="143">
        <f>IFERROR(_xlfn.XLOOKUP($D342,'Modelling New'!$D:$D,'Modelling New'!$T:$T)*1000,"")</f>
        <v>67607.798406693953</v>
      </c>
      <c r="AE342" s="148">
        <f>IFERROR(_xlfn.XLOOKUP($D342,'Modelling New'!$D:$D,'Modelling New'!$O:$O),"")</f>
        <v>0.74755452089211905</v>
      </c>
      <c r="AF342" s="148">
        <f>IFERROR(_xlfn.XLOOKUP($D342,'Modelling New'!$D:$D,'Modelling New'!$W:$W),"")</f>
        <v>0.24035764507499272</v>
      </c>
      <c r="AG342" s="148">
        <f>IFERROR(_xlfn.XLOOKUP($D342,'Modelling New'!$D:$D,'Modelling New'!AE:AE),"")</f>
        <v>0.995</v>
      </c>
      <c r="AH342" s="148">
        <f>IFERROR(_xlfn.XLOOKUP($D342,'Modelling New'!$D:$D,'Modelling New'!AF:AF),"")</f>
        <v>0.98550000000000004</v>
      </c>
      <c r="AN342" s="145"/>
      <c r="AO342" s="148"/>
      <c r="AP342" s="148"/>
      <c r="AQ342" s="148"/>
      <c r="AR342" s="143">
        <f>IFERROR(_xlfn.XLOOKUP($D342,'Modelling New'!$D:$D,'Modelling New'!$N:$N),"")</f>
        <v>11.72</v>
      </c>
      <c r="AT342" s="143" t="str">
        <f>IFERROR(_xlfn.XLOOKUP(Table13[[#This Row],[Date]],'Raw Data'!$G:$G,'Raw Data'!$AJ:$AJ),"")</f>
        <v/>
      </c>
      <c r="AU342" s="143">
        <f>IFERROR(_xlfn.XLOOKUP(Table13[[#This Row],[Month Year]],'Modelling New'!$D:$D,'Modelling New'!$AO:$AO),"")</f>
        <v>10</v>
      </c>
      <c r="AV342" s="143"/>
    </row>
    <row r="343" spans="1:48">
      <c r="A343" s="142">
        <f t="shared" si="24"/>
        <v>46086</v>
      </c>
      <c r="B343" s="143">
        <f>YEAR(Table13[[#This Row],[Date]])+IF(MONTH(Table13[[#This Row],[Date]])&gt;=4,1,0)</f>
        <v>2026</v>
      </c>
      <c r="C343" s="116">
        <f>YEAR(Table13[[#This Row],[Date]])</f>
        <v>2026</v>
      </c>
      <c r="D343" s="144">
        <f>Table13[[#This Row],[Date]]-DAY(Table13[[#This Row],[Date]])+1</f>
        <v>46082</v>
      </c>
      <c r="E343" s="116">
        <f t="shared" si="21"/>
        <v>31</v>
      </c>
      <c r="F343" s="117" t="str">
        <f>IFERROR(_xlfn.XLOOKUP($A343,'Raw Data'!$G:$G,'Raw Data'!$AH:$AH),"")</f>
        <v/>
      </c>
      <c r="G343" s="118" t="str">
        <f>IFERROR(_xlfn.XLOOKUP($A343,'Raw Data'!$G:$G,'Raw Data'!$S:$S)/1000,"")</f>
        <v/>
      </c>
      <c r="H343" s="118"/>
      <c r="I343" s="118" t="str">
        <f>IFERROR(_xlfn.XLOOKUP($A343,'Raw Data'!$G:$G,'Raw Data'!$AF:$AF)/1000,"")</f>
        <v/>
      </c>
      <c r="J343" s="118"/>
      <c r="K343" s="118" t="str">
        <f>IFERROR(_xlfn.XLOOKUP($A343,'Raw Data'!$G:$G,'Raw Data'!W:W),"")</f>
        <v/>
      </c>
      <c r="L343" s="118" t="str">
        <f>IFERROR(_xlfn.XLOOKUP($A343,'Raw Data'!$G:$G,'Raw Data'!X:X),"")</f>
        <v/>
      </c>
      <c r="M343" s="118" t="str">
        <f>IFERROR(_xlfn.XLOOKUP($A343,'Raw Data'!$G:$G,'Raw Data'!Y:Y),"")</f>
        <v/>
      </c>
      <c r="N343" s="118" t="str">
        <f>IFERROR(_xlfn.XLOOKUP($A343,'Raw Data'!$G:$G,'Raw Data'!Z:Z),"")</f>
        <v/>
      </c>
      <c r="O343" s="145" t="str">
        <f>IFERROR(1-SUMIF('Plant BD'!$B:$B,$A343,'Plant BD'!$AM:$AM)/($AA343+SUMIF('Plant BD'!$B:$B,$A343,'Plant BD'!$AM:$AM)),"")</f>
        <v/>
      </c>
      <c r="P343" s="145"/>
      <c r="Q343" s="146"/>
      <c r="R343" s="145" t="str">
        <f>IFERROR(1-SUMIF('Grid BD'!$B:$B,$A343,'Grid BD'!$AE:$AE)/($AA343+SUMIF('Grid BD'!$B:$B,$A343,'Grid BD'!$AE:$AE)),"")</f>
        <v/>
      </c>
      <c r="T343" s="146" t="str">
        <f>IFERROR(1-SUMIF(Tracker_BD!$H:$H,$A343,Tracker_BD!AI:AI)/$F343,"")</f>
        <v/>
      </c>
      <c r="U343" s="147" t="str">
        <f t="shared" si="22"/>
        <v/>
      </c>
      <c r="V343" s="147"/>
      <c r="W343" s="148" t="str">
        <f t="shared" si="23"/>
        <v/>
      </c>
      <c r="X343" s="143" t="str">
        <f>IFERROR(_xlfn.XLOOKUP($A343,'Raw Data'!$G:$G,'Raw Data'!$AB:$AB),"")</f>
        <v/>
      </c>
      <c r="Y343" s="143" t="str">
        <f>IFERROR(_xlfn.XLOOKUP($A343,'Raw Data'!$G:$G,'Raw Data'!AC:AC),"")</f>
        <v/>
      </c>
      <c r="Z343" s="143" t="str">
        <f>IFERROR(_xlfn.XLOOKUP($A343,'Raw Data'!$G:$G,'Raw Data'!AD:AD),"")</f>
        <v/>
      </c>
      <c r="AA343" s="143" t="str">
        <f>IFERROR(_xlfn.XLOOKUP($A343,'Raw Data'!$G:$G,'Raw Data'!AE:AE)*(1+(_xlfn.XLOOKUP(Table13[[#This Row],[Month Year]],JMR!$A:$A,JMR!$J:$J))),"")</f>
        <v/>
      </c>
      <c r="AB343" s="143" t="str">
        <f>IFERROR(_xlfn.XLOOKUP($A343,'Raw Data'!$G:$G,'Raw Data'!$H:$H),"")</f>
        <v/>
      </c>
      <c r="AC343" s="149">
        <f>IFERROR(_xlfn.XLOOKUP($D343,'Modelling New'!$D:$D,'Modelling New'!$P:$P),"")</f>
        <v>7.7166057064516123</v>
      </c>
      <c r="AD343" s="143">
        <f>IFERROR(_xlfn.XLOOKUP($D343,'Modelling New'!$D:$D,'Modelling New'!$T:$T)*1000,"")</f>
        <v>67607.798406693953</v>
      </c>
      <c r="AE343" s="148">
        <f>IFERROR(_xlfn.XLOOKUP($D343,'Modelling New'!$D:$D,'Modelling New'!$O:$O),"")</f>
        <v>0.74755452089211905</v>
      </c>
      <c r="AF343" s="148">
        <f>IFERROR(_xlfn.XLOOKUP($D343,'Modelling New'!$D:$D,'Modelling New'!$W:$W),"")</f>
        <v>0.24035764507499272</v>
      </c>
      <c r="AG343" s="148">
        <f>IFERROR(_xlfn.XLOOKUP($D343,'Modelling New'!$D:$D,'Modelling New'!AE:AE),"")</f>
        <v>0.995</v>
      </c>
      <c r="AH343" s="148">
        <f>IFERROR(_xlfn.XLOOKUP($D343,'Modelling New'!$D:$D,'Modelling New'!AF:AF),"")</f>
        <v>0.98550000000000004</v>
      </c>
      <c r="AN343" s="145"/>
      <c r="AO343" s="148"/>
      <c r="AP343" s="148"/>
      <c r="AQ343" s="148"/>
      <c r="AR343" s="143">
        <f>IFERROR(_xlfn.XLOOKUP($D343,'Modelling New'!$D:$D,'Modelling New'!$N:$N),"")</f>
        <v>11.72</v>
      </c>
      <c r="AT343" s="143" t="str">
        <f>IFERROR(_xlfn.XLOOKUP(Table13[[#This Row],[Date]],'Raw Data'!$G:$G,'Raw Data'!$AJ:$AJ),"")</f>
        <v/>
      </c>
      <c r="AU343" s="143">
        <f>IFERROR(_xlfn.XLOOKUP(Table13[[#This Row],[Month Year]],'Modelling New'!$D:$D,'Modelling New'!$AO:$AO),"")</f>
        <v>10</v>
      </c>
      <c r="AV343" s="143"/>
    </row>
    <row r="344" spans="1:48">
      <c r="A344" s="142">
        <f t="shared" si="24"/>
        <v>46087</v>
      </c>
      <c r="B344" s="143">
        <f>YEAR(Table13[[#This Row],[Date]])+IF(MONTH(Table13[[#This Row],[Date]])&gt;=4,1,0)</f>
        <v>2026</v>
      </c>
      <c r="C344" s="116">
        <f>YEAR(Table13[[#This Row],[Date]])</f>
        <v>2026</v>
      </c>
      <c r="D344" s="144">
        <f>Table13[[#This Row],[Date]]-DAY(Table13[[#This Row],[Date]])+1</f>
        <v>46082</v>
      </c>
      <c r="E344" s="116">
        <f t="shared" si="21"/>
        <v>31</v>
      </c>
      <c r="F344" s="117" t="str">
        <f>IFERROR(_xlfn.XLOOKUP($A344,'Raw Data'!$G:$G,'Raw Data'!$AH:$AH),"")</f>
        <v/>
      </c>
      <c r="G344" s="118" t="str">
        <f>IFERROR(_xlfn.XLOOKUP($A344,'Raw Data'!$G:$G,'Raw Data'!$S:$S)/1000,"")</f>
        <v/>
      </c>
      <c r="H344" s="118"/>
      <c r="I344" s="118" t="str">
        <f>IFERROR(_xlfn.XLOOKUP($A344,'Raw Data'!$G:$G,'Raw Data'!$AF:$AF)/1000,"")</f>
        <v/>
      </c>
      <c r="J344" s="118"/>
      <c r="K344" s="118" t="str">
        <f>IFERROR(_xlfn.XLOOKUP($A344,'Raw Data'!$G:$G,'Raw Data'!W:W),"")</f>
        <v/>
      </c>
      <c r="L344" s="118" t="str">
        <f>IFERROR(_xlfn.XLOOKUP($A344,'Raw Data'!$G:$G,'Raw Data'!X:X),"")</f>
        <v/>
      </c>
      <c r="M344" s="118" t="str">
        <f>IFERROR(_xlfn.XLOOKUP($A344,'Raw Data'!$G:$G,'Raw Data'!Y:Y),"")</f>
        <v/>
      </c>
      <c r="N344" s="118" t="str">
        <f>IFERROR(_xlfn.XLOOKUP($A344,'Raw Data'!$G:$G,'Raw Data'!Z:Z),"")</f>
        <v/>
      </c>
      <c r="O344" s="145" t="str">
        <f>IFERROR(1-SUMIF('Plant BD'!$B:$B,$A344,'Plant BD'!$AM:$AM)/($AA344+SUMIF('Plant BD'!$B:$B,$A344,'Plant BD'!$AM:$AM)),"")</f>
        <v/>
      </c>
      <c r="P344" s="145"/>
      <c r="Q344" s="146"/>
      <c r="R344" s="145" t="str">
        <f>IFERROR(1-SUMIF('Grid BD'!$B:$B,$A344,'Grid BD'!$AE:$AE)/($AA344+SUMIF('Grid BD'!$B:$B,$A344,'Grid BD'!$AE:$AE)),"")</f>
        <v/>
      </c>
      <c r="T344" s="146" t="str">
        <f>IFERROR(1-SUMIF(Tracker_BD!$H:$H,$A344,Tracker_BD!AI:AI)/$F344,"")</f>
        <v/>
      </c>
      <c r="U344" s="147" t="str">
        <f t="shared" si="22"/>
        <v/>
      </c>
      <c r="V344" s="147"/>
      <c r="W344" s="148" t="str">
        <f t="shared" si="23"/>
        <v/>
      </c>
      <c r="X344" s="143" t="str">
        <f>IFERROR(_xlfn.XLOOKUP($A344,'Raw Data'!$G:$G,'Raw Data'!$AB:$AB),"")</f>
        <v/>
      </c>
      <c r="Y344" s="143" t="str">
        <f>IFERROR(_xlfn.XLOOKUP($A344,'Raw Data'!$G:$G,'Raw Data'!AC:AC),"")</f>
        <v/>
      </c>
      <c r="Z344" s="143" t="str">
        <f>IFERROR(_xlfn.XLOOKUP($A344,'Raw Data'!$G:$G,'Raw Data'!AD:AD),"")</f>
        <v/>
      </c>
      <c r="AA344" s="143" t="str">
        <f>IFERROR(_xlfn.XLOOKUP($A344,'Raw Data'!$G:$G,'Raw Data'!AE:AE)*(1+(_xlfn.XLOOKUP(Table13[[#This Row],[Month Year]],JMR!$A:$A,JMR!$J:$J))),"")</f>
        <v/>
      </c>
      <c r="AB344" s="143" t="str">
        <f>IFERROR(_xlfn.XLOOKUP($A344,'Raw Data'!$G:$G,'Raw Data'!$H:$H),"")</f>
        <v/>
      </c>
      <c r="AC344" s="149">
        <f>IFERROR(_xlfn.XLOOKUP($D344,'Modelling New'!$D:$D,'Modelling New'!$P:$P),"")</f>
        <v>7.7166057064516123</v>
      </c>
      <c r="AD344" s="143">
        <f>IFERROR(_xlfn.XLOOKUP($D344,'Modelling New'!$D:$D,'Modelling New'!$T:$T)*1000,"")</f>
        <v>67607.798406693953</v>
      </c>
      <c r="AE344" s="148">
        <f>IFERROR(_xlfn.XLOOKUP($D344,'Modelling New'!$D:$D,'Modelling New'!$O:$O),"")</f>
        <v>0.74755452089211905</v>
      </c>
      <c r="AF344" s="148">
        <f>IFERROR(_xlfn.XLOOKUP($D344,'Modelling New'!$D:$D,'Modelling New'!$W:$W),"")</f>
        <v>0.24035764507499272</v>
      </c>
      <c r="AG344" s="148">
        <f>IFERROR(_xlfn.XLOOKUP($D344,'Modelling New'!$D:$D,'Modelling New'!AE:AE),"")</f>
        <v>0.995</v>
      </c>
      <c r="AH344" s="148">
        <f>IFERROR(_xlfn.XLOOKUP($D344,'Modelling New'!$D:$D,'Modelling New'!AF:AF),"")</f>
        <v>0.98550000000000004</v>
      </c>
      <c r="AN344" s="145"/>
      <c r="AO344" s="148"/>
      <c r="AP344" s="148"/>
      <c r="AQ344" s="148"/>
      <c r="AR344" s="143">
        <f>IFERROR(_xlfn.XLOOKUP($D344,'Modelling New'!$D:$D,'Modelling New'!$N:$N),"")</f>
        <v>11.72</v>
      </c>
      <c r="AT344" s="143" t="str">
        <f>IFERROR(_xlfn.XLOOKUP(Table13[[#This Row],[Date]],'Raw Data'!$G:$G,'Raw Data'!$AJ:$AJ),"")</f>
        <v/>
      </c>
      <c r="AU344" s="143">
        <f>IFERROR(_xlfn.XLOOKUP(Table13[[#This Row],[Month Year]],'Modelling New'!$D:$D,'Modelling New'!$AO:$AO),"")</f>
        <v>10</v>
      </c>
      <c r="AV344" s="143"/>
    </row>
    <row r="345" spans="1:48">
      <c r="A345" s="142">
        <f t="shared" si="24"/>
        <v>46088</v>
      </c>
      <c r="B345" s="143">
        <f>YEAR(Table13[[#This Row],[Date]])+IF(MONTH(Table13[[#This Row],[Date]])&gt;=4,1,0)</f>
        <v>2026</v>
      </c>
      <c r="C345" s="116">
        <f>YEAR(Table13[[#This Row],[Date]])</f>
        <v>2026</v>
      </c>
      <c r="D345" s="144">
        <f>Table13[[#This Row],[Date]]-DAY(Table13[[#This Row],[Date]])+1</f>
        <v>46082</v>
      </c>
      <c r="E345" s="116">
        <f t="shared" si="21"/>
        <v>31</v>
      </c>
      <c r="F345" s="117" t="str">
        <f>IFERROR(_xlfn.XLOOKUP($A345,'Raw Data'!$G:$G,'Raw Data'!$AH:$AH),"")</f>
        <v/>
      </c>
      <c r="G345" s="118" t="str">
        <f>IFERROR(_xlfn.XLOOKUP($A345,'Raw Data'!$G:$G,'Raw Data'!$S:$S)/1000,"")</f>
        <v/>
      </c>
      <c r="H345" s="118"/>
      <c r="I345" s="118" t="str">
        <f>IFERROR(_xlfn.XLOOKUP($A345,'Raw Data'!$G:$G,'Raw Data'!$AF:$AF)/1000,"")</f>
        <v/>
      </c>
      <c r="J345" s="118"/>
      <c r="K345" s="118" t="str">
        <f>IFERROR(_xlfn.XLOOKUP($A345,'Raw Data'!$G:$G,'Raw Data'!W:W),"")</f>
        <v/>
      </c>
      <c r="L345" s="118" t="str">
        <f>IFERROR(_xlfn.XLOOKUP($A345,'Raw Data'!$G:$G,'Raw Data'!X:X),"")</f>
        <v/>
      </c>
      <c r="M345" s="118" t="str">
        <f>IFERROR(_xlfn.XLOOKUP($A345,'Raw Data'!$G:$G,'Raw Data'!Y:Y),"")</f>
        <v/>
      </c>
      <c r="N345" s="118" t="str">
        <f>IFERROR(_xlfn.XLOOKUP($A345,'Raw Data'!$G:$G,'Raw Data'!Z:Z),"")</f>
        <v/>
      </c>
      <c r="O345" s="145" t="str">
        <f>IFERROR(1-SUMIF('Plant BD'!$B:$B,$A345,'Plant BD'!$AM:$AM)/($AA345+SUMIF('Plant BD'!$B:$B,$A345,'Plant BD'!$AM:$AM)),"")</f>
        <v/>
      </c>
      <c r="P345" s="145"/>
      <c r="Q345" s="146"/>
      <c r="R345" s="145" t="str">
        <f>IFERROR(1-SUMIF('Grid BD'!$B:$B,$A345,'Grid BD'!$AE:$AE)/($AA345+SUMIF('Grid BD'!$B:$B,$A345,'Grid BD'!$AE:$AE)),"")</f>
        <v/>
      </c>
      <c r="T345" s="146" t="str">
        <f>IFERROR(1-SUMIF(Tracker_BD!$H:$H,$A345,Tracker_BD!AI:AI)/$F345,"")</f>
        <v/>
      </c>
      <c r="U345" s="147" t="str">
        <f t="shared" si="22"/>
        <v/>
      </c>
      <c r="V345" s="147"/>
      <c r="W345" s="148" t="str">
        <f t="shared" si="23"/>
        <v/>
      </c>
      <c r="X345" s="143" t="str">
        <f>IFERROR(_xlfn.XLOOKUP($A345,'Raw Data'!$G:$G,'Raw Data'!$AB:$AB),"")</f>
        <v/>
      </c>
      <c r="Y345" s="143" t="str">
        <f>IFERROR(_xlfn.XLOOKUP($A345,'Raw Data'!$G:$G,'Raw Data'!AC:AC),"")</f>
        <v/>
      </c>
      <c r="Z345" s="143" t="str">
        <f>IFERROR(_xlfn.XLOOKUP($A345,'Raw Data'!$G:$G,'Raw Data'!AD:AD),"")</f>
        <v/>
      </c>
      <c r="AA345" s="143" t="str">
        <f>IFERROR(_xlfn.XLOOKUP($A345,'Raw Data'!$G:$G,'Raw Data'!AE:AE)*(1+(_xlfn.XLOOKUP(Table13[[#This Row],[Month Year]],JMR!$A:$A,JMR!$J:$J))),"")</f>
        <v/>
      </c>
      <c r="AB345" s="143" t="str">
        <f>IFERROR(_xlfn.XLOOKUP($A345,'Raw Data'!$G:$G,'Raw Data'!$H:$H),"")</f>
        <v/>
      </c>
      <c r="AC345" s="149">
        <f>IFERROR(_xlfn.XLOOKUP($D345,'Modelling New'!$D:$D,'Modelling New'!$P:$P),"")</f>
        <v>7.7166057064516123</v>
      </c>
      <c r="AD345" s="143">
        <f>IFERROR(_xlfn.XLOOKUP($D345,'Modelling New'!$D:$D,'Modelling New'!$T:$T)*1000,"")</f>
        <v>67607.798406693953</v>
      </c>
      <c r="AE345" s="148">
        <f>IFERROR(_xlfn.XLOOKUP($D345,'Modelling New'!$D:$D,'Modelling New'!$O:$O),"")</f>
        <v>0.74755452089211905</v>
      </c>
      <c r="AF345" s="148">
        <f>IFERROR(_xlfn.XLOOKUP($D345,'Modelling New'!$D:$D,'Modelling New'!$W:$W),"")</f>
        <v>0.24035764507499272</v>
      </c>
      <c r="AG345" s="148">
        <f>IFERROR(_xlfn.XLOOKUP($D345,'Modelling New'!$D:$D,'Modelling New'!AE:AE),"")</f>
        <v>0.995</v>
      </c>
      <c r="AH345" s="148">
        <f>IFERROR(_xlfn.XLOOKUP($D345,'Modelling New'!$D:$D,'Modelling New'!AF:AF),"")</f>
        <v>0.98550000000000004</v>
      </c>
      <c r="AN345" s="145"/>
      <c r="AO345" s="148"/>
      <c r="AP345" s="148"/>
      <c r="AQ345" s="148"/>
      <c r="AR345" s="143">
        <f>IFERROR(_xlfn.XLOOKUP($D345,'Modelling New'!$D:$D,'Modelling New'!$N:$N),"")</f>
        <v>11.72</v>
      </c>
      <c r="AT345" s="143" t="str">
        <f>IFERROR(_xlfn.XLOOKUP(Table13[[#This Row],[Date]],'Raw Data'!$G:$G,'Raw Data'!$AJ:$AJ),"")</f>
        <v/>
      </c>
      <c r="AU345" s="143">
        <f>IFERROR(_xlfn.XLOOKUP(Table13[[#This Row],[Month Year]],'Modelling New'!$D:$D,'Modelling New'!$AO:$AO),"")</f>
        <v>10</v>
      </c>
      <c r="AV345" s="143"/>
    </row>
    <row r="346" spans="1:48">
      <c r="A346" s="142">
        <f t="shared" si="24"/>
        <v>46089</v>
      </c>
      <c r="B346" s="143">
        <f>YEAR(Table13[[#This Row],[Date]])+IF(MONTH(Table13[[#This Row],[Date]])&gt;=4,1,0)</f>
        <v>2026</v>
      </c>
      <c r="C346" s="116">
        <f>YEAR(Table13[[#This Row],[Date]])</f>
        <v>2026</v>
      </c>
      <c r="D346" s="144">
        <f>Table13[[#This Row],[Date]]-DAY(Table13[[#This Row],[Date]])+1</f>
        <v>46082</v>
      </c>
      <c r="E346" s="116">
        <f t="shared" si="21"/>
        <v>31</v>
      </c>
      <c r="F346" s="117" t="str">
        <f>IFERROR(_xlfn.XLOOKUP($A346,'Raw Data'!$G:$G,'Raw Data'!$AH:$AH),"")</f>
        <v/>
      </c>
      <c r="G346" s="118" t="str">
        <f>IFERROR(_xlfn.XLOOKUP($A346,'Raw Data'!$G:$G,'Raw Data'!$S:$S)/1000,"")</f>
        <v/>
      </c>
      <c r="H346" s="118"/>
      <c r="I346" s="118" t="str">
        <f>IFERROR(_xlfn.XLOOKUP($A346,'Raw Data'!$G:$G,'Raw Data'!$AF:$AF)/1000,"")</f>
        <v/>
      </c>
      <c r="J346" s="118"/>
      <c r="K346" s="118" t="str">
        <f>IFERROR(_xlfn.XLOOKUP($A346,'Raw Data'!$G:$G,'Raw Data'!W:W),"")</f>
        <v/>
      </c>
      <c r="L346" s="118" t="str">
        <f>IFERROR(_xlfn.XLOOKUP($A346,'Raw Data'!$G:$G,'Raw Data'!X:X),"")</f>
        <v/>
      </c>
      <c r="M346" s="118" t="str">
        <f>IFERROR(_xlfn.XLOOKUP($A346,'Raw Data'!$G:$G,'Raw Data'!Y:Y),"")</f>
        <v/>
      </c>
      <c r="N346" s="118" t="str">
        <f>IFERROR(_xlfn.XLOOKUP($A346,'Raw Data'!$G:$G,'Raw Data'!Z:Z),"")</f>
        <v/>
      </c>
      <c r="O346" s="145" t="str">
        <f>IFERROR(1-SUMIF('Plant BD'!$B:$B,$A346,'Plant BD'!$AM:$AM)/($AA346+SUMIF('Plant BD'!$B:$B,$A346,'Plant BD'!$AM:$AM)),"")</f>
        <v/>
      </c>
      <c r="P346" s="145"/>
      <c r="Q346" s="146"/>
      <c r="R346" s="145" t="str">
        <f>IFERROR(1-SUMIF('Grid BD'!$B:$B,$A346,'Grid BD'!$AE:$AE)/($AA346+SUMIF('Grid BD'!$B:$B,$A346,'Grid BD'!$AE:$AE)),"")</f>
        <v/>
      </c>
      <c r="T346" s="146" t="str">
        <f>IFERROR(1-SUMIF(Tracker_BD!$H:$H,$A346,Tracker_BD!AI:AI)/$F346,"")</f>
        <v/>
      </c>
      <c r="U346" s="147" t="str">
        <f t="shared" si="22"/>
        <v/>
      </c>
      <c r="V346" s="147"/>
      <c r="W346" s="148" t="str">
        <f t="shared" si="23"/>
        <v/>
      </c>
      <c r="X346" s="143" t="str">
        <f>IFERROR(_xlfn.XLOOKUP($A346,'Raw Data'!$G:$G,'Raw Data'!$AB:$AB),"")</f>
        <v/>
      </c>
      <c r="Y346" s="143" t="str">
        <f>IFERROR(_xlfn.XLOOKUP($A346,'Raw Data'!$G:$G,'Raw Data'!AC:AC),"")</f>
        <v/>
      </c>
      <c r="Z346" s="143" t="str">
        <f>IFERROR(_xlfn.XLOOKUP($A346,'Raw Data'!$G:$G,'Raw Data'!AD:AD),"")</f>
        <v/>
      </c>
      <c r="AA346" s="143" t="str">
        <f>IFERROR(_xlfn.XLOOKUP($A346,'Raw Data'!$G:$G,'Raw Data'!AE:AE)*(1+(_xlfn.XLOOKUP(Table13[[#This Row],[Month Year]],JMR!$A:$A,JMR!$J:$J))),"")</f>
        <v/>
      </c>
      <c r="AB346" s="143" t="str">
        <f>IFERROR(_xlfn.XLOOKUP($A346,'Raw Data'!$G:$G,'Raw Data'!$H:$H),"")</f>
        <v/>
      </c>
      <c r="AC346" s="149">
        <f>IFERROR(_xlfn.XLOOKUP($D346,'Modelling New'!$D:$D,'Modelling New'!$P:$P),"")</f>
        <v>7.7166057064516123</v>
      </c>
      <c r="AD346" s="143">
        <f>IFERROR(_xlfn.XLOOKUP($D346,'Modelling New'!$D:$D,'Modelling New'!$T:$T)*1000,"")</f>
        <v>67607.798406693953</v>
      </c>
      <c r="AE346" s="148">
        <f>IFERROR(_xlfn.XLOOKUP($D346,'Modelling New'!$D:$D,'Modelling New'!$O:$O),"")</f>
        <v>0.74755452089211905</v>
      </c>
      <c r="AF346" s="148">
        <f>IFERROR(_xlfn.XLOOKUP($D346,'Modelling New'!$D:$D,'Modelling New'!$W:$W),"")</f>
        <v>0.24035764507499272</v>
      </c>
      <c r="AG346" s="148">
        <f>IFERROR(_xlfn.XLOOKUP($D346,'Modelling New'!$D:$D,'Modelling New'!AE:AE),"")</f>
        <v>0.995</v>
      </c>
      <c r="AH346" s="148">
        <f>IFERROR(_xlfn.XLOOKUP($D346,'Modelling New'!$D:$D,'Modelling New'!AF:AF),"")</f>
        <v>0.98550000000000004</v>
      </c>
      <c r="AN346" s="145"/>
      <c r="AO346" s="148"/>
      <c r="AP346" s="148"/>
      <c r="AQ346" s="148"/>
      <c r="AR346" s="143">
        <f>IFERROR(_xlfn.XLOOKUP($D346,'Modelling New'!$D:$D,'Modelling New'!$N:$N),"")</f>
        <v>11.72</v>
      </c>
      <c r="AT346" s="143" t="str">
        <f>IFERROR(_xlfn.XLOOKUP(Table13[[#This Row],[Date]],'Raw Data'!$G:$G,'Raw Data'!$AJ:$AJ),"")</f>
        <v/>
      </c>
      <c r="AU346" s="143">
        <f>IFERROR(_xlfn.XLOOKUP(Table13[[#This Row],[Month Year]],'Modelling New'!$D:$D,'Modelling New'!$AO:$AO),"")</f>
        <v>10</v>
      </c>
      <c r="AV346" s="143"/>
    </row>
    <row r="347" spans="1:48">
      <c r="A347" s="142">
        <f t="shared" si="24"/>
        <v>46090</v>
      </c>
      <c r="B347" s="143">
        <f>YEAR(Table13[[#This Row],[Date]])+IF(MONTH(Table13[[#This Row],[Date]])&gt;=4,1,0)</f>
        <v>2026</v>
      </c>
      <c r="C347" s="116">
        <f>YEAR(Table13[[#This Row],[Date]])</f>
        <v>2026</v>
      </c>
      <c r="D347" s="144">
        <f>Table13[[#This Row],[Date]]-DAY(Table13[[#This Row],[Date]])+1</f>
        <v>46082</v>
      </c>
      <c r="E347" s="116">
        <f t="shared" si="21"/>
        <v>31</v>
      </c>
      <c r="F347" s="117" t="str">
        <f>IFERROR(_xlfn.XLOOKUP($A347,'Raw Data'!$G:$G,'Raw Data'!$AH:$AH),"")</f>
        <v/>
      </c>
      <c r="G347" s="118" t="str">
        <f>IFERROR(_xlfn.XLOOKUP($A347,'Raw Data'!$G:$G,'Raw Data'!$S:$S)/1000,"")</f>
        <v/>
      </c>
      <c r="H347" s="118"/>
      <c r="I347" s="118" t="str">
        <f>IFERROR(_xlfn.XLOOKUP($A347,'Raw Data'!$G:$G,'Raw Data'!$AF:$AF)/1000,"")</f>
        <v/>
      </c>
      <c r="J347" s="118"/>
      <c r="K347" s="118" t="str">
        <f>IFERROR(_xlfn.XLOOKUP($A347,'Raw Data'!$G:$G,'Raw Data'!W:W),"")</f>
        <v/>
      </c>
      <c r="L347" s="118" t="str">
        <f>IFERROR(_xlfn.XLOOKUP($A347,'Raw Data'!$G:$G,'Raw Data'!X:X),"")</f>
        <v/>
      </c>
      <c r="M347" s="118" t="str">
        <f>IFERROR(_xlfn.XLOOKUP($A347,'Raw Data'!$G:$G,'Raw Data'!Y:Y),"")</f>
        <v/>
      </c>
      <c r="N347" s="118" t="str">
        <f>IFERROR(_xlfn.XLOOKUP($A347,'Raw Data'!$G:$G,'Raw Data'!Z:Z),"")</f>
        <v/>
      </c>
      <c r="O347" s="145" t="str">
        <f>IFERROR(1-SUMIF('Plant BD'!$B:$B,$A347,'Plant BD'!$AM:$AM)/($AA347+SUMIF('Plant BD'!$B:$B,$A347,'Plant BD'!$AM:$AM)),"")</f>
        <v/>
      </c>
      <c r="P347" s="145"/>
      <c r="Q347" s="146"/>
      <c r="R347" s="145" t="str">
        <f>IFERROR(1-SUMIF('Grid BD'!$B:$B,$A347,'Grid BD'!$AE:$AE)/($AA347+SUMIF('Grid BD'!$B:$B,$A347,'Grid BD'!$AE:$AE)),"")</f>
        <v/>
      </c>
      <c r="T347" s="146" t="str">
        <f>IFERROR(1-SUMIF(Tracker_BD!$H:$H,$A347,Tracker_BD!AI:AI)/$F347,"")</f>
        <v/>
      </c>
      <c r="U347" s="147" t="str">
        <f t="shared" si="22"/>
        <v/>
      </c>
      <c r="V347" s="147"/>
      <c r="W347" s="148" t="str">
        <f t="shared" si="23"/>
        <v/>
      </c>
      <c r="X347" s="143" t="str">
        <f>IFERROR(_xlfn.XLOOKUP($A347,'Raw Data'!$G:$G,'Raw Data'!$AB:$AB),"")</f>
        <v/>
      </c>
      <c r="Y347" s="143" t="str">
        <f>IFERROR(_xlfn.XLOOKUP($A347,'Raw Data'!$G:$G,'Raw Data'!AC:AC),"")</f>
        <v/>
      </c>
      <c r="Z347" s="143" t="str">
        <f>IFERROR(_xlfn.XLOOKUP($A347,'Raw Data'!$G:$G,'Raw Data'!AD:AD),"")</f>
        <v/>
      </c>
      <c r="AA347" s="143" t="str">
        <f>IFERROR(_xlfn.XLOOKUP($A347,'Raw Data'!$G:$G,'Raw Data'!AE:AE)*(1+(_xlfn.XLOOKUP(Table13[[#This Row],[Month Year]],JMR!$A:$A,JMR!$J:$J))),"")</f>
        <v/>
      </c>
      <c r="AB347" s="143" t="str">
        <f>IFERROR(_xlfn.XLOOKUP($A347,'Raw Data'!$G:$G,'Raw Data'!$H:$H),"")</f>
        <v/>
      </c>
      <c r="AC347" s="149">
        <f>IFERROR(_xlfn.XLOOKUP($D347,'Modelling New'!$D:$D,'Modelling New'!$P:$P),"")</f>
        <v>7.7166057064516123</v>
      </c>
      <c r="AD347" s="143">
        <f>IFERROR(_xlfn.XLOOKUP($D347,'Modelling New'!$D:$D,'Modelling New'!$T:$T)*1000,"")</f>
        <v>67607.798406693953</v>
      </c>
      <c r="AE347" s="148">
        <f>IFERROR(_xlfn.XLOOKUP($D347,'Modelling New'!$D:$D,'Modelling New'!$O:$O),"")</f>
        <v>0.74755452089211905</v>
      </c>
      <c r="AF347" s="148">
        <f>IFERROR(_xlfn.XLOOKUP($D347,'Modelling New'!$D:$D,'Modelling New'!$W:$W),"")</f>
        <v>0.24035764507499272</v>
      </c>
      <c r="AG347" s="148">
        <f>IFERROR(_xlfn.XLOOKUP($D347,'Modelling New'!$D:$D,'Modelling New'!AE:AE),"")</f>
        <v>0.995</v>
      </c>
      <c r="AH347" s="148">
        <f>IFERROR(_xlfn.XLOOKUP($D347,'Modelling New'!$D:$D,'Modelling New'!AF:AF),"")</f>
        <v>0.98550000000000004</v>
      </c>
      <c r="AN347" s="145"/>
      <c r="AO347" s="148"/>
      <c r="AP347" s="148"/>
      <c r="AQ347" s="148"/>
      <c r="AR347" s="143">
        <f>IFERROR(_xlfn.XLOOKUP($D347,'Modelling New'!$D:$D,'Modelling New'!$N:$N),"")</f>
        <v>11.72</v>
      </c>
      <c r="AT347" s="143" t="str">
        <f>IFERROR(_xlfn.XLOOKUP(Table13[[#This Row],[Date]],'Raw Data'!$G:$G,'Raw Data'!$AJ:$AJ),"")</f>
        <v/>
      </c>
      <c r="AU347" s="143">
        <f>IFERROR(_xlfn.XLOOKUP(Table13[[#This Row],[Month Year]],'Modelling New'!$D:$D,'Modelling New'!$AO:$AO),"")</f>
        <v>10</v>
      </c>
      <c r="AV347" s="143"/>
    </row>
    <row r="348" spans="1:48">
      <c r="A348" s="142">
        <f t="shared" si="24"/>
        <v>46091</v>
      </c>
      <c r="B348" s="143">
        <f>YEAR(Table13[[#This Row],[Date]])+IF(MONTH(Table13[[#This Row],[Date]])&gt;=4,1,0)</f>
        <v>2026</v>
      </c>
      <c r="C348" s="116">
        <f>YEAR(Table13[[#This Row],[Date]])</f>
        <v>2026</v>
      </c>
      <c r="D348" s="144">
        <f>Table13[[#This Row],[Date]]-DAY(Table13[[#This Row],[Date]])+1</f>
        <v>46082</v>
      </c>
      <c r="E348" s="116">
        <f t="shared" si="21"/>
        <v>31</v>
      </c>
      <c r="F348" s="117" t="str">
        <f>IFERROR(_xlfn.XLOOKUP($A348,'Raw Data'!$G:$G,'Raw Data'!$AH:$AH),"")</f>
        <v/>
      </c>
      <c r="G348" s="118" t="str">
        <f>IFERROR(_xlfn.XLOOKUP($A348,'Raw Data'!$G:$G,'Raw Data'!$S:$S)/1000,"")</f>
        <v/>
      </c>
      <c r="H348" s="118"/>
      <c r="I348" s="118" t="str">
        <f>IFERROR(_xlfn.XLOOKUP($A348,'Raw Data'!$G:$G,'Raw Data'!$AF:$AF)/1000,"")</f>
        <v/>
      </c>
      <c r="J348" s="118"/>
      <c r="K348" s="118" t="str">
        <f>IFERROR(_xlfn.XLOOKUP($A348,'Raw Data'!$G:$G,'Raw Data'!W:W),"")</f>
        <v/>
      </c>
      <c r="L348" s="118" t="str">
        <f>IFERROR(_xlfn.XLOOKUP($A348,'Raw Data'!$G:$G,'Raw Data'!X:X),"")</f>
        <v/>
      </c>
      <c r="M348" s="118" t="str">
        <f>IFERROR(_xlfn.XLOOKUP($A348,'Raw Data'!$G:$G,'Raw Data'!Y:Y),"")</f>
        <v/>
      </c>
      <c r="N348" s="118" t="str">
        <f>IFERROR(_xlfn.XLOOKUP($A348,'Raw Data'!$G:$G,'Raw Data'!Z:Z),"")</f>
        <v/>
      </c>
      <c r="O348" s="145" t="str">
        <f>IFERROR(1-SUMIF('Plant BD'!$B:$B,$A348,'Plant BD'!$AM:$AM)/($AA348+SUMIF('Plant BD'!$B:$B,$A348,'Plant BD'!$AM:$AM)),"")</f>
        <v/>
      </c>
      <c r="P348" s="145"/>
      <c r="Q348" s="146"/>
      <c r="R348" s="145" t="str">
        <f>IFERROR(1-SUMIF('Grid BD'!$B:$B,$A348,'Grid BD'!$AE:$AE)/($AA348+SUMIF('Grid BD'!$B:$B,$A348,'Grid BD'!$AE:$AE)),"")</f>
        <v/>
      </c>
      <c r="T348" s="146" t="str">
        <f>IFERROR(1-SUMIF(Tracker_BD!$H:$H,$A348,Tracker_BD!AI:AI)/$F348,"")</f>
        <v/>
      </c>
      <c r="U348" s="147" t="str">
        <f t="shared" si="22"/>
        <v/>
      </c>
      <c r="V348" s="147"/>
      <c r="W348" s="148" t="str">
        <f t="shared" si="23"/>
        <v/>
      </c>
      <c r="X348" s="143" t="str">
        <f>IFERROR(_xlfn.XLOOKUP($A348,'Raw Data'!$G:$G,'Raw Data'!$AB:$AB),"")</f>
        <v/>
      </c>
      <c r="Y348" s="143" t="str">
        <f>IFERROR(_xlfn.XLOOKUP($A348,'Raw Data'!$G:$G,'Raw Data'!AC:AC),"")</f>
        <v/>
      </c>
      <c r="Z348" s="143" t="str">
        <f>IFERROR(_xlfn.XLOOKUP($A348,'Raw Data'!$G:$G,'Raw Data'!AD:AD),"")</f>
        <v/>
      </c>
      <c r="AA348" s="143" t="str">
        <f>IFERROR(_xlfn.XLOOKUP($A348,'Raw Data'!$G:$G,'Raw Data'!AE:AE)*(1+(_xlfn.XLOOKUP(Table13[[#This Row],[Month Year]],JMR!$A:$A,JMR!$J:$J))),"")</f>
        <v/>
      </c>
      <c r="AB348" s="143" t="str">
        <f>IFERROR(_xlfn.XLOOKUP($A348,'Raw Data'!$G:$G,'Raw Data'!$H:$H),"")</f>
        <v/>
      </c>
      <c r="AC348" s="149">
        <f>IFERROR(_xlfn.XLOOKUP($D348,'Modelling New'!$D:$D,'Modelling New'!$P:$P),"")</f>
        <v>7.7166057064516123</v>
      </c>
      <c r="AD348" s="143">
        <f>IFERROR(_xlfn.XLOOKUP($D348,'Modelling New'!$D:$D,'Modelling New'!$T:$T)*1000,"")</f>
        <v>67607.798406693953</v>
      </c>
      <c r="AE348" s="148">
        <f>IFERROR(_xlfn.XLOOKUP($D348,'Modelling New'!$D:$D,'Modelling New'!$O:$O),"")</f>
        <v>0.74755452089211905</v>
      </c>
      <c r="AF348" s="148">
        <f>IFERROR(_xlfn.XLOOKUP($D348,'Modelling New'!$D:$D,'Modelling New'!$W:$W),"")</f>
        <v>0.24035764507499272</v>
      </c>
      <c r="AG348" s="148">
        <f>IFERROR(_xlfn.XLOOKUP($D348,'Modelling New'!$D:$D,'Modelling New'!AE:AE),"")</f>
        <v>0.995</v>
      </c>
      <c r="AH348" s="148">
        <f>IFERROR(_xlfn.XLOOKUP($D348,'Modelling New'!$D:$D,'Modelling New'!AF:AF),"")</f>
        <v>0.98550000000000004</v>
      </c>
      <c r="AN348" s="145"/>
      <c r="AO348" s="148"/>
      <c r="AP348" s="148"/>
      <c r="AQ348" s="148"/>
      <c r="AR348" s="143">
        <f>IFERROR(_xlfn.XLOOKUP($D348,'Modelling New'!$D:$D,'Modelling New'!$N:$N),"")</f>
        <v>11.72</v>
      </c>
      <c r="AT348" s="143" t="str">
        <f>IFERROR(_xlfn.XLOOKUP(Table13[[#This Row],[Date]],'Raw Data'!$G:$G,'Raw Data'!$AJ:$AJ),"")</f>
        <v/>
      </c>
      <c r="AU348" s="143">
        <f>IFERROR(_xlfn.XLOOKUP(Table13[[#This Row],[Month Year]],'Modelling New'!$D:$D,'Modelling New'!$AO:$AO),"")</f>
        <v>10</v>
      </c>
      <c r="AV348" s="143"/>
    </row>
    <row r="349" spans="1:48">
      <c r="A349" s="142">
        <f t="shared" si="24"/>
        <v>46092</v>
      </c>
      <c r="B349" s="143">
        <f>YEAR(Table13[[#This Row],[Date]])+IF(MONTH(Table13[[#This Row],[Date]])&gt;=4,1,0)</f>
        <v>2026</v>
      </c>
      <c r="C349" s="116">
        <f>YEAR(Table13[[#This Row],[Date]])</f>
        <v>2026</v>
      </c>
      <c r="D349" s="144">
        <f>Table13[[#This Row],[Date]]-DAY(Table13[[#This Row],[Date]])+1</f>
        <v>46082</v>
      </c>
      <c r="E349" s="116">
        <f t="shared" si="21"/>
        <v>31</v>
      </c>
      <c r="F349" s="117" t="str">
        <f>IFERROR(_xlfn.XLOOKUP($A349,'Raw Data'!$G:$G,'Raw Data'!$AH:$AH),"")</f>
        <v/>
      </c>
      <c r="G349" s="118" t="str">
        <f>IFERROR(_xlfn.XLOOKUP($A349,'Raw Data'!$G:$G,'Raw Data'!$S:$S)/1000,"")</f>
        <v/>
      </c>
      <c r="H349" s="118"/>
      <c r="I349" s="118" t="str">
        <f>IFERROR(_xlfn.XLOOKUP($A349,'Raw Data'!$G:$G,'Raw Data'!$AF:$AF)/1000,"")</f>
        <v/>
      </c>
      <c r="J349" s="118"/>
      <c r="K349" s="118" t="str">
        <f>IFERROR(_xlfn.XLOOKUP($A349,'Raw Data'!$G:$G,'Raw Data'!W:W),"")</f>
        <v/>
      </c>
      <c r="L349" s="118" t="str">
        <f>IFERROR(_xlfn.XLOOKUP($A349,'Raw Data'!$G:$G,'Raw Data'!X:X),"")</f>
        <v/>
      </c>
      <c r="M349" s="118" t="str">
        <f>IFERROR(_xlfn.XLOOKUP($A349,'Raw Data'!$G:$G,'Raw Data'!Y:Y),"")</f>
        <v/>
      </c>
      <c r="N349" s="118" t="str">
        <f>IFERROR(_xlfn.XLOOKUP($A349,'Raw Data'!$G:$G,'Raw Data'!Z:Z),"")</f>
        <v/>
      </c>
      <c r="O349" s="145" t="str">
        <f>IFERROR(1-SUMIF('Plant BD'!$B:$B,$A349,'Plant BD'!$AM:$AM)/($AA349+SUMIF('Plant BD'!$B:$B,$A349,'Plant BD'!$AM:$AM)),"")</f>
        <v/>
      </c>
      <c r="P349" s="145"/>
      <c r="Q349" s="146"/>
      <c r="R349" s="145" t="str">
        <f>IFERROR(1-SUMIF('Grid BD'!$B:$B,$A349,'Grid BD'!$AE:$AE)/($AA349+SUMIF('Grid BD'!$B:$B,$A349,'Grid BD'!$AE:$AE)),"")</f>
        <v/>
      </c>
      <c r="T349" s="146" t="str">
        <f>IFERROR(1-SUMIF(Tracker_BD!$H:$H,$A349,Tracker_BD!AI:AI)/$F349,"")</f>
        <v/>
      </c>
      <c r="U349" s="147" t="str">
        <f t="shared" si="22"/>
        <v/>
      </c>
      <c r="V349" s="147"/>
      <c r="W349" s="148" t="str">
        <f t="shared" si="23"/>
        <v/>
      </c>
      <c r="X349" s="143" t="str">
        <f>IFERROR(_xlfn.XLOOKUP($A349,'Raw Data'!$G:$G,'Raw Data'!$AB:$AB),"")</f>
        <v/>
      </c>
      <c r="Y349" s="143" t="str">
        <f>IFERROR(_xlfn.XLOOKUP($A349,'Raw Data'!$G:$G,'Raw Data'!AC:AC),"")</f>
        <v/>
      </c>
      <c r="Z349" s="143" t="str">
        <f>IFERROR(_xlfn.XLOOKUP($A349,'Raw Data'!$G:$G,'Raw Data'!AD:AD),"")</f>
        <v/>
      </c>
      <c r="AA349" s="143" t="str">
        <f>IFERROR(_xlfn.XLOOKUP($A349,'Raw Data'!$G:$G,'Raw Data'!AE:AE)*(1+(_xlfn.XLOOKUP(Table13[[#This Row],[Month Year]],JMR!$A:$A,JMR!$J:$J))),"")</f>
        <v/>
      </c>
      <c r="AB349" s="143" t="str">
        <f>IFERROR(_xlfn.XLOOKUP($A349,'Raw Data'!$G:$G,'Raw Data'!$H:$H),"")</f>
        <v/>
      </c>
      <c r="AC349" s="149">
        <f>IFERROR(_xlfn.XLOOKUP($D349,'Modelling New'!$D:$D,'Modelling New'!$P:$P),"")</f>
        <v>7.7166057064516123</v>
      </c>
      <c r="AD349" s="143">
        <f>IFERROR(_xlfn.XLOOKUP($D349,'Modelling New'!$D:$D,'Modelling New'!$T:$T)*1000,"")</f>
        <v>67607.798406693953</v>
      </c>
      <c r="AE349" s="148">
        <f>IFERROR(_xlfn.XLOOKUP($D349,'Modelling New'!$D:$D,'Modelling New'!$O:$O),"")</f>
        <v>0.74755452089211905</v>
      </c>
      <c r="AF349" s="148">
        <f>IFERROR(_xlfn.XLOOKUP($D349,'Modelling New'!$D:$D,'Modelling New'!$W:$W),"")</f>
        <v>0.24035764507499272</v>
      </c>
      <c r="AG349" s="148">
        <f>IFERROR(_xlfn.XLOOKUP($D349,'Modelling New'!$D:$D,'Modelling New'!AE:AE),"")</f>
        <v>0.995</v>
      </c>
      <c r="AH349" s="148">
        <f>IFERROR(_xlfn.XLOOKUP($D349,'Modelling New'!$D:$D,'Modelling New'!AF:AF),"")</f>
        <v>0.98550000000000004</v>
      </c>
      <c r="AN349" s="145"/>
      <c r="AO349" s="148"/>
      <c r="AP349" s="148"/>
      <c r="AQ349" s="148"/>
      <c r="AR349" s="143">
        <f>IFERROR(_xlfn.XLOOKUP($D349,'Modelling New'!$D:$D,'Modelling New'!$N:$N),"")</f>
        <v>11.72</v>
      </c>
      <c r="AT349" s="143" t="str">
        <f>IFERROR(_xlfn.XLOOKUP(Table13[[#This Row],[Date]],'Raw Data'!$G:$G,'Raw Data'!$AJ:$AJ),"")</f>
        <v/>
      </c>
      <c r="AU349" s="143">
        <f>IFERROR(_xlfn.XLOOKUP(Table13[[#This Row],[Month Year]],'Modelling New'!$D:$D,'Modelling New'!$AO:$AO),"")</f>
        <v>10</v>
      </c>
      <c r="AV349" s="143"/>
    </row>
    <row r="350" spans="1:48">
      <c r="A350" s="142">
        <f t="shared" si="24"/>
        <v>46093</v>
      </c>
      <c r="B350" s="143">
        <f>YEAR(Table13[[#This Row],[Date]])+IF(MONTH(Table13[[#This Row],[Date]])&gt;=4,1,0)</f>
        <v>2026</v>
      </c>
      <c r="C350" s="116">
        <f>YEAR(Table13[[#This Row],[Date]])</f>
        <v>2026</v>
      </c>
      <c r="D350" s="144">
        <f>Table13[[#This Row],[Date]]-DAY(Table13[[#This Row],[Date]])+1</f>
        <v>46082</v>
      </c>
      <c r="E350" s="116">
        <f t="shared" si="21"/>
        <v>31</v>
      </c>
      <c r="F350" s="117" t="str">
        <f>IFERROR(_xlfn.XLOOKUP($A350,'Raw Data'!$G:$G,'Raw Data'!$AH:$AH),"")</f>
        <v/>
      </c>
      <c r="G350" s="118" t="str">
        <f>IFERROR(_xlfn.XLOOKUP($A350,'Raw Data'!$G:$G,'Raw Data'!$S:$S)/1000,"")</f>
        <v/>
      </c>
      <c r="H350" s="118"/>
      <c r="I350" s="118" t="str">
        <f>IFERROR(_xlfn.XLOOKUP($A350,'Raw Data'!$G:$G,'Raw Data'!$AF:$AF)/1000,"")</f>
        <v/>
      </c>
      <c r="J350" s="118"/>
      <c r="K350" s="118" t="str">
        <f>IFERROR(_xlfn.XLOOKUP($A350,'Raw Data'!$G:$G,'Raw Data'!W:W),"")</f>
        <v/>
      </c>
      <c r="L350" s="118" t="str">
        <f>IFERROR(_xlfn.XLOOKUP($A350,'Raw Data'!$G:$G,'Raw Data'!X:X),"")</f>
        <v/>
      </c>
      <c r="M350" s="118" t="str">
        <f>IFERROR(_xlfn.XLOOKUP($A350,'Raw Data'!$G:$G,'Raw Data'!Y:Y),"")</f>
        <v/>
      </c>
      <c r="N350" s="118" t="str">
        <f>IFERROR(_xlfn.XLOOKUP($A350,'Raw Data'!$G:$G,'Raw Data'!Z:Z),"")</f>
        <v/>
      </c>
      <c r="O350" s="145" t="str">
        <f>IFERROR(1-SUMIF('Plant BD'!$B:$B,$A350,'Plant BD'!$AM:$AM)/($AA350+SUMIF('Plant BD'!$B:$B,$A350,'Plant BD'!$AM:$AM)),"")</f>
        <v/>
      </c>
      <c r="P350" s="145"/>
      <c r="Q350" s="146"/>
      <c r="R350" s="145" t="str">
        <f>IFERROR(1-SUMIF('Grid BD'!$B:$B,$A350,'Grid BD'!$AE:$AE)/($AA350+SUMIF('Grid BD'!$B:$B,$A350,'Grid BD'!$AE:$AE)),"")</f>
        <v/>
      </c>
      <c r="T350" s="146" t="str">
        <f>IFERROR(1-SUMIF(Tracker_BD!$H:$H,$A350,Tracker_BD!AI:AI)/$F350,"")</f>
        <v/>
      </c>
      <c r="U350" s="147" t="str">
        <f t="shared" si="22"/>
        <v/>
      </c>
      <c r="V350" s="147"/>
      <c r="W350" s="148" t="str">
        <f t="shared" si="23"/>
        <v/>
      </c>
      <c r="X350" s="143" t="str">
        <f>IFERROR(_xlfn.XLOOKUP($A350,'Raw Data'!$G:$G,'Raw Data'!$AB:$AB),"")</f>
        <v/>
      </c>
      <c r="Y350" s="143" t="str">
        <f>IFERROR(_xlfn.XLOOKUP($A350,'Raw Data'!$G:$G,'Raw Data'!AC:AC),"")</f>
        <v/>
      </c>
      <c r="Z350" s="143" t="str">
        <f>IFERROR(_xlfn.XLOOKUP($A350,'Raw Data'!$G:$G,'Raw Data'!AD:AD),"")</f>
        <v/>
      </c>
      <c r="AA350" s="143" t="str">
        <f>IFERROR(_xlfn.XLOOKUP($A350,'Raw Data'!$G:$G,'Raw Data'!AE:AE)*(1+(_xlfn.XLOOKUP(Table13[[#This Row],[Month Year]],JMR!$A:$A,JMR!$J:$J))),"")</f>
        <v/>
      </c>
      <c r="AB350" s="143" t="str">
        <f>IFERROR(_xlfn.XLOOKUP($A350,'Raw Data'!$G:$G,'Raw Data'!$H:$H),"")</f>
        <v/>
      </c>
      <c r="AC350" s="149">
        <f>IFERROR(_xlfn.XLOOKUP($D350,'Modelling New'!$D:$D,'Modelling New'!$P:$P),"")</f>
        <v>7.7166057064516123</v>
      </c>
      <c r="AD350" s="143">
        <f>IFERROR(_xlfn.XLOOKUP($D350,'Modelling New'!$D:$D,'Modelling New'!$T:$T)*1000,"")</f>
        <v>67607.798406693953</v>
      </c>
      <c r="AE350" s="148">
        <f>IFERROR(_xlfn.XLOOKUP($D350,'Modelling New'!$D:$D,'Modelling New'!$O:$O),"")</f>
        <v>0.74755452089211905</v>
      </c>
      <c r="AF350" s="148">
        <f>IFERROR(_xlfn.XLOOKUP($D350,'Modelling New'!$D:$D,'Modelling New'!$W:$W),"")</f>
        <v>0.24035764507499272</v>
      </c>
      <c r="AG350" s="148">
        <f>IFERROR(_xlfn.XLOOKUP($D350,'Modelling New'!$D:$D,'Modelling New'!AE:AE),"")</f>
        <v>0.995</v>
      </c>
      <c r="AH350" s="148">
        <f>IFERROR(_xlfn.XLOOKUP($D350,'Modelling New'!$D:$D,'Modelling New'!AF:AF),"")</f>
        <v>0.98550000000000004</v>
      </c>
      <c r="AN350" s="145"/>
      <c r="AO350" s="148"/>
      <c r="AP350" s="148"/>
      <c r="AQ350" s="148"/>
      <c r="AR350" s="143">
        <f>IFERROR(_xlfn.XLOOKUP($D350,'Modelling New'!$D:$D,'Modelling New'!$N:$N),"")</f>
        <v>11.72</v>
      </c>
      <c r="AT350" s="143" t="str">
        <f>IFERROR(_xlfn.XLOOKUP(Table13[[#This Row],[Date]],'Raw Data'!$G:$G,'Raw Data'!$AJ:$AJ),"")</f>
        <v/>
      </c>
      <c r="AU350" s="143">
        <f>IFERROR(_xlfn.XLOOKUP(Table13[[#This Row],[Month Year]],'Modelling New'!$D:$D,'Modelling New'!$AO:$AO),"")</f>
        <v>10</v>
      </c>
      <c r="AV350" s="143"/>
    </row>
    <row r="351" spans="1:48">
      <c r="A351" s="142">
        <f t="shared" si="24"/>
        <v>46094</v>
      </c>
      <c r="B351" s="143">
        <f>YEAR(Table13[[#This Row],[Date]])+IF(MONTH(Table13[[#This Row],[Date]])&gt;=4,1,0)</f>
        <v>2026</v>
      </c>
      <c r="C351" s="116">
        <f>YEAR(Table13[[#This Row],[Date]])</f>
        <v>2026</v>
      </c>
      <c r="D351" s="144">
        <f>Table13[[#This Row],[Date]]-DAY(Table13[[#This Row],[Date]])+1</f>
        <v>46082</v>
      </c>
      <c r="E351" s="116">
        <f t="shared" si="21"/>
        <v>31</v>
      </c>
      <c r="F351" s="117" t="str">
        <f>IFERROR(_xlfn.XLOOKUP($A351,'Raw Data'!$G:$G,'Raw Data'!$AH:$AH),"")</f>
        <v/>
      </c>
      <c r="G351" s="118" t="str">
        <f>IFERROR(_xlfn.XLOOKUP($A351,'Raw Data'!$G:$G,'Raw Data'!$S:$S)/1000,"")</f>
        <v/>
      </c>
      <c r="H351" s="118"/>
      <c r="I351" s="118" t="str">
        <f>IFERROR(_xlfn.XLOOKUP($A351,'Raw Data'!$G:$G,'Raw Data'!$AF:$AF)/1000,"")</f>
        <v/>
      </c>
      <c r="J351" s="118"/>
      <c r="K351" s="118" t="str">
        <f>IFERROR(_xlfn.XLOOKUP($A351,'Raw Data'!$G:$G,'Raw Data'!W:W),"")</f>
        <v/>
      </c>
      <c r="L351" s="118" t="str">
        <f>IFERROR(_xlfn.XLOOKUP($A351,'Raw Data'!$G:$G,'Raw Data'!X:X),"")</f>
        <v/>
      </c>
      <c r="M351" s="118" t="str">
        <f>IFERROR(_xlfn.XLOOKUP($A351,'Raw Data'!$G:$G,'Raw Data'!Y:Y),"")</f>
        <v/>
      </c>
      <c r="N351" s="118" t="str">
        <f>IFERROR(_xlfn.XLOOKUP($A351,'Raw Data'!$G:$G,'Raw Data'!Z:Z),"")</f>
        <v/>
      </c>
      <c r="O351" s="145" t="str">
        <f>IFERROR(1-SUMIF('Plant BD'!$B:$B,$A351,'Plant BD'!$AM:$AM)/($AA351+SUMIF('Plant BD'!$B:$B,$A351,'Plant BD'!$AM:$AM)),"")</f>
        <v/>
      </c>
      <c r="P351" s="145"/>
      <c r="Q351" s="146"/>
      <c r="R351" s="145" t="str">
        <f>IFERROR(1-SUMIF('Grid BD'!$B:$B,$A351,'Grid BD'!$AE:$AE)/($AA351+SUMIF('Grid BD'!$B:$B,$A351,'Grid BD'!$AE:$AE)),"")</f>
        <v/>
      </c>
      <c r="T351" s="146" t="str">
        <f>IFERROR(1-SUMIF(Tracker_BD!$H:$H,$A351,Tracker_BD!AI:AI)/$F351,"")</f>
        <v/>
      </c>
      <c r="U351" s="147" t="str">
        <f t="shared" si="22"/>
        <v/>
      </c>
      <c r="V351" s="147"/>
      <c r="W351" s="148" t="str">
        <f t="shared" si="23"/>
        <v/>
      </c>
      <c r="X351" s="143" t="str">
        <f>IFERROR(_xlfn.XLOOKUP($A351,'Raw Data'!$G:$G,'Raw Data'!$AB:$AB),"")</f>
        <v/>
      </c>
      <c r="Y351" s="143" t="str">
        <f>IFERROR(_xlfn.XLOOKUP($A351,'Raw Data'!$G:$G,'Raw Data'!AC:AC),"")</f>
        <v/>
      </c>
      <c r="Z351" s="143" t="str">
        <f>IFERROR(_xlfn.XLOOKUP($A351,'Raw Data'!$G:$G,'Raw Data'!AD:AD),"")</f>
        <v/>
      </c>
      <c r="AA351" s="143" t="str">
        <f>IFERROR(_xlfn.XLOOKUP($A351,'Raw Data'!$G:$G,'Raw Data'!AE:AE)*(1+(_xlfn.XLOOKUP(Table13[[#This Row],[Month Year]],JMR!$A:$A,JMR!$J:$J))),"")</f>
        <v/>
      </c>
      <c r="AB351" s="143" t="str">
        <f>IFERROR(_xlfn.XLOOKUP($A351,'Raw Data'!$G:$G,'Raw Data'!$H:$H),"")</f>
        <v/>
      </c>
      <c r="AC351" s="149">
        <f>IFERROR(_xlfn.XLOOKUP($D351,'Modelling New'!$D:$D,'Modelling New'!$P:$P),"")</f>
        <v>7.7166057064516123</v>
      </c>
      <c r="AD351" s="143">
        <f>IFERROR(_xlfn.XLOOKUP($D351,'Modelling New'!$D:$D,'Modelling New'!$T:$T)*1000,"")</f>
        <v>67607.798406693953</v>
      </c>
      <c r="AE351" s="148">
        <f>IFERROR(_xlfn.XLOOKUP($D351,'Modelling New'!$D:$D,'Modelling New'!$O:$O),"")</f>
        <v>0.74755452089211905</v>
      </c>
      <c r="AF351" s="148">
        <f>IFERROR(_xlfn.XLOOKUP($D351,'Modelling New'!$D:$D,'Modelling New'!$W:$W),"")</f>
        <v>0.24035764507499272</v>
      </c>
      <c r="AG351" s="148">
        <f>IFERROR(_xlfn.XLOOKUP($D351,'Modelling New'!$D:$D,'Modelling New'!AE:AE),"")</f>
        <v>0.995</v>
      </c>
      <c r="AH351" s="148">
        <f>IFERROR(_xlfn.XLOOKUP($D351,'Modelling New'!$D:$D,'Modelling New'!AF:AF),"")</f>
        <v>0.98550000000000004</v>
      </c>
      <c r="AN351" s="145"/>
      <c r="AO351" s="148"/>
      <c r="AP351" s="148"/>
      <c r="AQ351" s="148"/>
      <c r="AR351" s="143">
        <f>IFERROR(_xlfn.XLOOKUP($D351,'Modelling New'!$D:$D,'Modelling New'!$N:$N),"")</f>
        <v>11.72</v>
      </c>
      <c r="AT351" s="143" t="str">
        <f>IFERROR(_xlfn.XLOOKUP(Table13[[#This Row],[Date]],'Raw Data'!$G:$G,'Raw Data'!$AJ:$AJ),"")</f>
        <v/>
      </c>
      <c r="AU351" s="143">
        <f>IFERROR(_xlfn.XLOOKUP(Table13[[#This Row],[Month Year]],'Modelling New'!$D:$D,'Modelling New'!$AO:$AO),"")</f>
        <v>10</v>
      </c>
      <c r="AV351" s="143"/>
    </row>
    <row r="352" spans="1:48">
      <c r="A352" s="142">
        <f t="shared" si="24"/>
        <v>46095</v>
      </c>
      <c r="B352" s="143">
        <f>YEAR(Table13[[#This Row],[Date]])+IF(MONTH(Table13[[#This Row],[Date]])&gt;=4,1,0)</f>
        <v>2026</v>
      </c>
      <c r="C352" s="116">
        <f>YEAR(Table13[[#This Row],[Date]])</f>
        <v>2026</v>
      </c>
      <c r="D352" s="144">
        <f>Table13[[#This Row],[Date]]-DAY(Table13[[#This Row],[Date]])+1</f>
        <v>46082</v>
      </c>
      <c r="E352" s="116">
        <f t="shared" si="21"/>
        <v>31</v>
      </c>
      <c r="F352" s="117" t="str">
        <f>IFERROR(_xlfn.XLOOKUP($A352,'Raw Data'!$G:$G,'Raw Data'!$AH:$AH),"")</f>
        <v/>
      </c>
      <c r="G352" s="118" t="str">
        <f>IFERROR(_xlfn.XLOOKUP($A352,'Raw Data'!$G:$G,'Raw Data'!$S:$S)/1000,"")</f>
        <v/>
      </c>
      <c r="H352" s="118"/>
      <c r="I352" s="118" t="str">
        <f>IFERROR(_xlfn.XLOOKUP($A352,'Raw Data'!$G:$G,'Raw Data'!$AF:$AF)/1000,"")</f>
        <v/>
      </c>
      <c r="J352" s="118"/>
      <c r="K352" s="118" t="str">
        <f>IFERROR(_xlfn.XLOOKUP($A352,'Raw Data'!$G:$G,'Raw Data'!W:W),"")</f>
        <v/>
      </c>
      <c r="L352" s="118" t="str">
        <f>IFERROR(_xlfn.XLOOKUP($A352,'Raw Data'!$G:$G,'Raw Data'!X:X),"")</f>
        <v/>
      </c>
      <c r="M352" s="118" t="str">
        <f>IFERROR(_xlfn.XLOOKUP($A352,'Raw Data'!$G:$G,'Raw Data'!Y:Y),"")</f>
        <v/>
      </c>
      <c r="N352" s="118" t="str">
        <f>IFERROR(_xlfn.XLOOKUP($A352,'Raw Data'!$G:$G,'Raw Data'!Z:Z),"")</f>
        <v/>
      </c>
      <c r="O352" s="145" t="str">
        <f>IFERROR(1-SUMIF('Plant BD'!$B:$B,$A352,'Plant BD'!$AM:$AM)/($AA352+SUMIF('Plant BD'!$B:$B,$A352,'Plant BD'!$AM:$AM)),"")</f>
        <v/>
      </c>
      <c r="P352" s="145"/>
      <c r="Q352" s="146"/>
      <c r="R352" s="145" t="str">
        <f>IFERROR(1-SUMIF('Grid BD'!$B:$B,$A352,'Grid BD'!$AE:$AE)/($AA352+SUMIF('Grid BD'!$B:$B,$A352,'Grid BD'!$AE:$AE)),"")</f>
        <v/>
      </c>
      <c r="T352" s="146" t="str">
        <f>IFERROR(1-SUMIF(Tracker_BD!$H:$H,$A352,Tracker_BD!AI:AI)/$F352,"")</f>
        <v/>
      </c>
      <c r="U352" s="147" t="str">
        <f t="shared" si="22"/>
        <v/>
      </c>
      <c r="V352" s="147"/>
      <c r="W352" s="148" t="str">
        <f t="shared" si="23"/>
        <v/>
      </c>
      <c r="X352" s="143" t="str">
        <f>IFERROR(_xlfn.XLOOKUP($A352,'Raw Data'!$G:$G,'Raw Data'!$AB:$AB),"")</f>
        <v/>
      </c>
      <c r="Y352" s="143" t="str">
        <f>IFERROR(_xlfn.XLOOKUP($A352,'Raw Data'!$G:$G,'Raw Data'!AC:AC),"")</f>
        <v/>
      </c>
      <c r="Z352" s="143" t="str">
        <f>IFERROR(_xlfn.XLOOKUP($A352,'Raw Data'!$G:$G,'Raw Data'!AD:AD),"")</f>
        <v/>
      </c>
      <c r="AA352" s="143" t="str">
        <f>IFERROR(_xlfn.XLOOKUP($A352,'Raw Data'!$G:$G,'Raw Data'!AE:AE)*(1+(_xlfn.XLOOKUP(Table13[[#This Row],[Month Year]],JMR!$A:$A,JMR!$J:$J))),"")</f>
        <v/>
      </c>
      <c r="AB352" s="143" t="str">
        <f>IFERROR(_xlfn.XLOOKUP($A352,'Raw Data'!$G:$G,'Raw Data'!$H:$H),"")</f>
        <v/>
      </c>
      <c r="AC352" s="149">
        <f>IFERROR(_xlfn.XLOOKUP($D352,'Modelling New'!$D:$D,'Modelling New'!$P:$P),"")</f>
        <v>7.7166057064516123</v>
      </c>
      <c r="AD352" s="143">
        <f>IFERROR(_xlfn.XLOOKUP($D352,'Modelling New'!$D:$D,'Modelling New'!$T:$T)*1000,"")</f>
        <v>67607.798406693953</v>
      </c>
      <c r="AE352" s="148">
        <f>IFERROR(_xlfn.XLOOKUP($D352,'Modelling New'!$D:$D,'Modelling New'!$O:$O),"")</f>
        <v>0.74755452089211905</v>
      </c>
      <c r="AF352" s="148">
        <f>IFERROR(_xlfn.XLOOKUP($D352,'Modelling New'!$D:$D,'Modelling New'!$W:$W),"")</f>
        <v>0.24035764507499272</v>
      </c>
      <c r="AG352" s="148">
        <f>IFERROR(_xlfn.XLOOKUP($D352,'Modelling New'!$D:$D,'Modelling New'!AE:AE),"")</f>
        <v>0.995</v>
      </c>
      <c r="AH352" s="148">
        <f>IFERROR(_xlfn.XLOOKUP($D352,'Modelling New'!$D:$D,'Modelling New'!AF:AF),"")</f>
        <v>0.98550000000000004</v>
      </c>
      <c r="AN352" s="145"/>
      <c r="AO352" s="148"/>
      <c r="AP352" s="148"/>
      <c r="AQ352" s="148"/>
      <c r="AR352" s="143">
        <f>IFERROR(_xlfn.XLOOKUP($D352,'Modelling New'!$D:$D,'Modelling New'!$N:$N),"")</f>
        <v>11.72</v>
      </c>
      <c r="AT352" s="143" t="str">
        <f>IFERROR(_xlfn.XLOOKUP(Table13[[#This Row],[Date]],'Raw Data'!$G:$G,'Raw Data'!$AJ:$AJ),"")</f>
        <v/>
      </c>
      <c r="AU352" s="143">
        <f>IFERROR(_xlfn.XLOOKUP(Table13[[#This Row],[Month Year]],'Modelling New'!$D:$D,'Modelling New'!$AO:$AO),"")</f>
        <v>10</v>
      </c>
      <c r="AV352" s="143"/>
    </row>
    <row r="353" spans="1:48">
      <c r="A353" s="142">
        <f t="shared" si="24"/>
        <v>46096</v>
      </c>
      <c r="B353" s="143">
        <f>YEAR(Table13[[#This Row],[Date]])+IF(MONTH(Table13[[#This Row],[Date]])&gt;=4,1,0)</f>
        <v>2026</v>
      </c>
      <c r="C353" s="116">
        <f>YEAR(Table13[[#This Row],[Date]])</f>
        <v>2026</v>
      </c>
      <c r="D353" s="144">
        <f>Table13[[#This Row],[Date]]-DAY(Table13[[#This Row],[Date]])+1</f>
        <v>46082</v>
      </c>
      <c r="E353" s="116">
        <f t="shared" si="21"/>
        <v>31</v>
      </c>
      <c r="F353" s="117" t="str">
        <f>IFERROR(_xlfn.XLOOKUP($A353,'Raw Data'!$G:$G,'Raw Data'!$AH:$AH),"")</f>
        <v/>
      </c>
      <c r="G353" s="118" t="str">
        <f>IFERROR(_xlfn.XLOOKUP($A353,'Raw Data'!$G:$G,'Raw Data'!$S:$S)/1000,"")</f>
        <v/>
      </c>
      <c r="H353" s="118"/>
      <c r="I353" s="118" t="str">
        <f>IFERROR(_xlfn.XLOOKUP($A353,'Raw Data'!$G:$G,'Raw Data'!$AF:$AF)/1000,"")</f>
        <v/>
      </c>
      <c r="J353" s="118"/>
      <c r="K353" s="118" t="str">
        <f>IFERROR(_xlfn.XLOOKUP($A353,'Raw Data'!$G:$G,'Raw Data'!W:W),"")</f>
        <v/>
      </c>
      <c r="L353" s="118" t="str">
        <f>IFERROR(_xlfn.XLOOKUP($A353,'Raw Data'!$G:$G,'Raw Data'!X:X),"")</f>
        <v/>
      </c>
      <c r="M353" s="118" t="str">
        <f>IFERROR(_xlfn.XLOOKUP($A353,'Raw Data'!$G:$G,'Raw Data'!Y:Y),"")</f>
        <v/>
      </c>
      <c r="N353" s="118" t="str">
        <f>IFERROR(_xlfn.XLOOKUP($A353,'Raw Data'!$G:$G,'Raw Data'!Z:Z),"")</f>
        <v/>
      </c>
      <c r="O353" s="145" t="str">
        <f>IFERROR(1-SUMIF('Plant BD'!$B:$B,$A353,'Plant BD'!$AM:$AM)/($AA353+SUMIF('Plant BD'!$B:$B,$A353,'Plant BD'!$AM:$AM)),"")</f>
        <v/>
      </c>
      <c r="P353" s="145"/>
      <c r="Q353" s="146"/>
      <c r="R353" s="145" t="str">
        <f>IFERROR(1-SUMIF('Grid BD'!$B:$B,$A353,'Grid BD'!$AE:$AE)/($AA353+SUMIF('Grid BD'!$B:$B,$A353,'Grid BD'!$AE:$AE)),"")</f>
        <v/>
      </c>
      <c r="T353" s="146" t="str">
        <f>IFERROR(1-SUMIF(Tracker_BD!$H:$H,$A353,Tracker_BD!AI:AI)/$F353,"")</f>
        <v/>
      </c>
      <c r="U353" s="147" t="str">
        <f t="shared" si="22"/>
        <v/>
      </c>
      <c r="V353" s="147"/>
      <c r="W353" s="148" t="str">
        <f t="shared" si="23"/>
        <v/>
      </c>
      <c r="X353" s="143" t="str">
        <f>IFERROR(_xlfn.XLOOKUP($A353,'Raw Data'!$G:$G,'Raw Data'!$AB:$AB),"")</f>
        <v/>
      </c>
      <c r="Y353" s="143" t="str">
        <f>IFERROR(_xlfn.XLOOKUP($A353,'Raw Data'!$G:$G,'Raw Data'!AC:AC),"")</f>
        <v/>
      </c>
      <c r="Z353" s="143" t="str">
        <f>IFERROR(_xlfn.XLOOKUP($A353,'Raw Data'!$G:$G,'Raw Data'!AD:AD),"")</f>
        <v/>
      </c>
      <c r="AA353" s="143" t="str">
        <f>IFERROR(_xlfn.XLOOKUP($A353,'Raw Data'!$G:$G,'Raw Data'!AE:AE)*(1+(_xlfn.XLOOKUP(Table13[[#This Row],[Month Year]],JMR!$A:$A,JMR!$J:$J))),"")</f>
        <v/>
      </c>
      <c r="AB353" s="143" t="str">
        <f>IFERROR(_xlfn.XLOOKUP($A353,'Raw Data'!$G:$G,'Raw Data'!$H:$H),"")</f>
        <v/>
      </c>
      <c r="AC353" s="149">
        <f>IFERROR(_xlfn.XLOOKUP($D353,'Modelling New'!$D:$D,'Modelling New'!$P:$P),"")</f>
        <v>7.7166057064516123</v>
      </c>
      <c r="AD353" s="143">
        <f>IFERROR(_xlfn.XLOOKUP($D353,'Modelling New'!$D:$D,'Modelling New'!$T:$T)*1000,"")</f>
        <v>67607.798406693953</v>
      </c>
      <c r="AE353" s="148">
        <f>IFERROR(_xlfn.XLOOKUP($D353,'Modelling New'!$D:$D,'Modelling New'!$O:$O),"")</f>
        <v>0.74755452089211905</v>
      </c>
      <c r="AF353" s="148">
        <f>IFERROR(_xlfn.XLOOKUP($D353,'Modelling New'!$D:$D,'Modelling New'!$W:$W),"")</f>
        <v>0.24035764507499272</v>
      </c>
      <c r="AG353" s="148">
        <f>IFERROR(_xlfn.XLOOKUP($D353,'Modelling New'!$D:$D,'Modelling New'!AE:AE),"")</f>
        <v>0.995</v>
      </c>
      <c r="AH353" s="148">
        <f>IFERROR(_xlfn.XLOOKUP($D353,'Modelling New'!$D:$D,'Modelling New'!AF:AF),"")</f>
        <v>0.98550000000000004</v>
      </c>
      <c r="AN353" s="145"/>
      <c r="AO353" s="148"/>
      <c r="AP353" s="148"/>
      <c r="AQ353" s="148"/>
      <c r="AR353" s="143">
        <f>IFERROR(_xlfn.XLOOKUP($D353,'Modelling New'!$D:$D,'Modelling New'!$N:$N),"")</f>
        <v>11.72</v>
      </c>
      <c r="AT353" s="143" t="str">
        <f>IFERROR(_xlfn.XLOOKUP(Table13[[#This Row],[Date]],'Raw Data'!$G:$G,'Raw Data'!$AJ:$AJ),"")</f>
        <v/>
      </c>
      <c r="AU353" s="143">
        <f>IFERROR(_xlfn.XLOOKUP(Table13[[#This Row],[Month Year]],'Modelling New'!$D:$D,'Modelling New'!$AO:$AO),"")</f>
        <v>10</v>
      </c>
      <c r="AV353" s="143"/>
    </row>
    <row r="354" spans="1:48">
      <c r="A354" s="142">
        <f t="shared" si="24"/>
        <v>46097</v>
      </c>
      <c r="B354" s="143">
        <f>YEAR(Table13[[#This Row],[Date]])+IF(MONTH(Table13[[#This Row],[Date]])&gt;=4,1,0)</f>
        <v>2026</v>
      </c>
      <c r="C354" s="116">
        <f>YEAR(Table13[[#This Row],[Date]])</f>
        <v>2026</v>
      </c>
      <c r="D354" s="144">
        <f>Table13[[#This Row],[Date]]-DAY(Table13[[#This Row],[Date]])+1</f>
        <v>46082</v>
      </c>
      <c r="E354" s="116">
        <f t="shared" si="21"/>
        <v>31</v>
      </c>
      <c r="F354" s="117" t="str">
        <f>IFERROR(_xlfn.XLOOKUP($A354,'Raw Data'!$G:$G,'Raw Data'!$AH:$AH),"")</f>
        <v/>
      </c>
      <c r="G354" s="118" t="str">
        <f>IFERROR(_xlfn.XLOOKUP($A354,'Raw Data'!$G:$G,'Raw Data'!$S:$S)/1000,"")</f>
        <v/>
      </c>
      <c r="H354" s="118"/>
      <c r="I354" s="118" t="str">
        <f>IFERROR(_xlfn.XLOOKUP($A354,'Raw Data'!$G:$G,'Raw Data'!$AF:$AF)/1000,"")</f>
        <v/>
      </c>
      <c r="J354" s="118"/>
      <c r="K354" s="118" t="str">
        <f>IFERROR(_xlfn.XLOOKUP($A354,'Raw Data'!$G:$G,'Raw Data'!W:W),"")</f>
        <v/>
      </c>
      <c r="L354" s="118" t="str">
        <f>IFERROR(_xlfn.XLOOKUP($A354,'Raw Data'!$G:$G,'Raw Data'!X:X),"")</f>
        <v/>
      </c>
      <c r="M354" s="118" t="str">
        <f>IFERROR(_xlfn.XLOOKUP($A354,'Raw Data'!$G:$G,'Raw Data'!Y:Y),"")</f>
        <v/>
      </c>
      <c r="N354" s="118" t="str">
        <f>IFERROR(_xlfn.XLOOKUP($A354,'Raw Data'!$G:$G,'Raw Data'!Z:Z),"")</f>
        <v/>
      </c>
      <c r="O354" s="145" t="str">
        <f>IFERROR(1-SUMIF('Plant BD'!$B:$B,$A354,'Plant BD'!$AM:$AM)/($AA354+SUMIF('Plant BD'!$B:$B,$A354,'Plant BD'!$AM:$AM)),"")</f>
        <v/>
      </c>
      <c r="P354" s="145"/>
      <c r="Q354" s="146"/>
      <c r="R354" s="145" t="str">
        <f>IFERROR(1-SUMIF('Grid BD'!$B:$B,$A354,'Grid BD'!$AE:$AE)/($AA354+SUMIF('Grid BD'!$B:$B,$A354,'Grid BD'!$AE:$AE)),"")</f>
        <v/>
      </c>
      <c r="T354" s="146" t="str">
        <f>IFERROR(1-SUMIF(Tracker_BD!$H:$H,$A354,Tracker_BD!AI:AI)/$F354,"")</f>
        <v/>
      </c>
      <c r="U354" s="147" t="str">
        <f t="shared" si="22"/>
        <v/>
      </c>
      <c r="V354" s="147"/>
      <c r="W354" s="148" t="str">
        <f t="shared" si="23"/>
        <v/>
      </c>
      <c r="X354" s="143" t="str">
        <f>IFERROR(_xlfn.XLOOKUP($A354,'Raw Data'!$G:$G,'Raw Data'!$AB:$AB),"")</f>
        <v/>
      </c>
      <c r="Y354" s="143" t="str">
        <f>IFERROR(_xlfn.XLOOKUP($A354,'Raw Data'!$G:$G,'Raw Data'!AC:AC),"")</f>
        <v/>
      </c>
      <c r="Z354" s="143" t="str">
        <f>IFERROR(_xlfn.XLOOKUP($A354,'Raw Data'!$G:$G,'Raw Data'!AD:AD),"")</f>
        <v/>
      </c>
      <c r="AA354" s="143" t="str">
        <f>IFERROR(_xlfn.XLOOKUP($A354,'Raw Data'!$G:$G,'Raw Data'!AE:AE)*(1+(_xlfn.XLOOKUP(Table13[[#This Row],[Month Year]],JMR!$A:$A,JMR!$J:$J))),"")</f>
        <v/>
      </c>
      <c r="AB354" s="143" t="str">
        <f>IFERROR(_xlfn.XLOOKUP($A354,'Raw Data'!$G:$G,'Raw Data'!$H:$H),"")</f>
        <v/>
      </c>
      <c r="AC354" s="149">
        <f>IFERROR(_xlfn.XLOOKUP($D354,'Modelling New'!$D:$D,'Modelling New'!$P:$P),"")</f>
        <v>7.7166057064516123</v>
      </c>
      <c r="AD354" s="143">
        <f>IFERROR(_xlfn.XLOOKUP($D354,'Modelling New'!$D:$D,'Modelling New'!$T:$T)*1000,"")</f>
        <v>67607.798406693953</v>
      </c>
      <c r="AE354" s="148">
        <f>IFERROR(_xlfn.XLOOKUP($D354,'Modelling New'!$D:$D,'Modelling New'!$O:$O),"")</f>
        <v>0.74755452089211905</v>
      </c>
      <c r="AF354" s="148">
        <f>IFERROR(_xlfn.XLOOKUP($D354,'Modelling New'!$D:$D,'Modelling New'!$W:$W),"")</f>
        <v>0.24035764507499272</v>
      </c>
      <c r="AG354" s="148">
        <f>IFERROR(_xlfn.XLOOKUP($D354,'Modelling New'!$D:$D,'Modelling New'!AE:AE),"")</f>
        <v>0.995</v>
      </c>
      <c r="AH354" s="148">
        <f>IFERROR(_xlfn.XLOOKUP($D354,'Modelling New'!$D:$D,'Modelling New'!AF:AF),"")</f>
        <v>0.98550000000000004</v>
      </c>
      <c r="AN354" s="145"/>
      <c r="AO354" s="148"/>
      <c r="AP354" s="148"/>
      <c r="AQ354" s="148"/>
      <c r="AR354" s="143">
        <f>IFERROR(_xlfn.XLOOKUP($D354,'Modelling New'!$D:$D,'Modelling New'!$N:$N),"")</f>
        <v>11.72</v>
      </c>
      <c r="AT354" s="143" t="str">
        <f>IFERROR(_xlfn.XLOOKUP(Table13[[#This Row],[Date]],'Raw Data'!$G:$G,'Raw Data'!$AJ:$AJ),"")</f>
        <v/>
      </c>
      <c r="AU354" s="143">
        <f>IFERROR(_xlfn.XLOOKUP(Table13[[#This Row],[Month Year]],'Modelling New'!$D:$D,'Modelling New'!$AO:$AO),"")</f>
        <v>10</v>
      </c>
      <c r="AV354" s="143"/>
    </row>
    <row r="355" spans="1:48">
      <c r="A355" s="142">
        <f t="shared" si="24"/>
        <v>46098</v>
      </c>
      <c r="B355" s="143">
        <f>YEAR(Table13[[#This Row],[Date]])+IF(MONTH(Table13[[#This Row],[Date]])&gt;=4,1,0)</f>
        <v>2026</v>
      </c>
      <c r="C355" s="116">
        <f>YEAR(Table13[[#This Row],[Date]])</f>
        <v>2026</v>
      </c>
      <c r="D355" s="144">
        <f>Table13[[#This Row],[Date]]-DAY(Table13[[#This Row],[Date]])+1</f>
        <v>46082</v>
      </c>
      <c r="E355" s="116">
        <f t="shared" si="21"/>
        <v>31</v>
      </c>
      <c r="F355" s="117" t="str">
        <f>IFERROR(_xlfn.XLOOKUP($A355,'Raw Data'!$G:$G,'Raw Data'!$AH:$AH),"")</f>
        <v/>
      </c>
      <c r="G355" s="118" t="str">
        <f>IFERROR(_xlfn.XLOOKUP($A355,'Raw Data'!$G:$G,'Raw Data'!$S:$S)/1000,"")</f>
        <v/>
      </c>
      <c r="H355" s="118"/>
      <c r="I355" s="118" t="str">
        <f>IFERROR(_xlfn.XLOOKUP($A355,'Raw Data'!$G:$G,'Raw Data'!$AF:$AF)/1000,"")</f>
        <v/>
      </c>
      <c r="J355" s="118"/>
      <c r="K355" s="118" t="str">
        <f>IFERROR(_xlfn.XLOOKUP($A355,'Raw Data'!$G:$G,'Raw Data'!W:W),"")</f>
        <v/>
      </c>
      <c r="L355" s="118" t="str">
        <f>IFERROR(_xlfn.XLOOKUP($A355,'Raw Data'!$G:$G,'Raw Data'!X:X),"")</f>
        <v/>
      </c>
      <c r="M355" s="118" t="str">
        <f>IFERROR(_xlfn.XLOOKUP($A355,'Raw Data'!$G:$G,'Raw Data'!Y:Y),"")</f>
        <v/>
      </c>
      <c r="N355" s="118" t="str">
        <f>IFERROR(_xlfn.XLOOKUP($A355,'Raw Data'!$G:$G,'Raw Data'!Z:Z),"")</f>
        <v/>
      </c>
      <c r="O355" s="145" t="str">
        <f>IFERROR(1-SUMIF('Plant BD'!$B:$B,$A355,'Plant BD'!$AM:$AM)/($AA355+SUMIF('Plant BD'!$B:$B,$A355,'Plant BD'!$AM:$AM)),"")</f>
        <v/>
      </c>
      <c r="P355" s="145"/>
      <c r="Q355" s="146"/>
      <c r="R355" s="145" t="str">
        <f>IFERROR(1-SUMIF('Grid BD'!$B:$B,$A355,'Grid BD'!$AE:$AE)/($AA355+SUMIF('Grid BD'!$B:$B,$A355,'Grid BD'!$AE:$AE)),"")</f>
        <v/>
      </c>
      <c r="T355" s="146" t="str">
        <f>IFERROR(1-SUMIF(Tracker_BD!$H:$H,$A355,Tracker_BD!AI:AI)/$F355,"")</f>
        <v/>
      </c>
      <c r="U355" s="147" t="str">
        <f t="shared" si="22"/>
        <v/>
      </c>
      <c r="V355" s="147"/>
      <c r="W355" s="148" t="str">
        <f t="shared" si="23"/>
        <v/>
      </c>
      <c r="X355" s="143" t="str">
        <f>IFERROR(_xlfn.XLOOKUP($A355,'Raw Data'!$G:$G,'Raw Data'!$AB:$AB),"")</f>
        <v/>
      </c>
      <c r="Y355" s="143" t="str">
        <f>IFERROR(_xlfn.XLOOKUP($A355,'Raw Data'!$G:$G,'Raw Data'!AC:AC),"")</f>
        <v/>
      </c>
      <c r="Z355" s="143" t="str">
        <f>IFERROR(_xlfn.XLOOKUP($A355,'Raw Data'!$G:$G,'Raw Data'!AD:AD),"")</f>
        <v/>
      </c>
      <c r="AA355" s="143" t="str">
        <f>IFERROR(_xlfn.XLOOKUP($A355,'Raw Data'!$G:$G,'Raw Data'!AE:AE)*(1+(_xlfn.XLOOKUP(Table13[[#This Row],[Month Year]],JMR!$A:$A,JMR!$J:$J))),"")</f>
        <v/>
      </c>
      <c r="AB355" s="143" t="str">
        <f>IFERROR(_xlfn.XLOOKUP($A355,'Raw Data'!$G:$G,'Raw Data'!$H:$H),"")</f>
        <v/>
      </c>
      <c r="AC355" s="149">
        <f>IFERROR(_xlfn.XLOOKUP($D355,'Modelling New'!$D:$D,'Modelling New'!$P:$P),"")</f>
        <v>7.7166057064516123</v>
      </c>
      <c r="AD355" s="143">
        <f>IFERROR(_xlfn.XLOOKUP($D355,'Modelling New'!$D:$D,'Modelling New'!$T:$T)*1000,"")</f>
        <v>67607.798406693953</v>
      </c>
      <c r="AE355" s="148">
        <f>IFERROR(_xlfn.XLOOKUP($D355,'Modelling New'!$D:$D,'Modelling New'!$O:$O),"")</f>
        <v>0.74755452089211905</v>
      </c>
      <c r="AF355" s="148">
        <f>IFERROR(_xlfn.XLOOKUP($D355,'Modelling New'!$D:$D,'Modelling New'!$W:$W),"")</f>
        <v>0.24035764507499272</v>
      </c>
      <c r="AG355" s="148">
        <f>IFERROR(_xlfn.XLOOKUP($D355,'Modelling New'!$D:$D,'Modelling New'!AE:AE),"")</f>
        <v>0.995</v>
      </c>
      <c r="AH355" s="148">
        <f>IFERROR(_xlfn.XLOOKUP($D355,'Modelling New'!$D:$D,'Modelling New'!AF:AF),"")</f>
        <v>0.98550000000000004</v>
      </c>
      <c r="AN355" s="145"/>
      <c r="AO355" s="148"/>
      <c r="AP355" s="148"/>
      <c r="AQ355" s="148"/>
      <c r="AR355" s="143">
        <f>IFERROR(_xlfn.XLOOKUP($D355,'Modelling New'!$D:$D,'Modelling New'!$N:$N),"")</f>
        <v>11.72</v>
      </c>
      <c r="AT355" s="143" t="str">
        <f>IFERROR(_xlfn.XLOOKUP(Table13[[#This Row],[Date]],'Raw Data'!$G:$G,'Raw Data'!$AJ:$AJ),"")</f>
        <v/>
      </c>
      <c r="AU355" s="143">
        <f>IFERROR(_xlfn.XLOOKUP(Table13[[#This Row],[Month Year]],'Modelling New'!$D:$D,'Modelling New'!$AO:$AO),"")</f>
        <v>10</v>
      </c>
      <c r="AV355" s="143"/>
    </row>
    <row r="356" spans="1:48">
      <c r="A356" s="142">
        <f t="shared" si="24"/>
        <v>46099</v>
      </c>
      <c r="B356" s="143">
        <f>YEAR(Table13[[#This Row],[Date]])+IF(MONTH(Table13[[#This Row],[Date]])&gt;=4,1,0)</f>
        <v>2026</v>
      </c>
      <c r="C356" s="116">
        <f>YEAR(Table13[[#This Row],[Date]])</f>
        <v>2026</v>
      </c>
      <c r="D356" s="144">
        <f>Table13[[#This Row],[Date]]-DAY(Table13[[#This Row],[Date]])+1</f>
        <v>46082</v>
      </c>
      <c r="E356" s="116">
        <f t="shared" si="21"/>
        <v>31</v>
      </c>
      <c r="F356" s="117" t="str">
        <f>IFERROR(_xlfn.XLOOKUP($A356,'Raw Data'!$G:$G,'Raw Data'!$AH:$AH),"")</f>
        <v/>
      </c>
      <c r="G356" s="118" t="str">
        <f>IFERROR(_xlfn.XLOOKUP($A356,'Raw Data'!$G:$G,'Raw Data'!$S:$S)/1000,"")</f>
        <v/>
      </c>
      <c r="H356" s="118"/>
      <c r="I356" s="118" t="str">
        <f>IFERROR(_xlfn.XLOOKUP($A356,'Raw Data'!$G:$G,'Raw Data'!$AF:$AF)/1000,"")</f>
        <v/>
      </c>
      <c r="J356" s="118"/>
      <c r="K356" s="118" t="str">
        <f>IFERROR(_xlfn.XLOOKUP($A356,'Raw Data'!$G:$G,'Raw Data'!W:W),"")</f>
        <v/>
      </c>
      <c r="L356" s="118" t="str">
        <f>IFERROR(_xlfn.XLOOKUP($A356,'Raw Data'!$G:$G,'Raw Data'!X:X),"")</f>
        <v/>
      </c>
      <c r="M356" s="118" t="str">
        <f>IFERROR(_xlfn.XLOOKUP($A356,'Raw Data'!$G:$G,'Raw Data'!Y:Y),"")</f>
        <v/>
      </c>
      <c r="N356" s="118" t="str">
        <f>IFERROR(_xlfn.XLOOKUP($A356,'Raw Data'!$G:$G,'Raw Data'!Z:Z),"")</f>
        <v/>
      </c>
      <c r="O356" s="145" t="str">
        <f>IFERROR(1-SUMIF('Plant BD'!$B:$B,$A356,'Plant BD'!$AM:$AM)/($AA356+SUMIF('Plant BD'!$B:$B,$A356,'Plant BD'!$AM:$AM)),"")</f>
        <v/>
      </c>
      <c r="P356" s="145"/>
      <c r="Q356" s="146"/>
      <c r="R356" s="145" t="str">
        <f>IFERROR(1-SUMIF('Grid BD'!$B:$B,$A356,'Grid BD'!$AE:$AE)/($AA356+SUMIF('Grid BD'!$B:$B,$A356,'Grid BD'!$AE:$AE)),"")</f>
        <v/>
      </c>
      <c r="T356" s="146" t="str">
        <f>IFERROR(1-SUMIF(Tracker_BD!$H:$H,$A356,Tracker_BD!AI:AI)/$F356,"")</f>
        <v/>
      </c>
      <c r="U356" s="147" t="str">
        <f t="shared" si="22"/>
        <v/>
      </c>
      <c r="V356" s="147"/>
      <c r="W356" s="148" t="str">
        <f t="shared" si="23"/>
        <v/>
      </c>
      <c r="X356" s="143" t="str">
        <f>IFERROR(_xlfn.XLOOKUP($A356,'Raw Data'!$G:$G,'Raw Data'!$AB:$AB),"")</f>
        <v/>
      </c>
      <c r="Y356" s="143" t="str">
        <f>IFERROR(_xlfn.XLOOKUP($A356,'Raw Data'!$G:$G,'Raw Data'!AC:AC),"")</f>
        <v/>
      </c>
      <c r="Z356" s="143" t="str">
        <f>IFERROR(_xlfn.XLOOKUP($A356,'Raw Data'!$G:$G,'Raw Data'!AD:AD),"")</f>
        <v/>
      </c>
      <c r="AA356" s="143" t="str">
        <f>IFERROR(_xlfn.XLOOKUP($A356,'Raw Data'!$G:$G,'Raw Data'!AE:AE)*(1+(_xlfn.XLOOKUP(Table13[[#This Row],[Month Year]],JMR!$A:$A,JMR!$J:$J))),"")</f>
        <v/>
      </c>
      <c r="AB356" s="143" t="str">
        <f>IFERROR(_xlfn.XLOOKUP($A356,'Raw Data'!$G:$G,'Raw Data'!$H:$H),"")</f>
        <v/>
      </c>
      <c r="AC356" s="149">
        <f>IFERROR(_xlfn.XLOOKUP($D356,'Modelling New'!$D:$D,'Modelling New'!$P:$P),"")</f>
        <v>7.7166057064516123</v>
      </c>
      <c r="AD356" s="143">
        <f>IFERROR(_xlfn.XLOOKUP($D356,'Modelling New'!$D:$D,'Modelling New'!$T:$T)*1000,"")</f>
        <v>67607.798406693953</v>
      </c>
      <c r="AE356" s="148">
        <f>IFERROR(_xlfn.XLOOKUP($D356,'Modelling New'!$D:$D,'Modelling New'!$O:$O),"")</f>
        <v>0.74755452089211905</v>
      </c>
      <c r="AF356" s="148">
        <f>IFERROR(_xlfn.XLOOKUP($D356,'Modelling New'!$D:$D,'Modelling New'!$W:$W),"")</f>
        <v>0.24035764507499272</v>
      </c>
      <c r="AG356" s="148">
        <f>IFERROR(_xlfn.XLOOKUP($D356,'Modelling New'!$D:$D,'Modelling New'!AE:AE),"")</f>
        <v>0.995</v>
      </c>
      <c r="AH356" s="148">
        <f>IFERROR(_xlfn.XLOOKUP($D356,'Modelling New'!$D:$D,'Modelling New'!AF:AF),"")</f>
        <v>0.98550000000000004</v>
      </c>
      <c r="AN356" s="145"/>
      <c r="AO356" s="148"/>
      <c r="AP356" s="148"/>
      <c r="AQ356" s="148"/>
      <c r="AR356" s="143">
        <f>IFERROR(_xlfn.XLOOKUP($D356,'Modelling New'!$D:$D,'Modelling New'!$N:$N),"")</f>
        <v>11.72</v>
      </c>
      <c r="AT356" s="143" t="str">
        <f>IFERROR(_xlfn.XLOOKUP(Table13[[#This Row],[Date]],'Raw Data'!$G:$G,'Raw Data'!$AJ:$AJ),"")</f>
        <v/>
      </c>
      <c r="AU356" s="143">
        <f>IFERROR(_xlfn.XLOOKUP(Table13[[#This Row],[Month Year]],'Modelling New'!$D:$D,'Modelling New'!$AO:$AO),"")</f>
        <v>10</v>
      </c>
      <c r="AV356" s="143"/>
    </row>
    <row r="357" spans="1:48">
      <c r="A357" s="142">
        <f t="shared" si="24"/>
        <v>46100</v>
      </c>
      <c r="B357" s="143">
        <f>YEAR(Table13[[#This Row],[Date]])+IF(MONTH(Table13[[#This Row],[Date]])&gt;=4,1,0)</f>
        <v>2026</v>
      </c>
      <c r="C357" s="116">
        <f>YEAR(Table13[[#This Row],[Date]])</f>
        <v>2026</v>
      </c>
      <c r="D357" s="144">
        <f>Table13[[#This Row],[Date]]-DAY(Table13[[#This Row],[Date]])+1</f>
        <v>46082</v>
      </c>
      <c r="E357" s="116">
        <f t="shared" si="21"/>
        <v>31</v>
      </c>
      <c r="F357" s="117" t="str">
        <f>IFERROR(_xlfn.XLOOKUP($A357,'Raw Data'!$G:$G,'Raw Data'!$AH:$AH),"")</f>
        <v/>
      </c>
      <c r="G357" s="118" t="str">
        <f>IFERROR(_xlfn.XLOOKUP($A357,'Raw Data'!$G:$G,'Raw Data'!$S:$S)/1000,"")</f>
        <v/>
      </c>
      <c r="H357" s="118"/>
      <c r="I357" s="118" t="str">
        <f>IFERROR(_xlfn.XLOOKUP($A357,'Raw Data'!$G:$G,'Raw Data'!$AF:$AF)/1000,"")</f>
        <v/>
      </c>
      <c r="J357" s="118"/>
      <c r="K357" s="118" t="str">
        <f>IFERROR(_xlfn.XLOOKUP($A357,'Raw Data'!$G:$G,'Raw Data'!W:W),"")</f>
        <v/>
      </c>
      <c r="L357" s="118" t="str">
        <f>IFERROR(_xlfn.XLOOKUP($A357,'Raw Data'!$G:$G,'Raw Data'!X:X),"")</f>
        <v/>
      </c>
      <c r="M357" s="118" t="str">
        <f>IFERROR(_xlfn.XLOOKUP($A357,'Raw Data'!$G:$G,'Raw Data'!Y:Y),"")</f>
        <v/>
      </c>
      <c r="N357" s="118" t="str">
        <f>IFERROR(_xlfn.XLOOKUP($A357,'Raw Data'!$G:$G,'Raw Data'!Z:Z),"")</f>
        <v/>
      </c>
      <c r="O357" s="145" t="str">
        <f>IFERROR(1-SUMIF('Plant BD'!$B:$B,$A357,'Plant BD'!$AM:$AM)/($AA357+SUMIF('Plant BD'!$B:$B,$A357,'Plant BD'!$AM:$AM)),"")</f>
        <v/>
      </c>
      <c r="P357" s="145"/>
      <c r="Q357" s="146"/>
      <c r="R357" s="145" t="str">
        <f>IFERROR(1-SUMIF('Grid BD'!$B:$B,$A357,'Grid BD'!$AE:$AE)/($AA357+SUMIF('Grid BD'!$B:$B,$A357,'Grid BD'!$AE:$AE)),"")</f>
        <v/>
      </c>
      <c r="T357" s="146" t="str">
        <f>IFERROR(1-SUMIF(Tracker_BD!$H:$H,$A357,Tracker_BD!AI:AI)/$F357,"")</f>
        <v/>
      </c>
      <c r="U357" s="147" t="str">
        <f t="shared" si="22"/>
        <v/>
      </c>
      <c r="V357" s="147"/>
      <c r="W357" s="148" t="str">
        <f t="shared" si="23"/>
        <v/>
      </c>
      <c r="X357" s="143" t="str">
        <f>IFERROR(_xlfn.XLOOKUP($A357,'Raw Data'!$G:$G,'Raw Data'!$AB:$AB),"")</f>
        <v/>
      </c>
      <c r="Y357" s="143" t="str">
        <f>IFERROR(_xlfn.XLOOKUP($A357,'Raw Data'!$G:$G,'Raw Data'!AC:AC),"")</f>
        <v/>
      </c>
      <c r="Z357" s="143" t="str">
        <f>IFERROR(_xlfn.XLOOKUP($A357,'Raw Data'!$G:$G,'Raw Data'!AD:AD),"")</f>
        <v/>
      </c>
      <c r="AA357" s="143" t="str">
        <f>IFERROR(_xlfn.XLOOKUP($A357,'Raw Data'!$G:$G,'Raw Data'!AE:AE)*(1+(_xlfn.XLOOKUP(Table13[[#This Row],[Month Year]],JMR!$A:$A,JMR!$J:$J))),"")</f>
        <v/>
      </c>
      <c r="AB357" s="143" t="str">
        <f>IFERROR(_xlfn.XLOOKUP($A357,'Raw Data'!$G:$G,'Raw Data'!$H:$H),"")</f>
        <v/>
      </c>
      <c r="AC357" s="149">
        <f>IFERROR(_xlfn.XLOOKUP($D357,'Modelling New'!$D:$D,'Modelling New'!$P:$P),"")</f>
        <v>7.7166057064516123</v>
      </c>
      <c r="AD357" s="143">
        <f>IFERROR(_xlfn.XLOOKUP($D357,'Modelling New'!$D:$D,'Modelling New'!$T:$T)*1000,"")</f>
        <v>67607.798406693953</v>
      </c>
      <c r="AE357" s="148">
        <f>IFERROR(_xlfn.XLOOKUP($D357,'Modelling New'!$D:$D,'Modelling New'!$O:$O),"")</f>
        <v>0.74755452089211905</v>
      </c>
      <c r="AF357" s="148">
        <f>IFERROR(_xlfn.XLOOKUP($D357,'Modelling New'!$D:$D,'Modelling New'!$W:$W),"")</f>
        <v>0.24035764507499272</v>
      </c>
      <c r="AG357" s="148">
        <f>IFERROR(_xlfn.XLOOKUP($D357,'Modelling New'!$D:$D,'Modelling New'!AE:AE),"")</f>
        <v>0.995</v>
      </c>
      <c r="AH357" s="148">
        <f>IFERROR(_xlfn.XLOOKUP($D357,'Modelling New'!$D:$D,'Modelling New'!AF:AF),"")</f>
        <v>0.98550000000000004</v>
      </c>
      <c r="AN357" s="145"/>
      <c r="AO357" s="148"/>
      <c r="AP357" s="148"/>
      <c r="AQ357" s="148"/>
      <c r="AR357" s="143">
        <f>IFERROR(_xlfn.XLOOKUP($D357,'Modelling New'!$D:$D,'Modelling New'!$N:$N),"")</f>
        <v>11.72</v>
      </c>
      <c r="AT357" s="143" t="str">
        <f>IFERROR(_xlfn.XLOOKUP(Table13[[#This Row],[Date]],'Raw Data'!$G:$G,'Raw Data'!$AJ:$AJ),"")</f>
        <v/>
      </c>
      <c r="AU357" s="143">
        <f>IFERROR(_xlfn.XLOOKUP(Table13[[#This Row],[Month Year]],'Modelling New'!$D:$D,'Modelling New'!$AO:$AO),"")</f>
        <v>10</v>
      </c>
      <c r="AV357" s="143"/>
    </row>
    <row r="358" spans="1:48">
      <c r="A358" s="142">
        <f t="shared" si="24"/>
        <v>46101</v>
      </c>
      <c r="B358" s="143">
        <f>YEAR(Table13[[#This Row],[Date]])+IF(MONTH(Table13[[#This Row],[Date]])&gt;=4,1,0)</f>
        <v>2026</v>
      </c>
      <c r="C358" s="116">
        <f>YEAR(Table13[[#This Row],[Date]])</f>
        <v>2026</v>
      </c>
      <c r="D358" s="144">
        <f>Table13[[#This Row],[Date]]-DAY(Table13[[#This Row],[Date]])+1</f>
        <v>46082</v>
      </c>
      <c r="E358" s="116">
        <f t="shared" si="21"/>
        <v>31</v>
      </c>
      <c r="F358" s="117" t="str">
        <f>IFERROR(_xlfn.XLOOKUP($A358,'Raw Data'!$G:$G,'Raw Data'!$AH:$AH),"")</f>
        <v/>
      </c>
      <c r="G358" s="118" t="str">
        <f>IFERROR(_xlfn.XLOOKUP($A358,'Raw Data'!$G:$G,'Raw Data'!$S:$S)/1000,"")</f>
        <v/>
      </c>
      <c r="H358" s="118"/>
      <c r="I358" s="118" t="str">
        <f>IFERROR(_xlfn.XLOOKUP($A358,'Raw Data'!$G:$G,'Raw Data'!$AF:$AF)/1000,"")</f>
        <v/>
      </c>
      <c r="J358" s="118"/>
      <c r="K358" s="118" t="str">
        <f>IFERROR(_xlfn.XLOOKUP($A358,'Raw Data'!$G:$G,'Raw Data'!W:W),"")</f>
        <v/>
      </c>
      <c r="L358" s="118" t="str">
        <f>IFERROR(_xlfn.XLOOKUP($A358,'Raw Data'!$G:$G,'Raw Data'!X:X),"")</f>
        <v/>
      </c>
      <c r="M358" s="118" t="str">
        <f>IFERROR(_xlfn.XLOOKUP($A358,'Raw Data'!$G:$G,'Raw Data'!Y:Y),"")</f>
        <v/>
      </c>
      <c r="N358" s="118" t="str">
        <f>IFERROR(_xlfn.XLOOKUP($A358,'Raw Data'!$G:$G,'Raw Data'!Z:Z),"")</f>
        <v/>
      </c>
      <c r="O358" s="145" t="str">
        <f>IFERROR(1-SUMIF('Plant BD'!$B:$B,$A358,'Plant BD'!$AM:$AM)/($AA358+SUMIF('Plant BD'!$B:$B,$A358,'Plant BD'!$AM:$AM)),"")</f>
        <v/>
      </c>
      <c r="P358" s="145"/>
      <c r="Q358" s="146"/>
      <c r="R358" s="145" t="str">
        <f>IFERROR(1-SUMIF('Grid BD'!$B:$B,$A358,'Grid BD'!$AE:$AE)/($AA358+SUMIF('Grid BD'!$B:$B,$A358,'Grid BD'!$AE:$AE)),"")</f>
        <v/>
      </c>
      <c r="T358" s="146" t="str">
        <f>IFERROR(1-SUMIF(Tracker_BD!$H:$H,$A358,Tracker_BD!AI:AI)/$F358,"")</f>
        <v/>
      </c>
      <c r="U358" s="147" t="str">
        <f t="shared" si="22"/>
        <v/>
      </c>
      <c r="V358" s="147"/>
      <c r="W358" s="148" t="str">
        <f t="shared" si="23"/>
        <v/>
      </c>
      <c r="X358" s="143" t="str">
        <f>IFERROR(_xlfn.XLOOKUP($A358,'Raw Data'!$G:$G,'Raw Data'!$AB:$AB),"")</f>
        <v/>
      </c>
      <c r="Y358" s="143" t="str">
        <f>IFERROR(_xlfn.XLOOKUP($A358,'Raw Data'!$G:$G,'Raw Data'!AC:AC),"")</f>
        <v/>
      </c>
      <c r="Z358" s="143" t="str">
        <f>IFERROR(_xlfn.XLOOKUP($A358,'Raw Data'!$G:$G,'Raw Data'!AD:AD),"")</f>
        <v/>
      </c>
      <c r="AA358" s="143" t="str">
        <f>IFERROR(_xlfn.XLOOKUP($A358,'Raw Data'!$G:$G,'Raw Data'!AE:AE)*(1+(_xlfn.XLOOKUP(Table13[[#This Row],[Month Year]],JMR!$A:$A,JMR!$J:$J))),"")</f>
        <v/>
      </c>
      <c r="AB358" s="143" t="str">
        <f>IFERROR(_xlfn.XLOOKUP($A358,'Raw Data'!$G:$G,'Raw Data'!$H:$H),"")</f>
        <v/>
      </c>
      <c r="AC358" s="149">
        <f>IFERROR(_xlfn.XLOOKUP($D358,'Modelling New'!$D:$D,'Modelling New'!$P:$P),"")</f>
        <v>7.7166057064516123</v>
      </c>
      <c r="AD358" s="143">
        <f>IFERROR(_xlfn.XLOOKUP($D358,'Modelling New'!$D:$D,'Modelling New'!$T:$T)*1000,"")</f>
        <v>67607.798406693953</v>
      </c>
      <c r="AE358" s="148">
        <f>IFERROR(_xlfn.XLOOKUP($D358,'Modelling New'!$D:$D,'Modelling New'!$O:$O),"")</f>
        <v>0.74755452089211905</v>
      </c>
      <c r="AF358" s="148">
        <f>IFERROR(_xlfn.XLOOKUP($D358,'Modelling New'!$D:$D,'Modelling New'!$W:$W),"")</f>
        <v>0.24035764507499272</v>
      </c>
      <c r="AG358" s="148">
        <f>IFERROR(_xlfn.XLOOKUP($D358,'Modelling New'!$D:$D,'Modelling New'!AE:AE),"")</f>
        <v>0.995</v>
      </c>
      <c r="AH358" s="148">
        <f>IFERROR(_xlfn.XLOOKUP($D358,'Modelling New'!$D:$D,'Modelling New'!AF:AF),"")</f>
        <v>0.98550000000000004</v>
      </c>
      <c r="AN358" s="145"/>
      <c r="AO358" s="148"/>
      <c r="AP358" s="148"/>
      <c r="AQ358" s="148"/>
      <c r="AR358" s="143">
        <f>IFERROR(_xlfn.XLOOKUP($D358,'Modelling New'!$D:$D,'Modelling New'!$N:$N),"")</f>
        <v>11.72</v>
      </c>
      <c r="AT358" s="143" t="str">
        <f>IFERROR(_xlfn.XLOOKUP(Table13[[#This Row],[Date]],'Raw Data'!$G:$G,'Raw Data'!$AJ:$AJ),"")</f>
        <v/>
      </c>
      <c r="AU358" s="143">
        <f>IFERROR(_xlfn.XLOOKUP(Table13[[#This Row],[Month Year]],'Modelling New'!$D:$D,'Modelling New'!$AO:$AO),"")</f>
        <v>10</v>
      </c>
      <c r="AV358" s="143"/>
    </row>
    <row r="359" spans="1:48">
      <c r="A359" s="142">
        <f t="shared" si="24"/>
        <v>46102</v>
      </c>
      <c r="B359" s="143">
        <f>YEAR(Table13[[#This Row],[Date]])+IF(MONTH(Table13[[#This Row],[Date]])&gt;=4,1,0)</f>
        <v>2026</v>
      </c>
      <c r="C359" s="116">
        <f>YEAR(Table13[[#This Row],[Date]])</f>
        <v>2026</v>
      </c>
      <c r="D359" s="144">
        <f>Table13[[#This Row],[Date]]-DAY(Table13[[#This Row],[Date]])+1</f>
        <v>46082</v>
      </c>
      <c r="E359" s="116">
        <f t="shared" si="21"/>
        <v>31</v>
      </c>
      <c r="F359" s="117" t="str">
        <f>IFERROR(_xlfn.XLOOKUP($A359,'Raw Data'!$G:$G,'Raw Data'!$AH:$AH),"")</f>
        <v/>
      </c>
      <c r="G359" s="118" t="str">
        <f>IFERROR(_xlfn.XLOOKUP($A359,'Raw Data'!$G:$G,'Raw Data'!$S:$S)/1000,"")</f>
        <v/>
      </c>
      <c r="H359" s="118"/>
      <c r="I359" s="118" t="str">
        <f>IFERROR(_xlfn.XLOOKUP($A359,'Raw Data'!$G:$G,'Raw Data'!$AF:$AF)/1000,"")</f>
        <v/>
      </c>
      <c r="J359" s="118"/>
      <c r="K359" s="118" t="str">
        <f>IFERROR(_xlfn.XLOOKUP($A359,'Raw Data'!$G:$G,'Raw Data'!W:W),"")</f>
        <v/>
      </c>
      <c r="L359" s="118" t="str">
        <f>IFERROR(_xlfn.XLOOKUP($A359,'Raw Data'!$G:$G,'Raw Data'!X:X),"")</f>
        <v/>
      </c>
      <c r="M359" s="118" t="str">
        <f>IFERROR(_xlfn.XLOOKUP($A359,'Raw Data'!$G:$G,'Raw Data'!Y:Y),"")</f>
        <v/>
      </c>
      <c r="N359" s="118" t="str">
        <f>IFERROR(_xlfn.XLOOKUP($A359,'Raw Data'!$G:$G,'Raw Data'!Z:Z),"")</f>
        <v/>
      </c>
      <c r="O359" s="145" t="str">
        <f>IFERROR(1-SUMIF('Plant BD'!$B:$B,$A359,'Plant BD'!$AM:$AM)/($AA359+SUMIF('Plant BD'!$B:$B,$A359,'Plant BD'!$AM:$AM)),"")</f>
        <v/>
      </c>
      <c r="P359" s="145"/>
      <c r="Q359" s="146"/>
      <c r="R359" s="145" t="str">
        <f>IFERROR(1-SUMIF('Grid BD'!$B:$B,$A359,'Grid BD'!$AE:$AE)/($AA359+SUMIF('Grid BD'!$B:$B,$A359,'Grid BD'!$AE:$AE)),"")</f>
        <v/>
      </c>
      <c r="T359" s="146" t="str">
        <f>IFERROR(1-SUMIF(Tracker_BD!$H:$H,$A359,Tracker_BD!AI:AI)/$F359,"")</f>
        <v/>
      </c>
      <c r="U359" s="147" t="str">
        <f t="shared" si="22"/>
        <v/>
      </c>
      <c r="V359" s="147"/>
      <c r="W359" s="148" t="str">
        <f t="shared" si="23"/>
        <v/>
      </c>
      <c r="X359" s="143" t="str">
        <f>IFERROR(_xlfn.XLOOKUP($A359,'Raw Data'!$G:$G,'Raw Data'!$AB:$AB),"")</f>
        <v/>
      </c>
      <c r="Y359" s="143" t="str">
        <f>IFERROR(_xlfn.XLOOKUP($A359,'Raw Data'!$G:$G,'Raw Data'!AC:AC),"")</f>
        <v/>
      </c>
      <c r="Z359" s="143" t="str">
        <f>IFERROR(_xlfn.XLOOKUP($A359,'Raw Data'!$G:$G,'Raw Data'!AD:AD),"")</f>
        <v/>
      </c>
      <c r="AA359" s="143" t="str">
        <f>IFERROR(_xlfn.XLOOKUP($A359,'Raw Data'!$G:$G,'Raw Data'!AE:AE)*(1+(_xlfn.XLOOKUP(Table13[[#This Row],[Month Year]],JMR!$A:$A,JMR!$J:$J))),"")</f>
        <v/>
      </c>
      <c r="AB359" s="143" t="str">
        <f>IFERROR(_xlfn.XLOOKUP($A359,'Raw Data'!$G:$G,'Raw Data'!$H:$H),"")</f>
        <v/>
      </c>
      <c r="AC359" s="149">
        <f>IFERROR(_xlfn.XLOOKUP($D359,'Modelling New'!$D:$D,'Modelling New'!$P:$P),"")</f>
        <v>7.7166057064516123</v>
      </c>
      <c r="AD359" s="143">
        <f>IFERROR(_xlfn.XLOOKUP($D359,'Modelling New'!$D:$D,'Modelling New'!$T:$T)*1000,"")</f>
        <v>67607.798406693953</v>
      </c>
      <c r="AE359" s="148">
        <f>IFERROR(_xlfn.XLOOKUP($D359,'Modelling New'!$D:$D,'Modelling New'!$O:$O),"")</f>
        <v>0.74755452089211905</v>
      </c>
      <c r="AF359" s="148">
        <f>IFERROR(_xlfn.XLOOKUP($D359,'Modelling New'!$D:$D,'Modelling New'!$W:$W),"")</f>
        <v>0.24035764507499272</v>
      </c>
      <c r="AG359" s="148">
        <f>IFERROR(_xlfn.XLOOKUP($D359,'Modelling New'!$D:$D,'Modelling New'!AE:AE),"")</f>
        <v>0.995</v>
      </c>
      <c r="AH359" s="148">
        <f>IFERROR(_xlfn.XLOOKUP($D359,'Modelling New'!$D:$D,'Modelling New'!AF:AF),"")</f>
        <v>0.98550000000000004</v>
      </c>
      <c r="AN359" s="145"/>
      <c r="AO359" s="148"/>
      <c r="AP359" s="148"/>
      <c r="AQ359" s="148"/>
      <c r="AR359" s="143">
        <f>IFERROR(_xlfn.XLOOKUP($D359,'Modelling New'!$D:$D,'Modelling New'!$N:$N),"")</f>
        <v>11.72</v>
      </c>
      <c r="AT359" s="143" t="str">
        <f>IFERROR(_xlfn.XLOOKUP(Table13[[#This Row],[Date]],'Raw Data'!$G:$G,'Raw Data'!$AJ:$AJ),"")</f>
        <v/>
      </c>
      <c r="AU359" s="143">
        <f>IFERROR(_xlfn.XLOOKUP(Table13[[#This Row],[Month Year]],'Modelling New'!$D:$D,'Modelling New'!$AO:$AO),"")</f>
        <v>10</v>
      </c>
      <c r="AV359" s="143"/>
    </row>
    <row r="360" spans="1:48">
      <c r="A360" s="142">
        <f t="shared" si="24"/>
        <v>46103</v>
      </c>
      <c r="B360" s="143">
        <f>YEAR(Table13[[#This Row],[Date]])+IF(MONTH(Table13[[#This Row],[Date]])&gt;=4,1,0)</f>
        <v>2026</v>
      </c>
      <c r="C360" s="116">
        <f>YEAR(Table13[[#This Row],[Date]])</f>
        <v>2026</v>
      </c>
      <c r="D360" s="144">
        <f>Table13[[#This Row],[Date]]-DAY(Table13[[#This Row],[Date]])+1</f>
        <v>46082</v>
      </c>
      <c r="E360" s="116">
        <f t="shared" si="21"/>
        <v>31</v>
      </c>
      <c r="F360" s="117" t="str">
        <f>IFERROR(_xlfn.XLOOKUP($A360,'Raw Data'!$G:$G,'Raw Data'!$AH:$AH),"")</f>
        <v/>
      </c>
      <c r="G360" s="118" t="str">
        <f>IFERROR(_xlfn.XLOOKUP($A360,'Raw Data'!$G:$G,'Raw Data'!$S:$S)/1000,"")</f>
        <v/>
      </c>
      <c r="H360" s="118"/>
      <c r="I360" s="118" t="str">
        <f>IFERROR(_xlfn.XLOOKUP($A360,'Raw Data'!$G:$G,'Raw Data'!$AF:$AF)/1000,"")</f>
        <v/>
      </c>
      <c r="J360" s="118"/>
      <c r="K360" s="118" t="str">
        <f>IFERROR(_xlfn.XLOOKUP($A360,'Raw Data'!$G:$G,'Raw Data'!W:W),"")</f>
        <v/>
      </c>
      <c r="L360" s="118" t="str">
        <f>IFERROR(_xlfn.XLOOKUP($A360,'Raw Data'!$G:$G,'Raw Data'!X:X),"")</f>
        <v/>
      </c>
      <c r="M360" s="118" t="str">
        <f>IFERROR(_xlfn.XLOOKUP($A360,'Raw Data'!$G:$G,'Raw Data'!Y:Y),"")</f>
        <v/>
      </c>
      <c r="N360" s="118" t="str">
        <f>IFERROR(_xlfn.XLOOKUP($A360,'Raw Data'!$G:$G,'Raw Data'!Z:Z),"")</f>
        <v/>
      </c>
      <c r="O360" s="145" t="str">
        <f>IFERROR(1-SUMIF('Plant BD'!$B:$B,$A360,'Plant BD'!$AM:$AM)/($AA360+SUMIF('Plant BD'!$B:$B,$A360,'Plant BD'!$AM:$AM)),"")</f>
        <v/>
      </c>
      <c r="P360" s="145"/>
      <c r="Q360" s="146"/>
      <c r="R360" s="145" t="str">
        <f>IFERROR(1-SUMIF('Grid BD'!$B:$B,$A360,'Grid BD'!$AE:$AE)/($AA360+SUMIF('Grid BD'!$B:$B,$A360,'Grid BD'!$AE:$AE)),"")</f>
        <v/>
      </c>
      <c r="T360" s="146" t="str">
        <f>IFERROR(1-SUMIF(Tracker_BD!$H:$H,$A360,Tracker_BD!AI:AI)/$F360,"")</f>
        <v/>
      </c>
      <c r="U360" s="147" t="str">
        <f t="shared" si="22"/>
        <v/>
      </c>
      <c r="V360" s="147"/>
      <c r="W360" s="148" t="str">
        <f t="shared" si="23"/>
        <v/>
      </c>
      <c r="X360" s="143" t="str">
        <f>IFERROR(_xlfn.XLOOKUP($A360,'Raw Data'!$G:$G,'Raw Data'!$AB:$AB),"")</f>
        <v/>
      </c>
      <c r="Y360" s="143" t="str">
        <f>IFERROR(_xlfn.XLOOKUP($A360,'Raw Data'!$G:$G,'Raw Data'!AC:AC),"")</f>
        <v/>
      </c>
      <c r="Z360" s="143" t="str">
        <f>IFERROR(_xlfn.XLOOKUP($A360,'Raw Data'!$G:$G,'Raw Data'!AD:AD),"")</f>
        <v/>
      </c>
      <c r="AA360" s="143" t="str">
        <f>IFERROR(_xlfn.XLOOKUP($A360,'Raw Data'!$G:$G,'Raw Data'!AE:AE)*(1+(_xlfn.XLOOKUP(Table13[[#This Row],[Month Year]],JMR!$A:$A,JMR!$J:$J))),"")</f>
        <v/>
      </c>
      <c r="AB360" s="143" t="str">
        <f>IFERROR(_xlfn.XLOOKUP($A360,'Raw Data'!$G:$G,'Raw Data'!$H:$H),"")</f>
        <v/>
      </c>
      <c r="AC360" s="149">
        <f>IFERROR(_xlfn.XLOOKUP($D360,'Modelling New'!$D:$D,'Modelling New'!$P:$P),"")</f>
        <v>7.7166057064516123</v>
      </c>
      <c r="AD360" s="143">
        <f>IFERROR(_xlfn.XLOOKUP($D360,'Modelling New'!$D:$D,'Modelling New'!$T:$T)*1000,"")</f>
        <v>67607.798406693953</v>
      </c>
      <c r="AE360" s="148">
        <f>IFERROR(_xlfn.XLOOKUP($D360,'Modelling New'!$D:$D,'Modelling New'!$O:$O),"")</f>
        <v>0.74755452089211905</v>
      </c>
      <c r="AF360" s="148">
        <f>IFERROR(_xlfn.XLOOKUP($D360,'Modelling New'!$D:$D,'Modelling New'!$W:$W),"")</f>
        <v>0.24035764507499272</v>
      </c>
      <c r="AG360" s="148">
        <f>IFERROR(_xlfn.XLOOKUP($D360,'Modelling New'!$D:$D,'Modelling New'!AE:AE),"")</f>
        <v>0.995</v>
      </c>
      <c r="AH360" s="148">
        <f>IFERROR(_xlfn.XLOOKUP($D360,'Modelling New'!$D:$D,'Modelling New'!AF:AF),"")</f>
        <v>0.98550000000000004</v>
      </c>
      <c r="AN360" s="145"/>
      <c r="AO360" s="148"/>
      <c r="AP360" s="148"/>
      <c r="AQ360" s="148"/>
      <c r="AR360" s="143">
        <f>IFERROR(_xlfn.XLOOKUP($D360,'Modelling New'!$D:$D,'Modelling New'!$N:$N),"")</f>
        <v>11.72</v>
      </c>
      <c r="AT360" s="143" t="str">
        <f>IFERROR(_xlfn.XLOOKUP(Table13[[#This Row],[Date]],'Raw Data'!$G:$G,'Raw Data'!$AJ:$AJ),"")</f>
        <v/>
      </c>
      <c r="AU360" s="143">
        <f>IFERROR(_xlfn.XLOOKUP(Table13[[#This Row],[Month Year]],'Modelling New'!$D:$D,'Modelling New'!$AO:$AO),"")</f>
        <v>10</v>
      </c>
      <c r="AV360" s="143"/>
    </row>
    <row r="361" spans="1:48">
      <c r="A361" s="142">
        <f t="shared" si="24"/>
        <v>46104</v>
      </c>
      <c r="B361" s="143">
        <f>YEAR(Table13[[#This Row],[Date]])+IF(MONTH(Table13[[#This Row],[Date]])&gt;=4,1,0)</f>
        <v>2026</v>
      </c>
      <c r="C361" s="116">
        <f>YEAR(Table13[[#This Row],[Date]])</f>
        <v>2026</v>
      </c>
      <c r="D361" s="144">
        <f>Table13[[#This Row],[Date]]-DAY(Table13[[#This Row],[Date]])+1</f>
        <v>46082</v>
      </c>
      <c r="E361" s="116">
        <f t="shared" si="21"/>
        <v>31</v>
      </c>
      <c r="F361" s="117" t="str">
        <f>IFERROR(_xlfn.XLOOKUP($A361,'Raw Data'!$G:$G,'Raw Data'!$AH:$AH),"")</f>
        <v/>
      </c>
      <c r="G361" s="118" t="str">
        <f>IFERROR(_xlfn.XLOOKUP($A361,'Raw Data'!$G:$G,'Raw Data'!$S:$S)/1000,"")</f>
        <v/>
      </c>
      <c r="H361" s="118"/>
      <c r="I361" s="118" t="str">
        <f>IFERROR(_xlfn.XLOOKUP($A361,'Raw Data'!$G:$G,'Raw Data'!$AF:$AF)/1000,"")</f>
        <v/>
      </c>
      <c r="J361" s="118"/>
      <c r="K361" s="118" t="str">
        <f>IFERROR(_xlfn.XLOOKUP($A361,'Raw Data'!$G:$G,'Raw Data'!W:W),"")</f>
        <v/>
      </c>
      <c r="L361" s="118" t="str">
        <f>IFERROR(_xlfn.XLOOKUP($A361,'Raw Data'!$G:$G,'Raw Data'!X:X),"")</f>
        <v/>
      </c>
      <c r="M361" s="118" t="str">
        <f>IFERROR(_xlfn.XLOOKUP($A361,'Raw Data'!$G:$G,'Raw Data'!Y:Y),"")</f>
        <v/>
      </c>
      <c r="N361" s="118" t="str">
        <f>IFERROR(_xlfn.XLOOKUP($A361,'Raw Data'!$G:$G,'Raw Data'!Z:Z),"")</f>
        <v/>
      </c>
      <c r="O361" s="145" t="str">
        <f>IFERROR(1-SUMIF('Plant BD'!$B:$B,$A361,'Plant BD'!$AM:$AM)/($AA361+SUMIF('Plant BD'!$B:$B,$A361,'Plant BD'!$AM:$AM)),"")</f>
        <v/>
      </c>
      <c r="P361" s="145"/>
      <c r="Q361" s="146"/>
      <c r="R361" s="145" t="str">
        <f>IFERROR(1-SUMIF('Grid BD'!$B:$B,$A361,'Grid BD'!$AE:$AE)/($AA361+SUMIF('Grid BD'!$B:$B,$A361,'Grid BD'!$AE:$AE)),"")</f>
        <v/>
      </c>
      <c r="T361" s="146" t="str">
        <f>IFERROR(1-SUMIF(Tracker_BD!$H:$H,$A361,Tracker_BD!AI:AI)/$F361,"")</f>
        <v/>
      </c>
      <c r="U361" s="147" t="str">
        <f t="shared" si="22"/>
        <v/>
      </c>
      <c r="V361" s="147"/>
      <c r="W361" s="148" t="str">
        <f t="shared" si="23"/>
        <v/>
      </c>
      <c r="X361" s="143" t="str">
        <f>IFERROR(_xlfn.XLOOKUP($A361,'Raw Data'!$G:$G,'Raw Data'!$AB:$AB),"")</f>
        <v/>
      </c>
      <c r="Y361" s="143" t="str">
        <f>IFERROR(_xlfn.XLOOKUP($A361,'Raw Data'!$G:$G,'Raw Data'!AC:AC),"")</f>
        <v/>
      </c>
      <c r="Z361" s="143" t="str">
        <f>IFERROR(_xlfn.XLOOKUP($A361,'Raw Data'!$G:$G,'Raw Data'!AD:AD),"")</f>
        <v/>
      </c>
      <c r="AA361" s="143" t="str">
        <f>IFERROR(_xlfn.XLOOKUP($A361,'Raw Data'!$G:$G,'Raw Data'!AE:AE)*(1+(_xlfn.XLOOKUP(Table13[[#This Row],[Month Year]],JMR!$A:$A,JMR!$J:$J))),"")</f>
        <v/>
      </c>
      <c r="AB361" s="143" t="str">
        <f>IFERROR(_xlfn.XLOOKUP($A361,'Raw Data'!$G:$G,'Raw Data'!$H:$H),"")</f>
        <v/>
      </c>
      <c r="AC361" s="149">
        <f>IFERROR(_xlfn.XLOOKUP($D361,'Modelling New'!$D:$D,'Modelling New'!$P:$P),"")</f>
        <v>7.7166057064516123</v>
      </c>
      <c r="AD361" s="143">
        <f>IFERROR(_xlfn.XLOOKUP($D361,'Modelling New'!$D:$D,'Modelling New'!$T:$T)*1000,"")</f>
        <v>67607.798406693953</v>
      </c>
      <c r="AE361" s="148">
        <f>IFERROR(_xlfn.XLOOKUP($D361,'Modelling New'!$D:$D,'Modelling New'!$O:$O),"")</f>
        <v>0.74755452089211905</v>
      </c>
      <c r="AF361" s="148">
        <f>IFERROR(_xlfn.XLOOKUP($D361,'Modelling New'!$D:$D,'Modelling New'!$W:$W),"")</f>
        <v>0.24035764507499272</v>
      </c>
      <c r="AG361" s="148">
        <f>IFERROR(_xlfn.XLOOKUP($D361,'Modelling New'!$D:$D,'Modelling New'!AE:AE),"")</f>
        <v>0.995</v>
      </c>
      <c r="AH361" s="148">
        <f>IFERROR(_xlfn.XLOOKUP($D361,'Modelling New'!$D:$D,'Modelling New'!AF:AF),"")</f>
        <v>0.98550000000000004</v>
      </c>
      <c r="AN361" s="145"/>
      <c r="AO361" s="148"/>
      <c r="AP361" s="148"/>
      <c r="AQ361" s="148"/>
      <c r="AR361" s="143">
        <f>IFERROR(_xlfn.XLOOKUP($D361,'Modelling New'!$D:$D,'Modelling New'!$N:$N),"")</f>
        <v>11.72</v>
      </c>
      <c r="AT361" s="143" t="str">
        <f>IFERROR(_xlfn.XLOOKUP(Table13[[#This Row],[Date]],'Raw Data'!$G:$G,'Raw Data'!$AJ:$AJ),"")</f>
        <v/>
      </c>
      <c r="AU361" s="143">
        <f>IFERROR(_xlfn.XLOOKUP(Table13[[#This Row],[Month Year]],'Modelling New'!$D:$D,'Modelling New'!$AO:$AO),"")</f>
        <v>10</v>
      </c>
      <c r="AV361" s="143"/>
    </row>
    <row r="362" spans="1:48">
      <c r="A362" s="142">
        <f t="shared" si="24"/>
        <v>46105</v>
      </c>
      <c r="B362" s="143">
        <f>YEAR(Table13[[#This Row],[Date]])+IF(MONTH(Table13[[#This Row],[Date]])&gt;=4,1,0)</f>
        <v>2026</v>
      </c>
      <c r="C362" s="116">
        <f>YEAR(Table13[[#This Row],[Date]])</f>
        <v>2026</v>
      </c>
      <c r="D362" s="144">
        <f>Table13[[#This Row],[Date]]-DAY(Table13[[#This Row],[Date]])+1</f>
        <v>46082</v>
      </c>
      <c r="E362" s="116">
        <f t="shared" si="21"/>
        <v>31</v>
      </c>
      <c r="F362" s="117" t="str">
        <f>IFERROR(_xlfn.XLOOKUP($A362,'Raw Data'!$G:$G,'Raw Data'!$AH:$AH),"")</f>
        <v/>
      </c>
      <c r="G362" s="118" t="str">
        <f>IFERROR(_xlfn.XLOOKUP($A362,'Raw Data'!$G:$G,'Raw Data'!$S:$S)/1000,"")</f>
        <v/>
      </c>
      <c r="H362" s="118"/>
      <c r="I362" s="118" t="str">
        <f>IFERROR(_xlfn.XLOOKUP($A362,'Raw Data'!$G:$G,'Raw Data'!$AF:$AF)/1000,"")</f>
        <v/>
      </c>
      <c r="J362" s="118"/>
      <c r="K362" s="118" t="str">
        <f>IFERROR(_xlfn.XLOOKUP($A362,'Raw Data'!$G:$G,'Raw Data'!W:W),"")</f>
        <v/>
      </c>
      <c r="L362" s="118" t="str">
        <f>IFERROR(_xlfn.XLOOKUP($A362,'Raw Data'!$G:$G,'Raw Data'!X:X),"")</f>
        <v/>
      </c>
      <c r="M362" s="118" t="str">
        <f>IFERROR(_xlfn.XLOOKUP($A362,'Raw Data'!$G:$G,'Raw Data'!Y:Y),"")</f>
        <v/>
      </c>
      <c r="N362" s="118" t="str">
        <f>IFERROR(_xlfn.XLOOKUP($A362,'Raw Data'!$G:$G,'Raw Data'!Z:Z),"")</f>
        <v/>
      </c>
      <c r="O362" s="145" t="str">
        <f>IFERROR(1-SUMIF('Plant BD'!$B:$B,$A362,'Plant BD'!$AM:$AM)/($AA362+SUMIF('Plant BD'!$B:$B,$A362,'Plant BD'!$AM:$AM)),"")</f>
        <v/>
      </c>
      <c r="P362" s="145"/>
      <c r="Q362" s="146"/>
      <c r="R362" s="145" t="str">
        <f>IFERROR(1-SUMIF('Grid BD'!$B:$B,$A362,'Grid BD'!$AE:$AE)/($AA362+SUMIF('Grid BD'!$B:$B,$A362,'Grid BD'!$AE:$AE)),"")</f>
        <v/>
      </c>
      <c r="T362" s="146" t="str">
        <f>IFERROR(1-SUMIF(Tracker_BD!$H:$H,$A362,Tracker_BD!AI:AI)/$F362,"")</f>
        <v/>
      </c>
      <c r="U362" s="147" t="str">
        <f t="shared" si="22"/>
        <v/>
      </c>
      <c r="V362" s="147"/>
      <c r="W362" s="148" t="str">
        <f t="shared" si="23"/>
        <v/>
      </c>
      <c r="X362" s="143" t="str">
        <f>IFERROR(_xlfn.XLOOKUP($A362,'Raw Data'!$G:$G,'Raw Data'!$AB:$AB),"")</f>
        <v/>
      </c>
      <c r="Y362" s="143" t="str">
        <f>IFERROR(_xlfn.XLOOKUP($A362,'Raw Data'!$G:$G,'Raw Data'!AC:AC),"")</f>
        <v/>
      </c>
      <c r="Z362" s="143" t="str">
        <f>IFERROR(_xlfn.XLOOKUP($A362,'Raw Data'!$G:$G,'Raw Data'!AD:AD),"")</f>
        <v/>
      </c>
      <c r="AA362" s="143" t="str">
        <f>IFERROR(_xlfn.XLOOKUP($A362,'Raw Data'!$G:$G,'Raw Data'!AE:AE)*(1+(_xlfn.XLOOKUP(Table13[[#This Row],[Month Year]],JMR!$A:$A,JMR!$J:$J))),"")</f>
        <v/>
      </c>
      <c r="AB362" s="143" t="str">
        <f>IFERROR(_xlfn.XLOOKUP($A362,'Raw Data'!$G:$G,'Raw Data'!$H:$H),"")</f>
        <v/>
      </c>
      <c r="AC362" s="149">
        <f>IFERROR(_xlfn.XLOOKUP($D362,'Modelling New'!$D:$D,'Modelling New'!$P:$P),"")</f>
        <v>7.7166057064516123</v>
      </c>
      <c r="AD362" s="143">
        <f>IFERROR(_xlfn.XLOOKUP($D362,'Modelling New'!$D:$D,'Modelling New'!$T:$T)*1000,"")</f>
        <v>67607.798406693953</v>
      </c>
      <c r="AE362" s="148">
        <f>IFERROR(_xlfn.XLOOKUP($D362,'Modelling New'!$D:$D,'Modelling New'!$O:$O),"")</f>
        <v>0.74755452089211905</v>
      </c>
      <c r="AF362" s="148">
        <f>IFERROR(_xlfn.XLOOKUP($D362,'Modelling New'!$D:$D,'Modelling New'!$W:$W),"")</f>
        <v>0.24035764507499272</v>
      </c>
      <c r="AG362" s="148">
        <f>IFERROR(_xlfn.XLOOKUP($D362,'Modelling New'!$D:$D,'Modelling New'!AE:AE),"")</f>
        <v>0.995</v>
      </c>
      <c r="AH362" s="148">
        <f>IFERROR(_xlfn.XLOOKUP($D362,'Modelling New'!$D:$D,'Modelling New'!AF:AF),"")</f>
        <v>0.98550000000000004</v>
      </c>
      <c r="AN362" s="145"/>
      <c r="AO362" s="148"/>
      <c r="AP362" s="148"/>
      <c r="AQ362" s="148"/>
      <c r="AR362" s="143">
        <f>IFERROR(_xlfn.XLOOKUP($D362,'Modelling New'!$D:$D,'Modelling New'!$N:$N),"")</f>
        <v>11.72</v>
      </c>
      <c r="AT362" s="143" t="str">
        <f>IFERROR(_xlfn.XLOOKUP(Table13[[#This Row],[Date]],'Raw Data'!$G:$G,'Raw Data'!$AJ:$AJ),"")</f>
        <v/>
      </c>
      <c r="AU362" s="143">
        <f>IFERROR(_xlfn.XLOOKUP(Table13[[#This Row],[Month Year]],'Modelling New'!$D:$D,'Modelling New'!$AO:$AO),"")</f>
        <v>10</v>
      </c>
      <c r="AV362" s="143"/>
    </row>
    <row r="363" spans="1:48">
      <c r="A363" s="142">
        <f t="shared" si="24"/>
        <v>46106</v>
      </c>
      <c r="B363" s="143">
        <f>YEAR(Table13[[#This Row],[Date]])+IF(MONTH(Table13[[#This Row],[Date]])&gt;=4,1,0)</f>
        <v>2026</v>
      </c>
      <c r="C363" s="116">
        <f>YEAR(Table13[[#This Row],[Date]])</f>
        <v>2026</v>
      </c>
      <c r="D363" s="144">
        <f>Table13[[#This Row],[Date]]-DAY(Table13[[#This Row],[Date]])+1</f>
        <v>46082</v>
      </c>
      <c r="E363" s="116">
        <f t="shared" si="21"/>
        <v>31</v>
      </c>
      <c r="F363" s="117" t="str">
        <f>IFERROR(_xlfn.XLOOKUP($A363,'Raw Data'!$G:$G,'Raw Data'!$AH:$AH),"")</f>
        <v/>
      </c>
      <c r="G363" s="118" t="str">
        <f>IFERROR(_xlfn.XLOOKUP($A363,'Raw Data'!$G:$G,'Raw Data'!$S:$S)/1000,"")</f>
        <v/>
      </c>
      <c r="H363" s="118"/>
      <c r="I363" s="118" t="str">
        <f>IFERROR(_xlfn.XLOOKUP($A363,'Raw Data'!$G:$G,'Raw Data'!$AF:$AF)/1000,"")</f>
        <v/>
      </c>
      <c r="J363" s="118"/>
      <c r="K363" s="118" t="str">
        <f>IFERROR(_xlfn.XLOOKUP($A363,'Raw Data'!$G:$G,'Raw Data'!W:W),"")</f>
        <v/>
      </c>
      <c r="L363" s="118" t="str">
        <f>IFERROR(_xlfn.XLOOKUP($A363,'Raw Data'!$G:$G,'Raw Data'!X:X),"")</f>
        <v/>
      </c>
      <c r="M363" s="118" t="str">
        <f>IFERROR(_xlfn.XLOOKUP($A363,'Raw Data'!$G:$G,'Raw Data'!Y:Y),"")</f>
        <v/>
      </c>
      <c r="N363" s="118" t="str">
        <f>IFERROR(_xlfn.XLOOKUP($A363,'Raw Data'!$G:$G,'Raw Data'!Z:Z),"")</f>
        <v/>
      </c>
      <c r="O363" s="145" t="str">
        <f>IFERROR(1-SUMIF('Plant BD'!$B:$B,$A363,'Plant BD'!$AM:$AM)/($AA363+SUMIF('Plant BD'!$B:$B,$A363,'Plant BD'!$AM:$AM)),"")</f>
        <v/>
      </c>
      <c r="P363" s="145"/>
      <c r="Q363" s="146"/>
      <c r="R363" s="145" t="str">
        <f>IFERROR(1-SUMIF('Grid BD'!$B:$B,$A363,'Grid BD'!$AE:$AE)/($AA363+SUMIF('Grid BD'!$B:$B,$A363,'Grid BD'!$AE:$AE)),"")</f>
        <v/>
      </c>
      <c r="T363" s="146" t="str">
        <f>IFERROR(1-SUMIF(Tracker_BD!$H:$H,$A363,Tracker_BD!AI:AI)/$F363,"")</f>
        <v/>
      </c>
      <c r="U363" s="147" t="str">
        <f t="shared" si="22"/>
        <v/>
      </c>
      <c r="V363" s="147"/>
      <c r="W363" s="148" t="str">
        <f t="shared" si="23"/>
        <v/>
      </c>
      <c r="X363" s="143" t="str">
        <f>IFERROR(_xlfn.XLOOKUP($A363,'Raw Data'!$G:$G,'Raw Data'!$AB:$AB),"")</f>
        <v/>
      </c>
      <c r="Y363" s="143" t="str">
        <f>IFERROR(_xlfn.XLOOKUP($A363,'Raw Data'!$G:$G,'Raw Data'!AC:AC),"")</f>
        <v/>
      </c>
      <c r="Z363" s="143" t="str">
        <f>IFERROR(_xlfn.XLOOKUP($A363,'Raw Data'!$G:$G,'Raw Data'!AD:AD),"")</f>
        <v/>
      </c>
      <c r="AA363" s="143" t="str">
        <f>IFERROR(_xlfn.XLOOKUP($A363,'Raw Data'!$G:$G,'Raw Data'!AE:AE)*(1+(_xlfn.XLOOKUP(Table13[[#This Row],[Month Year]],JMR!$A:$A,JMR!$J:$J))),"")</f>
        <v/>
      </c>
      <c r="AB363" s="143" t="str">
        <f>IFERROR(_xlfn.XLOOKUP($A363,'Raw Data'!$G:$G,'Raw Data'!$H:$H),"")</f>
        <v/>
      </c>
      <c r="AC363" s="149">
        <f>IFERROR(_xlfn.XLOOKUP($D363,'Modelling New'!$D:$D,'Modelling New'!$P:$P),"")</f>
        <v>7.7166057064516123</v>
      </c>
      <c r="AD363" s="143">
        <f>IFERROR(_xlfn.XLOOKUP($D363,'Modelling New'!$D:$D,'Modelling New'!$T:$T)*1000,"")</f>
        <v>67607.798406693953</v>
      </c>
      <c r="AE363" s="148">
        <f>IFERROR(_xlfn.XLOOKUP($D363,'Modelling New'!$D:$D,'Modelling New'!$O:$O),"")</f>
        <v>0.74755452089211905</v>
      </c>
      <c r="AF363" s="148">
        <f>IFERROR(_xlfn.XLOOKUP($D363,'Modelling New'!$D:$D,'Modelling New'!$W:$W),"")</f>
        <v>0.24035764507499272</v>
      </c>
      <c r="AG363" s="148">
        <f>IFERROR(_xlfn.XLOOKUP($D363,'Modelling New'!$D:$D,'Modelling New'!AE:AE),"")</f>
        <v>0.995</v>
      </c>
      <c r="AH363" s="148">
        <f>IFERROR(_xlfn.XLOOKUP($D363,'Modelling New'!$D:$D,'Modelling New'!AF:AF),"")</f>
        <v>0.98550000000000004</v>
      </c>
      <c r="AN363" s="145"/>
      <c r="AO363" s="148"/>
      <c r="AP363" s="148"/>
      <c r="AQ363" s="148"/>
      <c r="AR363" s="143">
        <f>IFERROR(_xlfn.XLOOKUP($D363,'Modelling New'!$D:$D,'Modelling New'!$N:$N),"")</f>
        <v>11.72</v>
      </c>
      <c r="AT363" s="143" t="str">
        <f>IFERROR(_xlfn.XLOOKUP(Table13[[#This Row],[Date]],'Raw Data'!$G:$G,'Raw Data'!$AJ:$AJ),"")</f>
        <v/>
      </c>
      <c r="AU363" s="143">
        <f>IFERROR(_xlfn.XLOOKUP(Table13[[#This Row],[Month Year]],'Modelling New'!$D:$D,'Modelling New'!$AO:$AO),"")</f>
        <v>10</v>
      </c>
      <c r="AV363" s="143"/>
    </row>
    <row r="364" spans="1:48">
      <c r="A364" s="142">
        <f t="shared" si="24"/>
        <v>46107</v>
      </c>
      <c r="B364" s="143">
        <f>YEAR(Table13[[#This Row],[Date]])+IF(MONTH(Table13[[#This Row],[Date]])&gt;=4,1,0)</f>
        <v>2026</v>
      </c>
      <c r="C364" s="116">
        <f>YEAR(Table13[[#This Row],[Date]])</f>
        <v>2026</v>
      </c>
      <c r="D364" s="144">
        <f>Table13[[#This Row],[Date]]-DAY(Table13[[#This Row],[Date]])+1</f>
        <v>46082</v>
      </c>
      <c r="E364" s="116">
        <f t="shared" si="21"/>
        <v>31</v>
      </c>
      <c r="F364" s="117" t="str">
        <f>IFERROR(_xlfn.XLOOKUP($A364,'Raw Data'!$G:$G,'Raw Data'!$AH:$AH),"")</f>
        <v/>
      </c>
      <c r="G364" s="118" t="str">
        <f>IFERROR(_xlfn.XLOOKUP($A364,'Raw Data'!$G:$G,'Raw Data'!$S:$S)/1000,"")</f>
        <v/>
      </c>
      <c r="H364" s="118"/>
      <c r="I364" s="118" t="str">
        <f>IFERROR(_xlfn.XLOOKUP($A364,'Raw Data'!$G:$G,'Raw Data'!$AF:$AF)/1000,"")</f>
        <v/>
      </c>
      <c r="J364" s="118"/>
      <c r="K364" s="118" t="str">
        <f>IFERROR(_xlfn.XLOOKUP($A364,'Raw Data'!$G:$G,'Raw Data'!W:W),"")</f>
        <v/>
      </c>
      <c r="L364" s="118" t="str">
        <f>IFERROR(_xlfn.XLOOKUP($A364,'Raw Data'!$G:$G,'Raw Data'!X:X),"")</f>
        <v/>
      </c>
      <c r="M364" s="118" t="str">
        <f>IFERROR(_xlfn.XLOOKUP($A364,'Raw Data'!$G:$G,'Raw Data'!Y:Y),"")</f>
        <v/>
      </c>
      <c r="N364" s="118" t="str">
        <f>IFERROR(_xlfn.XLOOKUP($A364,'Raw Data'!$G:$G,'Raw Data'!Z:Z),"")</f>
        <v/>
      </c>
      <c r="O364" s="145" t="str">
        <f>IFERROR(1-SUMIF('Plant BD'!$B:$B,$A364,'Plant BD'!$AM:$AM)/($AA364+SUMIF('Plant BD'!$B:$B,$A364,'Plant BD'!$AM:$AM)),"")</f>
        <v/>
      </c>
      <c r="P364" s="145"/>
      <c r="Q364" s="146"/>
      <c r="R364" s="145" t="str">
        <f>IFERROR(1-SUMIF('Grid BD'!$B:$B,$A364,'Grid BD'!$AE:$AE)/($AA364+SUMIF('Grid BD'!$B:$B,$A364,'Grid BD'!$AE:$AE)),"")</f>
        <v/>
      </c>
      <c r="T364" s="146" t="str">
        <f>IFERROR(1-SUMIF(Tracker_BD!$H:$H,$A364,Tracker_BD!AI:AI)/$F364,"")</f>
        <v/>
      </c>
      <c r="U364" s="147" t="str">
        <f t="shared" si="22"/>
        <v/>
      </c>
      <c r="V364" s="147"/>
      <c r="W364" s="148" t="str">
        <f t="shared" si="23"/>
        <v/>
      </c>
      <c r="X364" s="143" t="str">
        <f>IFERROR(_xlfn.XLOOKUP($A364,'Raw Data'!$G:$G,'Raw Data'!$AB:$AB),"")</f>
        <v/>
      </c>
      <c r="Y364" s="143" t="str">
        <f>IFERROR(_xlfn.XLOOKUP($A364,'Raw Data'!$G:$G,'Raw Data'!AC:AC),"")</f>
        <v/>
      </c>
      <c r="Z364" s="143" t="str">
        <f>IFERROR(_xlfn.XLOOKUP($A364,'Raw Data'!$G:$G,'Raw Data'!AD:AD),"")</f>
        <v/>
      </c>
      <c r="AA364" s="143" t="str">
        <f>IFERROR(_xlfn.XLOOKUP($A364,'Raw Data'!$G:$G,'Raw Data'!AE:AE)*(1+(_xlfn.XLOOKUP(Table13[[#This Row],[Month Year]],JMR!$A:$A,JMR!$J:$J))),"")</f>
        <v/>
      </c>
      <c r="AB364" s="143" t="str">
        <f>IFERROR(_xlfn.XLOOKUP($A364,'Raw Data'!$G:$G,'Raw Data'!$H:$H),"")</f>
        <v/>
      </c>
      <c r="AC364" s="149">
        <f>IFERROR(_xlfn.XLOOKUP($D364,'Modelling New'!$D:$D,'Modelling New'!$P:$P),"")</f>
        <v>7.7166057064516123</v>
      </c>
      <c r="AD364" s="143">
        <f>IFERROR(_xlfn.XLOOKUP($D364,'Modelling New'!$D:$D,'Modelling New'!$T:$T)*1000,"")</f>
        <v>67607.798406693953</v>
      </c>
      <c r="AE364" s="148">
        <f>IFERROR(_xlfn.XLOOKUP($D364,'Modelling New'!$D:$D,'Modelling New'!$O:$O),"")</f>
        <v>0.74755452089211905</v>
      </c>
      <c r="AF364" s="148">
        <f>IFERROR(_xlfn.XLOOKUP($D364,'Modelling New'!$D:$D,'Modelling New'!$W:$W),"")</f>
        <v>0.24035764507499272</v>
      </c>
      <c r="AG364" s="148">
        <f>IFERROR(_xlfn.XLOOKUP($D364,'Modelling New'!$D:$D,'Modelling New'!AE:AE),"")</f>
        <v>0.995</v>
      </c>
      <c r="AH364" s="148">
        <f>IFERROR(_xlfn.XLOOKUP($D364,'Modelling New'!$D:$D,'Modelling New'!AF:AF),"")</f>
        <v>0.98550000000000004</v>
      </c>
      <c r="AN364" s="145"/>
      <c r="AO364" s="148"/>
      <c r="AP364" s="148"/>
      <c r="AQ364" s="148"/>
      <c r="AR364" s="143">
        <f>IFERROR(_xlfn.XLOOKUP($D364,'Modelling New'!$D:$D,'Modelling New'!$N:$N),"")</f>
        <v>11.72</v>
      </c>
      <c r="AT364" s="143" t="str">
        <f>IFERROR(_xlfn.XLOOKUP(Table13[[#This Row],[Date]],'Raw Data'!$G:$G,'Raw Data'!$AJ:$AJ),"")</f>
        <v/>
      </c>
      <c r="AU364" s="143">
        <f>IFERROR(_xlfn.XLOOKUP(Table13[[#This Row],[Month Year]],'Modelling New'!$D:$D,'Modelling New'!$AO:$AO),"")</f>
        <v>10</v>
      </c>
      <c r="AV364" s="143"/>
    </row>
    <row r="365" spans="1:48">
      <c r="A365" s="142">
        <f t="shared" si="24"/>
        <v>46108</v>
      </c>
      <c r="B365" s="143">
        <f>YEAR(Table13[[#This Row],[Date]])+IF(MONTH(Table13[[#This Row],[Date]])&gt;=4,1,0)</f>
        <v>2026</v>
      </c>
      <c r="C365" s="116">
        <f>YEAR(Table13[[#This Row],[Date]])</f>
        <v>2026</v>
      </c>
      <c r="D365" s="144">
        <f>Table13[[#This Row],[Date]]-DAY(Table13[[#This Row],[Date]])+1</f>
        <v>46082</v>
      </c>
      <c r="E365" s="116">
        <f t="shared" si="21"/>
        <v>31</v>
      </c>
      <c r="F365" s="117" t="str">
        <f>IFERROR(_xlfn.XLOOKUP($A365,'Raw Data'!$G:$G,'Raw Data'!$AH:$AH),"")</f>
        <v/>
      </c>
      <c r="G365" s="118" t="str">
        <f>IFERROR(_xlfn.XLOOKUP($A365,'Raw Data'!$G:$G,'Raw Data'!$S:$S)/1000,"")</f>
        <v/>
      </c>
      <c r="H365" s="118"/>
      <c r="I365" s="118" t="str">
        <f>IFERROR(_xlfn.XLOOKUP($A365,'Raw Data'!$G:$G,'Raw Data'!$AF:$AF)/1000,"")</f>
        <v/>
      </c>
      <c r="J365" s="118"/>
      <c r="K365" s="118" t="str">
        <f>IFERROR(_xlfn.XLOOKUP($A365,'Raw Data'!$G:$G,'Raw Data'!W:W),"")</f>
        <v/>
      </c>
      <c r="L365" s="118" t="str">
        <f>IFERROR(_xlfn.XLOOKUP($A365,'Raw Data'!$G:$G,'Raw Data'!X:X),"")</f>
        <v/>
      </c>
      <c r="M365" s="118" t="str">
        <f>IFERROR(_xlfn.XLOOKUP($A365,'Raw Data'!$G:$G,'Raw Data'!Y:Y),"")</f>
        <v/>
      </c>
      <c r="N365" s="118" t="str">
        <f>IFERROR(_xlfn.XLOOKUP($A365,'Raw Data'!$G:$G,'Raw Data'!Z:Z),"")</f>
        <v/>
      </c>
      <c r="O365" s="145" t="str">
        <f>IFERROR(1-SUMIF('Plant BD'!$B:$B,$A365,'Plant BD'!$AM:$AM)/($AA365+SUMIF('Plant BD'!$B:$B,$A365,'Plant BD'!$AM:$AM)),"")</f>
        <v/>
      </c>
      <c r="P365" s="145"/>
      <c r="Q365" s="146"/>
      <c r="R365" s="145" t="str">
        <f>IFERROR(1-SUMIF('Grid BD'!$B:$B,$A365,'Grid BD'!$AE:$AE)/($AA365+SUMIF('Grid BD'!$B:$B,$A365,'Grid BD'!$AE:$AE)),"")</f>
        <v/>
      </c>
      <c r="T365" s="146" t="str">
        <f>IFERROR(1-SUMIF(Tracker_BD!$H:$H,$A365,Tracker_BD!AI:AI)/$F365,"")</f>
        <v/>
      </c>
      <c r="U365" s="147" t="str">
        <f t="shared" si="22"/>
        <v/>
      </c>
      <c r="V365" s="147"/>
      <c r="W365" s="148" t="str">
        <f t="shared" si="23"/>
        <v/>
      </c>
      <c r="X365" s="143" t="str">
        <f>IFERROR(_xlfn.XLOOKUP($A365,'Raw Data'!$G:$G,'Raw Data'!$AB:$AB),"")</f>
        <v/>
      </c>
      <c r="Y365" s="143" t="str">
        <f>IFERROR(_xlfn.XLOOKUP($A365,'Raw Data'!$G:$G,'Raw Data'!AC:AC),"")</f>
        <v/>
      </c>
      <c r="Z365" s="143" t="str">
        <f>IFERROR(_xlfn.XLOOKUP($A365,'Raw Data'!$G:$G,'Raw Data'!AD:AD),"")</f>
        <v/>
      </c>
      <c r="AA365" s="143" t="str">
        <f>IFERROR(_xlfn.XLOOKUP($A365,'Raw Data'!$G:$G,'Raw Data'!AE:AE)*(1+(_xlfn.XLOOKUP(Table13[[#This Row],[Month Year]],JMR!$A:$A,JMR!$J:$J))),"")</f>
        <v/>
      </c>
      <c r="AB365" s="143" t="str">
        <f>IFERROR(_xlfn.XLOOKUP($A365,'Raw Data'!$G:$G,'Raw Data'!$H:$H),"")</f>
        <v/>
      </c>
      <c r="AC365" s="149">
        <f>IFERROR(_xlfn.XLOOKUP($D365,'Modelling New'!$D:$D,'Modelling New'!$P:$P),"")</f>
        <v>7.7166057064516123</v>
      </c>
      <c r="AD365" s="143">
        <f>IFERROR(_xlfn.XLOOKUP($D365,'Modelling New'!$D:$D,'Modelling New'!$T:$T)*1000,"")</f>
        <v>67607.798406693953</v>
      </c>
      <c r="AE365" s="148">
        <f>IFERROR(_xlfn.XLOOKUP($D365,'Modelling New'!$D:$D,'Modelling New'!$O:$O),"")</f>
        <v>0.74755452089211905</v>
      </c>
      <c r="AF365" s="148">
        <f>IFERROR(_xlfn.XLOOKUP($D365,'Modelling New'!$D:$D,'Modelling New'!$W:$W),"")</f>
        <v>0.24035764507499272</v>
      </c>
      <c r="AG365" s="148">
        <f>IFERROR(_xlfn.XLOOKUP($D365,'Modelling New'!$D:$D,'Modelling New'!AE:AE),"")</f>
        <v>0.995</v>
      </c>
      <c r="AH365" s="148">
        <f>IFERROR(_xlfn.XLOOKUP($D365,'Modelling New'!$D:$D,'Modelling New'!AF:AF),"")</f>
        <v>0.98550000000000004</v>
      </c>
      <c r="AN365" s="145"/>
      <c r="AO365" s="148"/>
      <c r="AP365" s="148"/>
      <c r="AQ365" s="148"/>
      <c r="AR365" s="143">
        <f>IFERROR(_xlfn.XLOOKUP($D365,'Modelling New'!$D:$D,'Modelling New'!$N:$N),"")</f>
        <v>11.72</v>
      </c>
      <c r="AT365" s="143" t="str">
        <f>IFERROR(_xlfn.XLOOKUP(Table13[[#This Row],[Date]],'Raw Data'!$G:$G,'Raw Data'!$AJ:$AJ),"")</f>
        <v/>
      </c>
      <c r="AU365" s="143">
        <f>IFERROR(_xlfn.XLOOKUP(Table13[[#This Row],[Month Year]],'Modelling New'!$D:$D,'Modelling New'!$AO:$AO),"")</f>
        <v>10</v>
      </c>
      <c r="AV365" s="143"/>
    </row>
    <row r="366" spans="1:48">
      <c r="A366" s="142">
        <f t="shared" si="24"/>
        <v>46109</v>
      </c>
      <c r="B366" s="143">
        <f>YEAR(Table13[[#This Row],[Date]])+IF(MONTH(Table13[[#This Row],[Date]])&gt;=4,1,0)</f>
        <v>2026</v>
      </c>
      <c r="C366" s="116">
        <f>YEAR(Table13[[#This Row],[Date]])</f>
        <v>2026</v>
      </c>
      <c r="D366" s="144">
        <f>Table13[[#This Row],[Date]]-DAY(Table13[[#This Row],[Date]])+1</f>
        <v>46082</v>
      </c>
      <c r="E366" s="116">
        <f t="shared" si="21"/>
        <v>31</v>
      </c>
      <c r="F366" s="117" t="str">
        <f>IFERROR(_xlfn.XLOOKUP($A366,'Raw Data'!$G:$G,'Raw Data'!$AH:$AH),"")</f>
        <v/>
      </c>
      <c r="G366" s="118" t="str">
        <f>IFERROR(_xlfn.XLOOKUP($A366,'Raw Data'!$G:$G,'Raw Data'!$S:$S)/1000,"")</f>
        <v/>
      </c>
      <c r="H366" s="118"/>
      <c r="I366" s="118" t="str">
        <f>IFERROR(_xlfn.XLOOKUP($A366,'Raw Data'!$G:$G,'Raw Data'!$AF:$AF)/1000,"")</f>
        <v/>
      </c>
      <c r="J366" s="118"/>
      <c r="K366" s="118" t="str">
        <f>IFERROR(_xlfn.XLOOKUP($A366,'Raw Data'!$G:$G,'Raw Data'!W:W),"")</f>
        <v/>
      </c>
      <c r="L366" s="118" t="str">
        <f>IFERROR(_xlfn.XLOOKUP($A366,'Raw Data'!$G:$G,'Raw Data'!X:X),"")</f>
        <v/>
      </c>
      <c r="M366" s="118" t="str">
        <f>IFERROR(_xlfn.XLOOKUP($A366,'Raw Data'!$G:$G,'Raw Data'!Y:Y),"")</f>
        <v/>
      </c>
      <c r="N366" s="118" t="str">
        <f>IFERROR(_xlfn.XLOOKUP($A366,'Raw Data'!$G:$G,'Raw Data'!Z:Z),"")</f>
        <v/>
      </c>
      <c r="O366" s="145" t="str">
        <f>IFERROR(1-SUMIF('Plant BD'!$B:$B,$A366,'Plant BD'!$AM:$AM)/($AA366+SUMIF('Plant BD'!$B:$B,$A366,'Plant BD'!$AM:$AM)),"")</f>
        <v/>
      </c>
      <c r="P366" s="145"/>
      <c r="Q366" s="146"/>
      <c r="R366" s="145" t="str">
        <f>IFERROR(1-SUMIF('Grid BD'!$B:$B,$A366,'Grid BD'!$AE:$AE)/($AA366+SUMIF('Grid BD'!$B:$B,$A366,'Grid BD'!$AE:$AE)),"")</f>
        <v/>
      </c>
      <c r="T366" s="146" t="str">
        <f>IFERROR(1-SUMIF(Tracker_BD!$H:$H,$A366,Tracker_BD!AI:AI)/$F366,"")</f>
        <v/>
      </c>
      <c r="U366" s="147" t="str">
        <f t="shared" si="22"/>
        <v/>
      </c>
      <c r="V366" s="147"/>
      <c r="W366" s="148" t="str">
        <f t="shared" si="23"/>
        <v/>
      </c>
      <c r="X366" s="143" t="str">
        <f>IFERROR(_xlfn.XLOOKUP($A366,'Raw Data'!$G:$G,'Raw Data'!$AB:$AB),"")</f>
        <v/>
      </c>
      <c r="Y366" s="143" t="str">
        <f>IFERROR(_xlfn.XLOOKUP($A366,'Raw Data'!$G:$G,'Raw Data'!AC:AC),"")</f>
        <v/>
      </c>
      <c r="Z366" s="143" t="str">
        <f>IFERROR(_xlfn.XLOOKUP($A366,'Raw Data'!$G:$G,'Raw Data'!AD:AD),"")</f>
        <v/>
      </c>
      <c r="AA366" s="143" t="str">
        <f>IFERROR(_xlfn.XLOOKUP($A366,'Raw Data'!$G:$G,'Raw Data'!AE:AE)*(1+(_xlfn.XLOOKUP(Table13[[#This Row],[Month Year]],JMR!$A:$A,JMR!$J:$J))),"")</f>
        <v/>
      </c>
      <c r="AB366" s="143" t="str">
        <f>IFERROR(_xlfn.XLOOKUP($A366,'Raw Data'!$G:$G,'Raw Data'!$H:$H),"")</f>
        <v/>
      </c>
      <c r="AC366" s="149">
        <f>IFERROR(_xlfn.XLOOKUP($D366,'Modelling New'!$D:$D,'Modelling New'!$P:$P),"")</f>
        <v>7.7166057064516123</v>
      </c>
      <c r="AD366" s="143">
        <f>IFERROR(_xlfn.XLOOKUP($D366,'Modelling New'!$D:$D,'Modelling New'!$T:$T)*1000,"")</f>
        <v>67607.798406693953</v>
      </c>
      <c r="AE366" s="148">
        <f>IFERROR(_xlfn.XLOOKUP($D366,'Modelling New'!$D:$D,'Modelling New'!$O:$O),"")</f>
        <v>0.74755452089211905</v>
      </c>
      <c r="AF366" s="148">
        <f>IFERROR(_xlfn.XLOOKUP($D366,'Modelling New'!$D:$D,'Modelling New'!$W:$W),"")</f>
        <v>0.24035764507499272</v>
      </c>
      <c r="AG366" s="148">
        <f>IFERROR(_xlfn.XLOOKUP($D366,'Modelling New'!$D:$D,'Modelling New'!AE:AE),"")</f>
        <v>0.995</v>
      </c>
      <c r="AH366" s="148">
        <f>IFERROR(_xlfn.XLOOKUP($D366,'Modelling New'!$D:$D,'Modelling New'!AF:AF),"")</f>
        <v>0.98550000000000004</v>
      </c>
      <c r="AN366" s="145"/>
      <c r="AO366" s="148"/>
      <c r="AP366" s="148"/>
      <c r="AQ366" s="148"/>
      <c r="AR366" s="143">
        <f>IFERROR(_xlfn.XLOOKUP($D366,'Modelling New'!$D:$D,'Modelling New'!$N:$N),"")</f>
        <v>11.72</v>
      </c>
      <c r="AT366" s="143" t="str">
        <f>IFERROR(_xlfn.XLOOKUP(Table13[[#This Row],[Date]],'Raw Data'!$G:$G,'Raw Data'!$AJ:$AJ),"")</f>
        <v/>
      </c>
      <c r="AU366" s="143">
        <f>IFERROR(_xlfn.XLOOKUP(Table13[[#This Row],[Month Year]],'Modelling New'!$D:$D,'Modelling New'!$AO:$AO),"")</f>
        <v>10</v>
      </c>
      <c r="AV366" s="143"/>
    </row>
    <row r="367" spans="1:48">
      <c r="A367" s="142">
        <f t="shared" si="24"/>
        <v>46110</v>
      </c>
      <c r="B367" s="143">
        <f>YEAR(Table13[[#This Row],[Date]])+IF(MONTH(Table13[[#This Row],[Date]])&gt;=4,1,0)</f>
        <v>2026</v>
      </c>
      <c r="C367" s="116">
        <f>YEAR(Table13[[#This Row],[Date]])</f>
        <v>2026</v>
      </c>
      <c r="D367" s="144">
        <f>Table13[[#This Row],[Date]]-DAY(Table13[[#This Row],[Date]])+1</f>
        <v>46082</v>
      </c>
      <c r="E367" s="116">
        <f t="shared" si="21"/>
        <v>31</v>
      </c>
      <c r="F367" s="117" t="str">
        <f>IFERROR(_xlfn.XLOOKUP($A367,'Raw Data'!$G:$G,'Raw Data'!$AH:$AH),"")</f>
        <v/>
      </c>
      <c r="G367" s="118" t="str">
        <f>IFERROR(_xlfn.XLOOKUP($A367,'Raw Data'!$G:$G,'Raw Data'!$S:$S)/1000,"")</f>
        <v/>
      </c>
      <c r="H367" s="118"/>
      <c r="I367" s="118" t="str">
        <f>IFERROR(_xlfn.XLOOKUP($A367,'Raw Data'!$G:$G,'Raw Data'!$AF:$AF)/1000,"")</f>
        <v/>
      </c>
      <c r="J367" s="118"/>
      <c r="K367" s="118" t="str">
        <f>IFERROR(_xlfn.XLOOKUP($A367,'Raw Data'!$G:$G,'Raw Data'!W:W),"")</f>
        <v/>
      </c>
      <c r="L367" s="118" t="str">
        <f>IFERROR(_xlfn.XLOOKUP($A367,'Raw Data'!$G:$G,'Raw Data'!X:X),"")</f>
        <v/>
      </c>
      <c r="M367" s="118" t="str">
        <f>IFERROR(_xlfn.XLOOKUP($A367,'Raw Data'!$G:$G,'Raw Data'!Y:Y),"")</f>
        <v/>
      </c>
      <c r="N367" s="118" t="str">
        <f>IFERROR(_xlfn.XLOOKUP($A367,'Raw Data'!$G:$G,'Raw Data'!Z:Z),"")</f>
        <v/>
      </c>
      <c r="O367" s="145" t="str">
        <f>IFERROR(1-SUMIF('Plant BD'!$B:$B,$A367,'Plant BD'!$AM:$AM)/($AA367+SUMIF('Plant BD'!$B:$B,$A367,'Plant BD'!$AM:$AM)),"")</f>
        <v/>
      </c>
      <c r="P367" s="145"/>
      <c r="Q367" s="146"/>
      <c r="R367" s="145" t="str">
        <f>IFERROR(1-SUMIF('Grid BD'!$B:$B,$A367,'Grid BD'!$AE:$AE)/($AA367+SUMIF('Grid BD'!$B:$B,$A367,'Grid BD'!$AE:$AE)),"")</f>
        <v/>
      </c>
      <c r="T367" s="146" t="str">
        <f>IFERROR(1-SUMIF(Tracker_BD!$H:$H,$A367,Tracker_BD!AI:AI)/$F367,"")</f>
        <v/>
      </c>
      <c r="U367" s="147" t="str">
        <f t="shared" si="22"/>
        <v/>
      </c>
      <c r="V367" s="147"/>
      <c r="W367" s="148" t="str">
        <f t="shared" si="23"/>
        <v/>
      </c>
      <c r="X367" s="143" t="str">
        <f>IFERROR(_xlfn.XLOOKUP($A367,'Raw Data'!$G:$G,'Raw Data'!$AB:$AB),"")</f>
        <v/>
      </c>
      <c r="Y367" s="143" t="str">
        <f>IFERROR(_xlfn.XLOOKUP($A367,'Raw Data'!$G:$G,'Raw Data'!AC:AC),"")</f>
        <v/>
      </c>
      <c r="Z367" s="143" t="str">
        <f>IFERROR(_xlfn.XLOOKUP($A367,'Raw Data'!$G:$G,'Raw Data'!AD:AD),"")</f>
        <v/>
      </c>
      <c r="AA367" s="143" t="str">
        <f>IFERROR(_xlfn.XLOOKUP($A367,'Raw Data'!$G:$G,'Raw Data'!AE:AE)*(1+(_xlfn.XLOOKUP(Table13[[#This Row],[Month Year]],JMR!$A:$A,JMR!$J:$J))),"")</f>
        <v/>
      </c>
      <c r="AB367" s="143" t="str">
        <f>IFERROR(_xlfn.XLOOKUP($A367,'Raw Data'!$G:$G,'Raw Data'!$H:$H),"")</f>
        <v/>
      </c>
      <c r="AC367" s="149">
        <f>IFERROR(_xlfn.XLOOKUP($D367,'Modelling New'!$D:$D,'Modelling New'!$P:$P),"")</f>
        <v>7.7166057064516123</v>
      </c>
      <c r="AD367" s="143">
        <f>IFERROR(_xlfn.XLOOKUP($D367,'Modelling New'!$D:$D,'Modelling New'!$T:$T)*1000,"")</f>
        <v>67607.798406693953</v>
      </c>
      <c r="AE367" s="148">
        <f>IFERROR(_xlfn.XLOOKUP($D367,'Modelling New'!$D:$D,'Modelling New'!$O:$O),"")</f>
        <v>0.74755452089211905</v>
      </c>
      <c r="AF367" s="148">
        <f>IFERROR(_xlfn.XLOOKUP($D367,'Modelling New'!$D:$D,'Modelling New'!$W:$W),"")</f>
        <v>0.24035764507499272</v>
      </c>
      <c r="AG367" s="148">
        <f>IFERROR(_xlfn.XLOOKUP($D367,'Modelling New'!$D:$D,'Modelling New'!AE:AE),"")</f>
        <v>0.995</v>
      </c>
      <c r="AH367" s="148">
        <f>IFERROR(_xlfn.XLOOKUP($D367,'Modelling New'!$D:$D,'Modelling New'!AF:AF),"")</f>
        <v>0.98550000000000004</v>
      </c>
      <c r="AN367" s="145"/>
      <c r="AO367" s="148"/>
      <c r="AP367" s="148"/>
      <c r="AQ367" s="148"/>
      <c r="AR367" s="143">
        <f>IFERROR(_xlfn.XLOOKUP($D367,'Modelling New'!$D:$D,'Modelling New'!$N:$N),"")</f>
        <v>11.72</v>
      </c>
      <c r="AT367" s="143" t="str">
        <f>IFERROR(_xlfn.XLOOKUP(Table13[[#This Row],[Date]],'Raw Data'!$G:$G,'Raw Data'!$AJ:$AJ),"")</f>
        <v/>
      </c>
      <c r="AU367" s="143">
        <f>IFERROR(_xlfn.XLOOKUP(Table13[[#This Row],[Month Year]],'Modelling New'!$D:$D,'Modelling New'!$AO:$AO),"")</f>
        <v>10</v>
      </c>
      <c r="AV367" s="143"/>
    </row>
    <row r="368" spans="1:48">
      <c r="A368" s="142">
        <f t="shared" si="24"/>
        <v>46111</v>
      </c>
      <c r="B368" s="143">
        <f>YEAR(Table13[[#This Row],[Date]])+IF(MONTH(Table13[[#This Row],[Date]])&gt;=4,1,0)</f>
        <v>2026</v>
      </c>
      <c r="C368" s="116">
        <f>YEAR(Table13[[#This Row],[Date]])</f>
        <v>2026</v>
      </c>
      <c r="D368" s="144">
        <f>Table13[[#This Row],[Date]]-DAY(Table13[[#This Row],[Date]])+1</f>
        <v>46082</v>
      </c>
      <c r="E368" s="116">
        <f t="shared" si="21"/>
        <v>31</v>
      </c>
      <c r="F368" s="117" t="str">
        <f>IFERROR(_xlfn.XLOOKUP($A368,'Raw Data'!$G:$G,'Raw Data'!$AH:$AH),"")</f>
        <v/>
      </c>
      <c r="G368" s="118" t="str">
        <f>IFERROR(_xlfn.XLOOKUP($A368,'Raw Data'!$G:$G,'Raw Data'!$S:$S)/1000,"")</f>
        <v/>
      </c>
      <c r="H368" s="118"/>
      <c r="I368" s="118" t="str">
        <f>IFERROR(_xlfn.XLOOKUP($A368,'Raw Data'!$G:$G,'Raw Data'!$AF:$AF)/1000,"")</f>
        <v/>
      </c>
      <c r="J368" s="118"/>
      <c r="K368" s="118" t="str">
        <f>IFERROR(_xlfn.XLOOKUP($A368,'Raw Data'!$G:$G,'Raw Data'!W:W),"")</f>
        <v/>
      </c>
      <c r="L368" s="118" t="str">
        <f>IFERROR(_xlfn.XLOOKUP($A368,'Raw Data'!$G:$G,'Raw Data'!X:X),"")</f>
        <v/>
      </c>
      <c r="M368" s="118" t="str">
        <f>IFERROR(_xlfn.XLOOKUP($A368,'Raw Data'!$G:$G,'Raw Data'!Y:Y),"")</f>
        <v/>
      </c>
      <c r="N368" s="118" t="str">
        <f>IFERROR(_xlfn.XLOOKUP($A368,'Raw Data'!$G:$G,'Raw Data'!Z:Z),"")</f>
        <v/>
      </c>
      <c r="O368" s="145" t="str">
        <f>IFERROR(1-SUMIF('Plant BD'!$B:$B,$A368,'Plant BD'!$AM:$AM)/($AA368+SUMIF('Plant BD'!$B:$B,$A368,'Plant BD'!$AM:$AM)),"")</f>
        <v/>
      </c>
      <c r="P368" s="145"/>
      <c r="Q368" s="146"/>
      <c r="R368" s="145" t="str">
        <f>IFERROR(1-SUMIF('Grid BD'!$B:$B,$A368,'Grid BD'!$AE:$AE)/($AA368+SUMIF('Grid BD'!$B:$B,$A368,'Grid BD'!$AE:$AE)),"")</f>
        <v/>
      </c>
      <c r="T368" s="146" t="str">
        <f>IFERROR(1-SUMIF(Tracker_BD!$H:$H,$A368,Tracker_BD!AI:AI)/$F368,"")</f>
        <v/>
      </c>
      <c r="U368" s="147" t="str">
        <f t="shared" si="22"/>
        <v/>
      </c>
      <c r="V368" s="147"/>
      <c r="W368" s="148" t="str">
        <f t="shared" si="23"/>
        <v/>
      </c>
      <c r="X368" s="143" t="str">
        <f>IFERROR(_xlfn.XLOOKUP($A368,'Raw Data'!$G:$G,'Raw Data'!$AB:$AB),"")</f>
        <v/>
      </c>
      <c r="Y368" s="143" t="str">
        <f>IFERROR(_xlfn.XLOOKUP($A368,'Raw Data'!$G:$G,'Raw Data'!AC:AC),"")</f>
        <v/>
      </c>
      <c r="Z368" s="143" t="str">
        <f>IFERROR(_xlfn.XLOOKUP($A368,'Raw Data'!$G:$G,'Raw Data'!AD:AD),"")</f>
        <v/>
      </c>
      <c r="AA368" s="143" t="str">
        <f>IFERROR(_xlfn.XLOOKUP($A368,'Raw Data'!$G:$G,'Raw Data'!AE:AE)*(1+(_xlfn.XLOOKUP(Table13[[#This Row],[Month Year]],JMR!$A:$A,JMR!$J:$J))),"")</f>
        <v/>
      </c>
      <c r="AB368" s="143" t="str">
        <f>IFERROR(_xlfn.XLOOKUP($A368,'Raw Data'!$G:$G,'Raw Data'!$H:$H),"")</f>
        <v/>
      </c>
      <c r="AC368" s="149">
        <f>IFERROR(_xlfn.XLOOKUP($D368,'Modelling New'!$D:$D,'Modelling New'!$P:$P),"")</f>
        <v>7.7166057064516123</v>
      </c>
      <c r="AD368" s="143">
        <f>IFERROR(_xlfn.XLOOKUP($D368,'Modelling New'!$D:$D,'Modelling New'!$T:$T)*1000,"")</f>
        <v>67607.798406693953</v>
      </c>
      <c r="AE368" s="148">
        <f>IFERROR(_xlfn.XLOOKUP($D368,'Modelling New'!$D:$D,'Modelling New'!$O:$O),"")</f>
        <v>0.74755452089211905</v>
      </c>
      <c r="AF368" s="148">
        <f>IFERROR(_xlfn.XLOOKUP($D368,'Modelling New'!$D:$D,'Modelling New'!$W:$W),"")</f>
        <v>0.24035764507499272</v>
      </c>
      <c r="AG368" s="148">
        <f>IFERROR(_xlfn.XLOOKUP($D368,'Modelling New'!$D:$D,'Modelling New'!AE:AE),"")</f>
        <v>0.995</v>
      </c>
      <c r="AH368" s="148">
        <f>IFERROR(_xlfn.XLOOKUP($D368,'Modelling New'!$D:$D,'Modelling New'!AF:AF),"")</f>
        <v>0.98550000000000004</v>
      </c>
      <c r="AN368" s="145"/>
      <c r="AO368" s="148"/>
      <c r="AP368" s="148"/>
      <c r="AQ368" s="148"/>
      <c r="AR368" s="143">
        <f>IFERROR(_xlfn.XLOOKUP($D368,'Modelling New'!$D:$D,'Modelling New'!$N:$N),"")</f>
        <v>11.72</v>
      </c>
      <c r="AT368" s="143" t="str">
        <f>IFERROR(_xlfn.XLOOKUP(Table13[[#This Row],[Date]],'Raw Data'!$G:$G,'Raw Data'!$AJ:$AJ),"")</f>
        <v/>
      </c>
      <c r="AU368" s="143">
        <f>IFERROR(_xlfn.XLOOKUP(Table13[[#This Row],[Month Year]],'Modelling New'!$D:$D,'Modelling New'!$AO:$AO),"")</f>
        <v>10</v>
      </c>
      <c r="AV368" s="143"/>
    </row>
    <row r="369" spans="1:48">
      <c r="A369" s="142">
        <f t="shared" si="24"/>
        <v>46112</v>
      </c>
      <c r="B369" s="143">
        <f>YEAR(Table13[[#This Row],[Date]])+IF(MONTH(Table13[[#This Row],[Date]])&gt;=4,1,0)</f>
        <v>2026</v>
      </c>
      <c r="C369" s="116">
        <f>YEAR(Table13[[#This Row],[Date]])</f>
        <v>2026</v>
      </c>
      <c r="D369" s="144">
        <f>Table13[[#This Row],[Date]]-DAY(Table13[[#This Row],[Date]])+1</f>
        <v>46082</v>
      </c>
      <c r="E369" s="116">
        <f t="shared" si="21"/>
        <v>31</v>
      </c>
      <c r="F369" s="117" t="str">
        <f>IFERROR(_xlfn.XLOOKUP($A369,'Raw Data'!$G:$G,'Raw Data'!$AH:$AH),"")</f>
        <v/>
      </c>
      <c r="G369" s="118" t="str">
        <f>IFERROR(_xlfn.XLOOKUP($A369,'Raw Data'!$G:$G,'Raw Data'!$S:$S)/1000,"")</f>
        <v/>
      </c>
      <c r="H369" s="118"/>
      <c r="I369" s="118" t="str">
        <f>IFERROR(_xlfn.XLOOKUP($A369,'Raw Data'!$G:$G,'Raw Data'!$AF:$AF)/1000,"")</f>
        <v/>
      </c>
      <c r="J369" s="118"/>
      <c r="K369" s="118" t="str">
        <f>IFERROR(_xlfn.XLOOKUP($A369,'Raw Data'!$G:$G,'Raw Data'!W:W),"")</f>
        <v/>
      </c>
      <c r="L369" s="118" t="str">
        <f>IFERROR(_xlfn.XLOOKUP($A369,'Raw Data'!$G:$G,'Raw Data'!X:X),"")</f>
        <v/>
      </c>
      <c r="M369" s="118" t="str">
        <f>IFERROR(_xlfn.XLOOKUP($A369,'Raw Data'!$G:$G,'Raw Data'!Y:Y),"")</f>
        <v/>
      </c>
      <c r="N369" s="118" t="str">
        <f>IFERROR(_xlfn.XLOOKUP($A369,'Raw Data'!$G:$G,'Raw Data'!Z:Z),"")</f>
        <v/>
      </c>
      <c r="O369" s="145" t="str">
        <f>IFERROR(1-SUMIF('Plant BD'!$B:$B,$A369,'Plant BD'!$AM:$AM)/($AA369+SUMIF('Plant BD'!$B:$B,$A369,'Plant BD'!$AM:$AM)),"")</f>
        <v/>
      </c>
      <c r="P369" s="145"/>
      <c r="Q369" s="146"/>
      <c r="R369" s="145" t="str">
        <f>IFERROR(1-SUMIF('Grid BD'!$B:$B,$A369,'Grid BD'!$AE:$AE)/($AA369+SUMIF('Grid BD'!$B:$B,$A369,'Grid BD'!$AE:$AE)),"")</f>
        <v/>
      </c>
      <c r="T369" s="146" t="str">
        <f>IFERROR(1-SUMIF(Tracker_BD!$H:$H,$A369,Tracker_BD!AI:AI)/$F369,"")</f>
        <v/>
      </c>
      <c r="U369" s="147" t="str">
        <f t="shared" si="22"/>
        <v/>
      </c>
      <c r="V369" s="147"/>
      <c r="W369" s="148" t="str">
        <f t="shared" si="23"/>
        <v/>
      </c>
      <c r="X369" s="143" t="str">
        <f>IFERROR(_xlfn.XLOOKUP($A369,'Raw Data'!$G:$G,'Raw Data'!$AB:$AB),"")</f>
        <v/>
      </c>
      <c r="Y369" s="143" t="str">
        <f>IFERROR(_xlfn.XLOOKUP($A369,'Raw Data'!$G:$G,'Raw Data'!AC:AC),"")</f>
        <v/>
      </c>
      <c r="Z369" s="143" t="str">
        <f>IFERROR(_xlfn.XLOOKUP($A369,'Raw Data'!$G:$G,'Raw Data'!AD:AD),"")</f>
        <v/>
      </c>
      <c r="AA369" s="143" t="str">
        <f>IFERROR(_xlfn.XLOOKUP($A369,'Raw Data'!$G:$G,'Raw Data'!AE:AE)*(1+(_xlfn.XLOOKUP(Table13[[#This Row],[Month Year]],JMR!$A:$A,JMR!$J:$J))),"")</f>
        <v/>
      </c>
      <c r="AB369" s="143" t="str">
        <f>IFERROR(_xlfn.XLOOKUP($A369,'Raw Data'!$G:$G,'Raw Data'!$H:$H),"")</f>
        <v/>
      </c>
      <c r="AC369" s="149">
        <f>IFERROR(_xlfn.XLOOKUP($D369,'Modelling New'!$D:$D,'Modelling New'!$P:$P),"")</f>
        <v>7.7166057064516123</v>
      </c>
      <c r="AD369" s="143">
        <f>IFERROR(_xlfn.XLOOKUP($D369,'Modelling New'!$D:$D,'Modelling New'!$T:$T)*1000,"")</f>
        <v>67607.798406693953</v>
      </c>
      <c r="AE369" s="148">
        <f>IFERROR(_xlfn.XLOOKUP($D369,'Modelling New'!$D:$D,'Modelling New'!$O:$O),"")</f>
        <v>0.74755452089211905</v>
      </c>
      <c r="AF369" s="148">
        <f>IFERROR(_xlfn.XLOOKUP($D369,'Modelling New'!$D:$D,'Modelling New'!$W:$W),"")</f>
        <v>0.24035764507499272</v>
      </c>
      <c r="AG369" s="148">
        <f>IFERROR(_xlfn.XLOOKUP($D369,'Modelling New'!$D:$D,'Modelling New'!AE:AE),"")</f>
        <v>0.995</v>
      </c>
      <c r="AH369" s="148">
        <f>IFERROR(_xlfn.XLOOKUP($D369,'Modelling New'!$D:$D,'Modelling New'!AF:AF),"")</f>
        <v>0.98550000000000004</v>
      </c>
      <c r="AN369" s="145"/>
      <c r="AO369" s="148"/>
      <c r="AP369" s="148"/>
      <c r="AQ369" s="148"/>
      <c r="AR369" s="143">
        <f>IFERROR(_xlfn.XLOOKUP($D369,'Modelling New'!$D:$D,'Modelling New'!$N:$N),"")</f>
        <v>11.72</v>
      </c>
      <c r="AT369" s="143" t="str">
        <f>IFERROR(_xlfn.XLOOKUP(Table13[[#This Row],[Date]],'Raw Data'!$G:$G,'Raw Data'!$AJ:$AJ),"")</f>
        <v/>
      </c>
      <c r="AU369" s="143">
        <f>IFERROR(_xlfn.XLOOKUP(Table13[[#This Row],[Month Year]],'Modelling New'!$D:$D,'Modelling New'!$AO:$AO),"")</f>
        <v>10</v>
      </c>
      <c r="AV369" s="143"/>
    </row>
  </sheetData>
  <sheetProtection algorithmName="SHA-512" hashValue="D1U8LCDAUKDymFrwKN4v/cwXlw0fHJLFK4hZhG0QEu2V4t1B0uurThmSXIvOVShStCsMBWT7fS+JTEnV4M/VSA==" saltValue="pP5p/7A+q1VJYw402eywm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J131"/>
  <sheetViews>
    <sheetView zoomScale="98" zoomScaleNormal="98" workbookViewId="0">
      <pane xSplit="7" ySplit="3" topLeftCell="Y119" activePane="bottomRight" state="frozen"/>
      <selection pane="topRight" activeCell="H1" sqref="H1"/>
      <selection pane="bottomLeft" activeCell="A4" sqref="A4"/>
      <selection pane="bottomRight" activeCell="AI131" sqref="AI131"/>
    </sheetView>
  </sheetViews>
  <sheetFormatPr defaultColWidth="9" defaultRowHeight="14.5"/>
  <cols>
    <col min="1" max="1" width="11.26953125" style="2" customWidth="1"/>
    <col min="2" max="2" width="12.54296875" style="2" customWidth="1"/>
    <col min="3" max="4" width="12.26953125" style="2" customWidth="1"/>
    <col min="5" max="5" width="11.54296875" style="2" customWidth="1"/>
    <col min="6" max="6" width="9" style="2" customWidth="1"/>
    <col min="7" max="7" width="13.7265625" customWidth="1"/>
    <col min="8" max="8" width="9" style="2" customWidth="1"/>
    <col min="9" max="9" width="9.7265625" customWidth="1"/>
    <col min="10" max="10" width="10.7265625" customWidth="1"/>
    <col min="11" max="16" width="9.7265625" style="2" customWidth="1"/>
    <col min="17" max="17" width="12.54296875" style="2" customWidth="1"/>
    <col min="18" max="22" width="9.7265625" style="2" customWidth="1"/>
    <col min="23" max="24" width="10.7265625" style="2" customWidth="1"/>
    <col min="25" max="34" width="9.7265625" style="2" customWidth="1"/>
  </cols>
  <sheetData>
    <row r="2" spans="1:36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:AJ2" si="2">AH2+1</f>
        <v>29</v>
      </c>
      <c r="AJ2">
        <f t="shared" si="2"/>
        <v>30</v>
      </c>
    </row>
    <row r="3" spans="1:36" ht="48">
      <c r="A3" s="48" t="s">
        <v>125</v>
      </c>
      <c r="B3" s="48" t="s">
        <v>126</v>
      </c>
      <c r="C3" s="48" t="s">
        <v>127</v>
      </c>
      <c r="D3" s="48" t="s">
        <v>128</v>
      </c>
      <c r="E3" s="48" t="s">
        <v>84</v>
      </c>
      <c r="F3" s="48" t="s">
        <v>63</v>
      </c>
      <c r="G3" s="49" t="s">
        <v>34</v>
      </c>
      <c r="H3" s="49" t="s">
        <v>129</v>
      </c>
      <c r="I3" s="31" t="s">
        <v>130</v>
      </c>
      <c r="J3" s="31" t="s">
        <v>131</v>
      </c>
      <c r="K3" s="31" t="s">
        <v>132</v>
      </c>
      <c r="L3" s="31" t="s">
        <v>133</v>
      </c>
      <c r="M3" s="31" t="s">
        <v>134</v>
      </c>
      <c r="N3" s="31" t="s">
        <v>135</v>
      </c>
      <c r="O3" s="31" t="s">
        <v>136</v>
      </c>
      <c r="P3" s="31" t="s">
        <v>137</v>
      </c>
      <c r="Q3" s="51" t="s">
        <v>138</v>
      </c>
      <c r="R3" s="51" t="s">
        <v>139</v>
      </c>
      <c r="S3" s="51" t="s">
        <v>140</v>
      </c>
      <c r="T3" s="51" t="s">
        <v>141</v>
      </c>
      <c r="U3" s="51" t="s">
        <v>142</v>
      </c>
      <c r="V3" s="51" t="s">
        <v>143</v>
      </c>
      <c r="W3" s="51" t="s">
        <v>144</v>
      </c>
      <c r="X3" s="51" t="s">
        <v>145</v>
      </c>
      <c r="Y3" s="51" t="s">
        <v>146</v>
      </c>
      <c r="Z3" s="51" t="s">
        <v>147</v>
      </c>
      <c r="AA3" s="51" t="s">
        <v>148</v>
      </c>
      <c r="AB3" s="51" t="s">
        <v>149</v>
      </c>
      <c r="AC3" s="51" t="s">
        <v>150</v>
      </c>
      <c r="AD3" s="51" t="s">
        <v>151</v>
      </c>
      <c r="AE3" s="51" t="s">
        <v>152</v>
      </c>
      <c r="AF3" s="51" t="s">
        <v>153</v>
      </c>
      <c r="AG3" s="51" t="s">
        <v>154</v>
      </c>
      <c r="AH3" s="51" t="s">
        <v>85</v>
      </c>
      <c r="AI3" s="51" t="s">
        <v>10</v>
      </c>
      <c r="AJ3" t="s">
        <v>518</v>
      </c>
    </row>
    <row r="4" spans="1:36">
      <c r="A4" s="143">
        <f>YEAR(Raw_Data[[#This Row],[Date]])+IF(MONTH(Raw_Data[[#This Row],[Date]])&gt;=4,1,0)</f>
        <v>2025</v>
      </c>
      <c r="B4" s="116">
        <f>YEAR(Raw_Data[[#This Row],[Date]])</f>
        <v>2025</v>
      </c>
      <c r="C4" s="2" t="s">
        <v>155</v>
      </c>
      <c r="D4" s="2" t="s">
        <v>155</v>
      </c>
      <c r="E4" s="30">
        <v>45717</v>
      </c>
      <c r="F4" s="2">
        <f>DAY(EOMONTH(Raw_Data[[#This Row],[Month Year]],0))</f>
        <v>31</v>
      </c>
      <c r="G4" s="50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52">
        <v>3</v>
      </c>
      <c r="Z4" s="52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27">
        <f t="shared" ref="AH4" si="3">IFERROR((J4-I4)*24,"")</f>
        <v>12.066666666666666</v>
      </c>
      <c r="AI4" s="2"/>
      <c r="AJ4" s="2"/>
    </row>
    <row r="5" spans="1:36">
      <c r="A5" s="143">
        <f>YEAR(Raw_Data[[#This Row],[Date]])+IF(MONTH(Raw_Data[[#This Row],[Date]])&gt;=4,1,0)</f>
        <v>2025</v>
      </c>
      <c r="B5" s="116">
        <f>YEAR(Raw_Data[[#This Row],[Date]])</f>
        <v>2025</v>
      </c>
      <c r="C5" s="2" t="s">
        <v>155</v>
      </c>
      <c r="D5" s="2" t="s">
        <v>155</v>
      </c>
      <c r="E5" s="30">
        <v>45717</v>
      </c>
      <c r="F5" s="2">
        <f>DAY(EOMONTH(Raw_Data[[#This Row],[Month Year]],0))</f>
        <v>31</v>
      </c>
      <c r="G5" s="50">
        <f t="shared" ref="G5:G131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52">
        <v>3</v>
      </c>
      <c r="Z5" s="52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27">
        <f t="shared" ref="AH5" si="5">IFERROR((J5-I5)*24,"")</f>
        <v>11.733333333333333</v>
      </c>
      <c r="AI5" s="2"/>
      <c r="AJ5" s="2"/>
    </row>
    <row r="6" spans="1:36">
      <c r="A6" s="143">
        <f>YEAR(Raw_Data[[#This Row],[Date]])+IF(MONTH(Raw_Data[[#This Row],[Date]])&gt;=4,1,0)</f>
        <v>2025</v>
      </c>
      <c r="B6" s="116">
        <f>YEAR(Raw_Data[[#This Row],[Date]])</f>
        <v>2025</v>
      </c>
      <c r="C6" s="2" t="s">
        <v>155</v>
      </c>
      <c r="D6" s="2" t="s">
        <v>155</v>
      </c>
      <c r="E6" s="30">
        <v>45717</v>
      </c>
      <c r="F6" s="2">
        <f>DAY(EOMONTH(Raw_Data[[#This Row],[Month Year]],0))</f>
        <v>31</v>
      </c>
      <c r="G6" s="50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52">
        <v>7.9</v>
      </c>
      <c r="Z6" s="52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27">
        <f t="shared" ref="AH6" si="6">IFERROR((J6-I6)*24,"")</f>
        <v>11.749999999999998</v>
      </c>
      <c r="AI6" s="2"/>
      <c r="AJ6" s="2"/>
    </row>
    <row r="7" spans="1:36">
      <c r="A7" s="143">
        <f>YEAR(Raw_Data[[#This Row],[Date]])+IF(MONTH(Raw_Data[[#This Row],[Date]])&gt;=4,1,0)</f>
        <v>2026</v>
      </c>
      <c r="B7" s="116">
        <f>YEAR(Raw_Data[[#This Row],[Date]])</f>
        <v>2025</v>
      </c>
      <c r="C7" s="2" t="s">
        <v>155</v>
      </c>
      <c r="D7" s="2" t="s">
        <v>155</v>
      </c>
      <c r="E7" s="30">
        <v>45748</v>
      </c>
      <c r="F7" s="2">
        <f>DAY(EOMONTH(Raw_Data[[#This Row],[Month Year]],0))</f>
        <v>30</v>
      </c>
      <c r="G7" s="50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36">
        <v>6</v>
      </c>
      <c r="Z7" s="3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27">
        <f t="shared" ref="AH7:AH12" si="7">IFERROR((J7-I7)*24,"")</f>
        <v>11.883333333333333</v>
      </c>
      <c r="AI7" s="2"/>
      <c r="AJ7" s="2"/>
    </row>
    <row r="8" spans="1:36">
      <c r="A8" s="143">
        <f>YEAR(Raw_Data[[#This Row],[Date]])+IF(MONTH(Raw_Data[[#This Row],[Date]])&gt;=4,1,0)</f>
        <v>2026</v>
      </c>
      <c r="B8" s="116">
        <f>YEAR(Raw_Data[[#This Row],[Date]])</f>
        <v>2025</v>
      </c>
      <c r="C8" s="2" t="s">
        <v>155</v>
      </c>
      <c r="D8" s="2" t="s">
        <v>155</v>
      </c>
      <c r="E8" s="30">
        <v>45748</v>
      </c>
      <c r="F8" s="2">
        <f>DAY(EOMONTH(Raw_Data[[#This Row],[Month Year]],0))</f>
        <v>30</v>
      </c>
      <c r="G8" s="50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36">
        <v>6</v>
      </c>
      <c r="Z8" s="3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27">
        <f t="shared" si="7"/>
        <v>11.85</v>
      </c>
      <c r="AI8" s="2"/>
      <c r="AJ8" s="2"/>
    </row>
    <row r="9" spans="1:36">
      <c r="A9" s="143">
        <f>YEAR(Raw_Data[[#This Row],[Date]])+IF(MONTH(Raw_Data[[#This Row],[Date]])&gt;=4,1,0)</f>
        <v>2026</v>
      </c>
      <c r="B9" s="116">
        <f>YEAR(Raw_Data[[#This Row],[Date]])</f>
        <v>2025</v>
      </c>
      <c r="C9" s="2" t="s">
        <v>155</v>
      </c>
      <c r="D9" s="2" t="s">
        <v>155</v>
      </c>
      <c r="E9" s="30">
        <v>45748</v>
      </c>
      <c r="F9" s="2">
        <f>DAY(EOMONTH(Raw_Data[[#This Row],[Month Year]],0))</f>
        <v>30</v>
      </c>
      <c r="G9" s="50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36">
        <v>8</v>
      </c>
      <c r="Z9" s="3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27">
        <f t="shared" si="7"/>
        <v>11.7</v>
      </c>
      <c r="AI9" s="2"/>
      <c r="AJ9" s="2"/>
    </row>
    <row r="10" spans="1:36">
      <c r="A10" s="143">
        <f>YEAR(Raw_Data[[#This Row],[Date]])+IF(MONTH(Raw_Data[[#This Row],[Date]])&gt;=4,1,0)</f>
        <v>2026</v>
      </c>
      <c r="B10" s="116">
        <f>YEAR(Raw_Data[[#This Row],[Date]])</f>
        <v>2025</v>
      </c>
      <c r="C10" s="2" t="s">
        <v>155</v>
      </c>
      <c r="D10" s="2" t="s">
        <v>155</v>
      </c>
      <c r="E10" s="30">
        <v>45748</v>
      </c>
      <c r="F10" s="2">
        <f>DAY(EOMONTH(Raw_Data[[#This Row],[Month Year]],0))</f>
        <v>30</v>
      </c>
      <c r="G10" s="50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36">
        <v>8</v>
      </c>
      <c r="Z10" s="3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27">
        <f t="shared" si="7"/>
        <v>11.866666666666665</v>
      </c>
      <c r="AI10" s="2"/>
      <c r="AJ10" s="2"/>
    </row>
    <row r="11" spans="1:36">
      <c r="A11" s="143">
        <f>YEAR(Raw_Data[[#This Row],[Date]])+IF(MONTH(Raw_Data[[#This Row],[Date]])&gt;=4,1,0)</f>
        <v>2026</v>
      </c>
      <c r="B11" s="116">
        <f>YEAR(Raw_Data[[#This Row],[Date]])</f>
        <v>2025</v>
      </c>
      <c r="C11" s="2" t="s">
        <v>155</v>
      </c>
      <c r="D11" s="2" t="s">
        <v>155</v>
      </c>
      <c r="E11" s="30">
        <v>45748</v>
      </c>
      <c r="F11" s="2">
        <f>DAY(EOMONTH(Raw_Data[[#This Row],[Month Year]],0))</f>
        <v>30</v>
      </c>
      <c r="G11" s="50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36">
        <v>8</v>
      </c>
      <c r="Z11" s="3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27">
        <f t="shared" si="7"/>
        <v>11.899999999999999</v>
      </c>
      <c r="AI11" s="2"/>
      <c r="AJ11" s="2"/>
    </row>
    <row r="12" spans="1:36">
      <c r="A12" s="143">
        <f>YEAR(Raw_Data[[#This Row],[Date]])+IF(MONTH(Raw_Data[[#This Row],[Date]])&gt;=4,1,0)</f>
        <v>2026</v>
      </c>
      <c r="B12" s="116">
        <f>YEAR(Raw_Data[[#This Row],[Date]])</f>
        <v>2025</v>
      </c>
      <c r="C12" s="2" t="s">
        <v>155</v>
      </c>
      <c r="D12" s="2" t="s">
        <v>155</v>
      </c>
      <c r="E12" s="30">
        <v>45748</v>
      </c>
      <c r="F12" s="2">
        <f>DAY(EOMONTH(Raw_Data[[#This Row],[Month Year]],0))</f>
        <v>30</v>
      </c>
      <c r="G12" s="50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36">
        <v>6</v>
      </c>
      <c r="Z12" s="3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27">
        <f t="shared" si="7"/>
        <v>11.866666666666665</v>
      </c>
      <c r="AI12" s="2"/>
      <c r="AJ12" s="2"/>
    </row>
    <row r="13" spans="1:36">
      <c r="A13" s="143">
        <f>YEAR(Raw_Data[[#This Row],[Date]])+IF(MONTH(Raw_Data[[#This Row],[Date]])&gt;=4,1,0)</f>
        <v>2026</v>
      </c>
      <c r="B13" s="116">
        <f>YEAR(Raw_Data[[#This Row],[Date]])</f>
        <v>2025</v>
      </c>
      <c r="C13" s="2" t="s">
        <v>155</v>
      </c>
      <c r="D13" s="2" t="s">
        <v>155</v>
      </c>
      <c r="E13" s="30">
        <v>45748</v>
      </c>
      <c r="F13" s="2">
        <f>DAY(EOMONTH(Raw_Data[[#This Row],[Month Year]],0))</f>
        <v>30</v>
      </c>
      <c r="G13" s="50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36">
        <v>4.9000000000000004</v>
      </c>
      <c r="Z13" s="3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27">
        <f t="shared" ref="AH13" si="8">IFERROR((J13-I13)*24,"")</f>
        <v>11.983333333333333</v>
      </c>
      <c r="AI13" s="2"/>
      <c r="AJ13" s="2"/>
    </row>
    <row r="14" spans="1:36">
      <c r="A14" s="143">
        <f>YEAR(Raw_Data[[#This Row],[Date]])+IF(MONTH(Raw_Data[[#This Row],[Date]])&gt;=4,1,0)</f>
        <v>2026</v>
      </c>
      <c r="B14" s="116">
        <f>YEAR(Raw_Data[[#This Row],[Date]])</f>
        <v>2025</v>
      </c>
      <c r="C14" s="2" t="s">
        <v>155</v>
      </c>
      <c r="D14" s="2" t="s">
        <v>155</v>
      </c>
      <c r="E14" s="30">
        <v>45748</v>
      </c>
      <c r="F14" s="2">
        <f>DAY(EOMONTH(Raw_Data[[#This Row],[Month Year]],0))</f>
        <v>30</v>
      </c>
      <c r="G14" s="50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36">
        <v>6</v>
      </c>
      <c r="Z14" s="3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27">
        <f t="shared" ref="AH14" si="9">IFERROR((J14-I14)*24,"")</f>
        <v>11.933333333333332</v>
      </c>
      <c r="AI14" s="2"/>
      <c r="AJ14" s="2"/>
    </row>
    <row r="15" spans="1:36">
      <c r="A15" s="143">
        <f>YEAR(Raw_Data[[#This Row],[Date]])+IF(MONTH(Raw_Data[[#This Row],[Date]])&gt;=4,1,0)</f>
        <v>2026</v>
      </c>
      <c r="B15" s="116">
        <f>YEAR(Raw_Data[[#This Row],[Date]])</f>
        <v>2025</v>
      </c>
      <c r="C15" s="2" t="s">
        <v>155</v>
      </c>
      <c r="D15" s="2" t="s">
        <v>155</v>
      </c>
      <c r="E15" s="30">
        <v>45748</v>
      </c>
      <c r="F15" s="2">
        <f>DAY(EOMONTH(Raw_Data[[#This Row],[Month Year]],0))</f>
        <v>30</v>
      </c>
      <c r="G15" s="50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36">
        <v>5</v>
      </c>
      <c r="Z15" s="3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27">
        <f t="shared" ref="AH15" si="10">IFERROR((J15-I15)*24,"")</f>
        <v>12.066666666666666</v>
      </c>
      <c r="AI15" s="2"/>
      <c r="AJ15" s="2"/>
    </row>
    <row r="16" spans="1:36">
      <c r="A16" s="143">
        <f>YEAR(Raw_Data[[#This Row],[Date]])+IF(MONTH(Raw_Data[[#This Row],[Date]])&gt;=4,1,0)</f>
        <v>2026</v>
      </c>
      <c r="B16" s="116">
        <f>YEAR(Raw_Data[[#This Row],[Date]])</f>
        <v>2025</v>
      </c>
      <c r="C16" s="2" t="s">
        <v>155</v>
      </c>
      <c r="D16" s="2" t="s">
        <v>155</v>
      </c>
      <c r="E16" s="30">
        <v>45748</v>
      </c>
      <c r="F16" s="2">
        <f>DAY(EOMONTH(Raw_Data[[#This Row],[Month Year]],0))</f>
        <v>30</v>
      </c>
      <c r="G16" s="50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36">
        <v>5</v>
      </c>
      <c r="Z16" s="3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27">
        <f t="shared" ref="AH16" si="11">IFERROR((J16-I16)*24,"")</f>
        <v>11.916666666666666</v>
      </c>
      <c r="AI16" s="2"/>
      <c r="AJ16" s="2"/>
    </row>
    <row r="17" spans="1:36">
      <c r="A17" s="143">
        <f>YEAR(Raw_Data[[#This Row],[Date]])+IF(MONTH(Raw_Data[[#This Row],[Date]])&gt;=4,1,0)</f>
        <v>2026</v>
      </c>
      <c r="B17" s="116">
        <f>YEAR(Raw_Data[[#This Row],[Date]])</f>
        <v>2025</v>
      </c>
      <c r="C17" s="2" t="s">
        <v>155</v>
      </c>
      <c r="D17" s="2" t="s">
        <v>155</v>
      </c>
      <c r="E17" s="30">
        <v>45748</v>
      </c>
      <c r="F17" s="2">
        <f>DAY(EOMONTH(Raw_Data[[#This Row],[Month Year]],0))</f>
        <v>30</v>
      </c>
      <c r="G17" s="50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36">
        <v>5</v>
      </c>
      <c r="Z17" s="3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27">
        <f t="shared" ref="AH17" si="12">IFERROR((J17-I17)*24,"")</f>
        <v>11.833333333333332</v>
      </c>
      <c r="AI17" s="2"/>
      <c r="AJ17" s="2"/>
    </row>
    <row r="18" spans="1:36">
      <c r="A18" s="143">
        <f>YEAR(Raw_Data[[#This Row],[Date]])+IF(MONTH(Raw_Data[[#This Row],[Date]])&gt;=4,1,0)</f>
        <v>2026</v>
      </c>
      <c r="B18" s="116">
        <f>YEAR(Raw_Data[[#This Row],[Date]])</f>
        <v>2025</v>
      </c>
      <c r="C18" s="2" t="s">
        <v>155</v>
      </c>
      <c r="D18" s="2" t="s">
        <v>155</v>
      </c>
      <c r="E18" s="30">
        <v>45748</v>
      </c>
      <c r="F18" s="2">
        <f>DAY(EOMONTH(Raw_Data[[#This Row],[Month Year]],0))</f>
        <v>30</v>
      </c>
      <c r="G18" s="50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36">
        <v>8</v>
      </c>
      <c r="Z18" s="3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27">
        <f t="shared" ref="AH18" si="13">IFERROR((J18-I18)*24,"")</f>
        <v>11.95</v>
      </c>
      <c r="AI18" s="2"/>
      <c r="AJ18" s="2"/>
    </row>
    <row r="19" spans="1:36">
      <c r="A19" s="143">
        <f>YEAR(Raw_Data[[#This Row],[Date]])+IF(MONTH(Raw_Data[[#This Row],[Date]])&gt;=4,1,0)</f>
        <v>2026</v>
      </c>
      <c r="B19" s="116">
        <f>YEAR(Raw_Data[[#This Row],[Date]])</f>
        <v>2025</v>
      </c>
      <c r="C19" s="2" t="s">
        <v>155</v>
      </c>
      <c r="D19" s="2" t="s">
        <v>155</v>
      </c>
      <c r="E19" s="30">
        <v>45748</v>
      </c>
      <c r="F19" s="2">
        <f>DAY(EOMONTH(Raw_Data[[#This Row],[Month Year]],0))</f>
        <v>30</v>
      </c>
      <c r="G19" s="50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36">
        <v>8</v>
      </c>
      <c r="Z19" s="3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27">
        <f t="shared" ref="AH19" si="14">IFERROR((J19-I19)*24,"")</f>
        <v>12.066666666666666</v>
      </c>
      <c r="AI19" s="2"/>
      <c r="AJ19" s="2"/>
    </row>
    <row r="20" spans="1:36">
      <c r="A20" s="143">
        <f>YEAR(Raw_Data[[#This Row],[Date]])+IF(MONTH(Raw_Data[[#This Row],[Date]])&gt;=4,1,0)</f>
        <v>2026</v>
      </c>
      <c r="B20" s="116">
        <f>YEAR(Raw_Data[[#This Row],[Date]])</f>
        <v>2025</v>
      </c>
      <c r="C20" s="2" t="s">
        <v>155</v>
      </c>
      <c r="D20" s="2" t="s">
        <v>155</v>
      </c>
      <c r="E20" s="30">
        <v>45748</v>
      </c>
      <c r="F20" s="2">
        <f>DAY(EOMONTH(Raw_Data[[#This Row],[Month Year]],0))</f>
        <v>30</v>
      </c>
      <c r="G20" s="50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36">
        <v>4.7</v>
      </c>
      <c r="Z20" s="3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27">
        <f t="shared" ref="AH20" si="15">IFERROR((J20-I20)*24,"")</f>
        <v>12.08333333333333</v>
      </c>
      <c r="AI20" s="2"/>
      <c r="AJ20" s="2"/>
    </row>
    <row r="21" spans="1:36">
      <c r="A21" s="143">
        <f>YEAR(Raw_Data[[#This Row],[Date]])+IF(MONTH(Raw_Data[[#This Row],[Date]])&gt;=4,1,0)</f>
        <v>2026</v>
      </c>
      <c r="B21" s="116">
        <f>YEAR(Raw_Data[[#This Row],[Date]])</f>
        <v>2025</v>
      </c>
      <c r="C21" s="2" t="s">
        <v>155</v>
      </c>
      <c r="D21" s="2" t="s">
        <v>155</v>
      </c>
      <c r="E21" s="30">
        <v>45748</v>
      </c>
      <c r="F21" s="2">
        <f>DAY(EOMONTH(Raw_Data[[#This Row],[Month Year]],0))</f>
        <v>30</v>
      </c>
      <c r="G21" s="50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36">
        <v>4.7</v>
      </c>
      <c r="Z21" s="3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27">
        <f t="shared" ref="AH21" si="16">IFERROR((J21-I21)*24,"")</f>
        <v>12.216666666666669</v>
      </c>
      <c r="AI21" s="2"/>
      <c r="AJ21" s="2"/>
    </row>
    <row r="22" spans="1:36">
      <c r="A22" s="143">
        <f>YEAR(Raw_Data[[#This Row],[Date]])+IF(MONTH(Raw_Data[[#This Row],[Date]])&gt;=4,1,0)</f>
        <v>2026</v>
      </c>
      <c r="B22" s="116">
        <f>YEAR(Raw_Data[[#This Row],[Date]])</f>
        <v>2025</v>
      </c>
      <c r="C22" s="2" t="s">
        <v>155</v>
      </c>
      <c r="D22" s="2" t="s">
        <v>155</v>
      </c>
      <c r="E22" s="30">
        <v>45748</v>
      </c>
      <c r="F22" s="2">
        <f>DAY(EOMONTH(Raw_Data[[#This Row],[Month Year]],0))</f>
        <v>30</v>
      </c>
      <c r="G22" s="50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36">
        <v>4.7</v>
      </c>
      <c r="Z22" s="3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27">
        <f t="shared" ref="AH22" si="17">IFERROR((J22-I22)*24,"")</f>
        <v>12.1</v>
      </c>
      <c r="AI22" s="2"/>
      <c r="AJ22" s="2"/>
    </row>
    <row r="23" spans="1:36">
      <c r="A23" s="143">
        <f>YEAR(Raw_Data[[#This Row],[Date]])+IF(MONTH(Raw_Data[[#This Row],[Date]])&gt;=4,1,0)</f>
        <v>2026</v>
      </c>
      <c r="B23" s="116">
        <f>YEAR(Raw_Data[[#This Row],[Date]])</f>
        <v>2025</v>
      </c>
      <c r="C23" s="2" t="s">
        <v>155</v>
      </c>
      <c r="D23" s="2" t="s">
        <v>155</v>
      </c>
      <c r="E23" s="30">
        <v>45748</v>
      </c>
      <c r="F23" s="2">
        <f>DAY(EOMONTH(Raw_Data[[#This Row],[Month Year]],0))</f>
        <v>30</v>
      </c>
      <c r="G23" s="50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36">
        <v>4.7</v>
      </c>
      <c r="Z23" s="3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27">
        <f t="shared" ref="AH23" si="18">IFERROR((J23-I23)*24,"")</f>
        <v>12.166666666666666</v>
      </c>
      <c r="AI23" s="2"/>
      <c r="AJ23" s="2"/>
    </row>
    <row r="24" spans="1:36">
      <c r="A24" s="143">
        <f>YEAR(Raw_Data[[#This Row],[Date]])+IF(MONTH(Raw_Data[[#This Row],[Date]])&gt;=4,1,0)</f>
        <v>2026</v>
      </c>
      <c r="B24" s="116">
        <f>YEAR(Raw_Data[[#This Row],[Date]])</f>
        <v>2025</v>
      </c>
      <c r="C24" s="2" t="s">
        <v>155</v>
      </c>
      <c r="D24" s="2" t="s">
        <v>155</v>
      </c>
      <c r="E24" s="30">
        <v>45748</v>
      </c>
      <c r="F24" s="2">
        <f>DAY(EOMONTH(Raw_Data[[#This Row],[Month Year]],0))</f>
        <v>30</v>
      </c>
      <c r="G24" s="50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36">
        <v>6</v>
      </c>
      <c r="Z24" s="3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27">
        <f t="shared" ref="AH24" si="19">IFERROR((J24-I24)*24,"")</f>
        <v>10.700000000000001</v>
      </c>
      <c r="AI24" s="2"/>
      <c r="AJ24" s="2"/>
    </row>
    <row r="25" spans="1:36">
      <c r="A25" s="143">
        <f>YEAR(Raw_Data[[#This Row],[Date]])+IF(MONTH(Raw_Data[[#This Row],[Date]])&gt;=4,1,0)</f>
        <v>2026</v>
      </c>
      <c r="B25" s="116">
        <f>YEAR(Raw_Data[[#This Row],[Date]])</f>
        <v>2025</v>
      </c>
      <c r="C25" s="2" t="s">
        <v>155</v>
      </c>
      <c r="D25" s="2" t="s">
        <v>155</v>
      </c>
      <c r="E25" s="30">
        <v>45748</v>
      </c>
      <c r="F25" s="2">
        <f>DAY(EOMONTH(Raw_Data[[#This Row],[Month Year]],0))</f>
        <v>30</v>
      </c>
      <c r="G25" s="50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36">
        <v>7</v>
      </c>
      <c r="Z25" s="3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27">
        <f t="shared" ref="AH25" si="20">IFERROR((J25-I25)*24,"")</f>
        <v>12.116666666666669</v>
      </c>
      <c r="AI25" s="2"/>
      <c r="AJ25" s="2"/>
    </row>
    <row r="26" spans="1:36">
      <c r="A26" s="143">
        <f>YEAR(Raw_Data[[#This Row],[Date]])+IF(MONTH(Raw_Data[[#This Row],[Date]])&gt;=4,1,0)</f>
        <v>2026</v>
      </c>
      <c r="B26" s="116">
        <f>YEAR(Raw_Data[[#This Row],[Date]])</f>
        <v>2025</v>
      </c>
      <c r="C26" s="2" t="s">
        <v>155</v>
      </c>
      <c r="D26" s="2" t="s">
        <v>155</v>
      </c>
      <c r="E26" s="30">
        <v>45748</v>
      </c>
      <c r="F26" s="2">
        <f>DAY(EOMONTH(Raw_Data[[#This Row],[Month Year]],0))</f>
        <v>30</v>
      </c>
      <c r="G26" s="50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36">
        <v>6</v>
      </c>
      <c r="Z26" s="3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27">
        <f t="shared" ref="AH26" si="21">IFERROR((J26-I26)*24,"")</f>
        <v>12.250000000000002</v>
      </c>
      <c r="AI26" s="2"/>
      <c r="AJ26" s="2"/>
    </row>
    <row r="27" spans="1:36">
      <c r="A27" s="143">
        <f>YEAR(Raw_Data[[#This Row],[Date]])+IF(MONTH(Raw_Data[[#This Row],[Date]])&gt;=4,1,0)</f>
        <v>2026</v>
      </c>
      <c r="B27" s="116">
        <f>YEAR(Raw_Data[[#This Row],[Date]])</f>
        <v>2025</v>
      </c>
      <c r="C27" s="2" t="s">
        <v>155</v>
      </c>
      <c r="D27" s="2" t="s">
        <v>155</v>
      </c>
      <c r="E27" s="30">
        <v>45748</v>
      </c>
      <c r="F27" s="2">
        <f>DAY(EOMONTH(Raw_Data[[#This Row],[Month Year]],0))</f>
        <v>30</v>
      </c>
      <c r="G27" s="50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36">
        <v>6</v>
      </c>
      <c r="Z27" s="3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27">
        <f t="shared" ref="AH27" si="22">IFERROR((J27-I27)*24,"")</f>
        <v>12.033333333333333</v>
      </c>
      <c r="AI27" s="2"/>
      <c r="AJ27" s="2"/>
    </row>
    <row r="28" spans="1:36">
      <c r="A28" s="143">
        <f>YEAR(Raw_Data[[#This Row],[Date]])+IF(MONTH(Raw_Data[[#This Row],[Date]])&gt;=4,1,0)</f>
        <v>2026</v>
      </c>
      <c r="B28" s="116">
        <f>YEAR(Raw_Data[[#This Row],[Date]])</f>
        <v>2025</v>
      </c>
      <c r="C28" s="2" t="s">
        <v>155</v>
      </c>
      <c r="D28" s="2" t="s">
        <v>155</v>
      </c>
      <c r="E28" s="30">
        <v>45748</v>
      </c>
      <c r="F28" s="2">
        <f>DAY(EOMONTH(Raw_Data[[#This Row],[Month Year]],0))</f>
        <v>30</v>
      </c>
      <c r="G28" s="50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36">
        <v>5</v>
      </c>
      <c r="Z28" s="3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27">
        <f t="shared" ref="AH28" si="23">IFERROR((J28-I28)*24,"")</f>
        <v>12.1</v>
      </c>
      <c r="AI28" s="2"/>
      <c r="AJ28" s="2"/>
    </row>
    <row r="29" spans="1:36">
      <c r="A29" s="143">
        <f>YEAR(Raw_Data[[#This Row],[Date]])+IF(MONTH(Raw_Data[[#This Row],[Date]])&gt;=4,1,0)</f>
        <v>2026</v>
      </c>
      <c r="B29" s="116">
        <f>YEAR(Raw_Data[[#This Row],[Date]])</f>
        <v>2025</v>
      </c>
      <c r="C29" s="2" t="s">
        <v>155</v>
      </c>
      <c r="D29" s="2" t="s">
        <v>155</v>
      </c>
      <c r="E29" s="30">
        <v>45748</v>
      </c>
      <c r="F29" s="2">
        <f>DAY(EOMONTH(Raw_Data[[#This Row],[Month Year]],0))</f>
        <v>30</v>
      </c>
      <c r="G29" s="50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36">
        <v>6</v>
      </c>
      <c r="Z29" s="3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27">
        <f t="shared" ref="AH29" si="24">IFERROR((J29-I29)*24,"")</f>
        <v>12.066666666666666</v>
      </c>
      <c r="AI29" s="2"/>
      <c r="AJ29" s="2"/>
    </row>
    <row r="30" spans="1:36">
      <c r="A30" s="143">
        <f>YEAR(Raw_Data[[#This Row],[Date]])+IF(MONTH(Raw_Data[[#This Row],[Date]])&gt;=4,1,0)</f>
        <v>2026</v>
      </c>
      <c r="B30" s="116">
        <f>YEAR(Raw_Data[[#This Row],[Date]])</f>
        <v>2025</v>
      </c>
      <c r="C30" s="2" t="s">
        <v>155</v>
      </c>
      <c r="D30" s="2" t="s">
        <v>155</v>
      </c>
      <c r="E30" s="30">
        <v>45748</v>
      </c>
      <c r="F30" s="2">
        <f>DAY(EOMONTH(Raw_Data[[#This Row],[Month Year]],0))</f>
        <v>30</v>
      </c>
      <c r="G30" s="50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36">
        <v>6</v>
      </c>
      <c r="Z30" s="3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27">
        <f t="shared" ref="AH30" si="25">IFERROR((J30-I30)*24,"")</f>
        <v>11.983333333333333</v>
      </c>
      <c r="AI30" s="2"/>
      <c r="AJ30" s="2"/>
    </row>
    <row r="31" spans="1:36">
      <c r="A31" s="143">
        <f>YEAR(Raw_Data[[#This Row],[Date]])+IF(MONTH(Raw_Data[[#This Row],[Date]])&gt;=4,1,0)</f>
        <v>2026</v>
      </c>
      <c r="B31" s="116">
        <f>YEAR(Raw_Data[[#This Row],[Date]])</f>
        <v>2025</v>
      </c>
      <c r="C31" s="2" t="s">
        <v>155</v>
      </c>
      <c r="D31" s="2" t="s">
        <v>155</v>
      </c>
      <c r="E31" s="30">
        <v>45748</v>
      </c>
      <c r="F31" s="2">
        <f>DAY(EOMONTH(Raw_Data[[#This Row],[Month Year]],0))</f>
        <v>30</v>
      </c>
      <c r="G31" s="50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36">
        <v>7.9</v>
      </c>
      <c r="Z31" s="3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27">
        <f t="shared" ref="AH31" si="26">IFERROR((J31-I31)*24,"")</f>
        <v>11.166666666666668</v>
      </c>
      <c r="AI31" s="2"/>
      <c r="AJ31" s="2"/>
    </row>
    <row r="32" spans="1:36">
      <c r="A32" s="143">
        <f>YEAR(Raw_Data[[#This Row],[Date]])+IF(MONTH(Raw_Data[[#This Row],[Date]])&gt;=4,1,0)</f>
        <v>2026</v>
      </c>
      <c r="B32" s="116">
        <f>YEAR(Raw_Data[[#This Row],[Date]])</f>
        <v>2025</v>
      </c>
      <c r="C32" s="2" t="s">
        <v>155</v>
      </c>
      <c r="D32" s="2" t="s">
        <v>155</v>
      </c>
      <c r="E32" s="30">
        <v>45748</v>
      </c>
      <c r="F32" s="2">
        <f>DAY(EOMONTH(Raw_Data[[#This Row],[Month Year]],0))</f>
        <v>30</v>
      </c>
      <c r="G32" s="50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36">
        <v>1.7</v>
      </c>
      <c r="Z32" s="3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27">
        <f t="shared" ref="AH32" si="27">IFERROR((J32-I32)*24,"")</f>
        <v>12.333333333333336</v>
      </c>
      <c r="AI32" s="2"/>
      <c r="AJ32" s="2"/>
    </row>
    <row r="33" spans="1:36">
      <c r="A33" s="143">
        <f>YEAR(Raw_Data[[#This Row],[Date]])+IF(MONTH(Raw_Data[[#This Row],[Date]])&gt;=4,1,0)</f>
        <v>2026</v>
      </c>
      <c r="B33" s="116">
        <f>YEAR(Raw_Data[[#This Row],[Date]])</f>
        <v>2025</v>
      </c>
      <c r="C33" s="2" t="s">
        <v>155</v>
      </c>
      <c r="D33" s="2" t="s">
        <v>155</v>
      </c>
      <c r="E33" s="30">
        <v>45748</v>
      </c>
      <c r="F33" s="2">
        <f>DAY(EOMONTH(Raw_Data[[#This Row],[Month Year]],0))</f>
        <v>30</v>
      </c>
      <c r="G33" s="50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36">
        <v>1.7</v>
      </c>
      <c r="Z33" s="3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27">
        <f t="shared" ref="AH33" si="28">IFERROR((J33-I33)*24,"")</f>
        <v>11</v>
      </c>
      <c r="AI33" s="2"/>
      <c r="AJ33" s="2"/>
    </row>
    <row r="34" spans="1:36">
      <c r="A34" s="143">
        <f>YEAR(Raw_Data[[#This Row],[Date]])+IF(MONTH(Raw_Data[[#This Row],[Date]])&gt;=4,1,0)</f>
        <v>2026</v>
      </c>
      <c r="B34" s="116">
        <f>YEAR(Raw_Data[[#This Row],[Date]])</f>
        <v>2025</v>
      </c>
      <c r="C34" s="2" t="s">
        <v>155</v>
      </c>
      <c r="D34" s="2" t="s">
        <v>155</v>
      </c>
      <c r="E34" s="30">
        <v>45748</v>
      </c>
      <c r="F34" s="2">
        <f>DAY(EOMONTH(Raw_Data[[#This Row],[Month Year]],0))</f>
        <v>30</v>
      </c>
      <c r="G34" s="50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36">
        <v>1.7</v>
      </c>
      <c r="Z34" s="3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27">
        <f t="shared" ref="AH34" si="29">IFERROR((J34-I34)*24,"")</f>
        <v>12.316666666666666</v>
      </c>
      <c r="AI34" s="2"/>
      <c r="AJ34" s="2"/>
    </row>
    <row r="35" spans="1:36">
      <c r="A35" s="143">
        <f>YEAR(Raw_Data[[#This Row],[Date]])+IF(MONTH(Raw_Data[[#This Row],[Date]])&gt;=4,1,0)</f>
        <v>2026</v>
      </c>
      <c r="B35" s="116">
        <f>YEAR(Raw_Data[[#This Row],[Date]])</f>
        <v>2025</v>
      </c>
      <c r="C35" s="2" t="s">
        <v>155</v>
      </c>
      <c r="D35" s="2" t="s">
        <v>155</v>
      </c>
      <c r="E35" s="30">
        <v>45748</v>
      </c>
      <c r="F35" s="2">
        <f>DAY(EOMONTH(Raw_Data[[#This Row],[Month Year]],0))</f>
        <v>30</v>
      </c>
      <c r="G35" s="50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36">
        <v>1.7</v>
      </c>
      <c r="Z35" s="3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27">
        <f t="shared" ref="AH35" si="30">IFERROR((J35-I35)*24,"")</f>
        <v>12.233333333333333</v>
      </c>
      <c r="AI35" s="2"/>
      <c r="AJ35" s="2"/>
    </row>
    <row r="36" spans="1:36">
      <c r="A36" s="143">
        <f>YEAR(Raw_Data[[#This Row],[Date]])+IF(MONTH(Raw_Data[[#This Row],[Date]])&gt;=4,1,0)</f>
        <v>2026</v>
      </c>
      <c r="B36" s="116">
        <f>YEAR(Raw_Data[[#This Row],[Date]])</f>
        <v>2025</v>
      </c>
      <c r="C36" s="2" t="s">
        <v>155</v>
      </c>
      <c r="D36" s="2" t="s">
        <v>155</v>
      </c>
      <c r="E36" s="30">
        <v>45748</v>
      </c>
      <c r="F36" s="2">
        <f>DAY(EOMONTH(Raw_Data[[#This Row],[Month Year]],0))</f>
        <v>30</v>
      </c>
      <c r="G36" s="50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36">
        <v>1.7</v>
      </c>
      <c r="Z36" s="3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27">
        <f t="shared" ref="AH36" si="31">IFERROR((J36-I36)*24,"")</f>
        <v>12.400000000000002</v>
      </c>
      <c r="AI36" s="2"/>
      <c r="AJ36" s="2"/>
    </row>
    <row r="37" spans="1:36">
      <c r="A37" s="143">
        <f>YEAR(Raw_Data[[#This Row],[Date]])+IF(MONTH(Raw_Data[[#This Row],[Date]])&gt;=4,1,0)</f>
        <v>2026</v>
      </c>
      <c r="B37" s="116">
        <f>YEAR(Raw_Data[[#This Row],[Date]])</f>
        <v>2025</v>
      </c>
      <c r="C37" s="2" t="s">
        <v>155</v>
      </c>
      <c r="D37" s="2" t="s">
        <v>155</v>
      </c>
      <c r="E37" s="30">
        <v>45778</v>
      </c>
      <c r="F37" s="2">
        <f>DAY(EOMONTH(Raw_Data[[#This Row],[Month Year]],0))</f>
        <v>31</v>
      </c>
      <c r="G37" s="50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36">
        <v>5</v>
      </c>
      <c r="Z37" s="3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27">
        <f t="shared" ref="AH37" si="32">IFERROR((J37-I37)*24,"")</f>
        <v>12.350000000000001</v>
      </c>
      <c r="AI37" s="2"/>
      <c r="AJ37" s="2"/>
    </row>
    <row r="38" spans="1:36">
      <c r="A38" s="143">
        <f>YEAR(Raw_Data[[#This Row],[Date]])+IF(MONTH(Raw_Data[[#This Row],[Date]])&gt;=4,1,0)</f>
        <v>2026</v>
      </c>
      <c r="B38" s="116">
        <f>YEAR(Raw_Data[[#This Row],[Date]])</f>
        <v>2025</v>
      </c>
      <c r="C38" s="2" t="s">
        <v>155</v>
      </c>
      <c r="D38" s="2" t="s">
        <v>155</v>
      </c>
      <c r="E38" s="30">
        <v>45778</v>
      </c>
      <c r="F38" s="2">
        <f>DAY(EOMONTH(Raw_Data[[#This Row],[Month Year]],0))</f>
        <v>31</v>
      </c>
      <c r="G38" s="50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36">
        <v>4</v>
      </c>
      <c r="Z38" s="3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27">
        <f t="shared" ref="AH38" si="33">IFERROR((J38-I38)*24,"")</f>
        <v>12.133333333333333</v>
      </c>
      <c r="AI38" s="2"/>
      <c r="AJ38" s="2"/>
    </row>
    <row r="39" spans="1:36">
      <c r="A39" s="143">
        <f>YEAR(Raw_Data[[#This Row],[Date]])+IF(MONTH(Raw_Data[[#This Row],[Date]])&gt;=4,1,0)</f>
        <v>2026</v>
      </c>
      <c r="B39" s="116">
        <f>YEAR(Raw_Data[[#This Row],[Date]])</f>
        <v>2025</v>
      </c>
      <c r="C39" s="2" t="s">
        <v>155</v>
      </c>
      <c r="D39" s="2" t="s">
        <v>155</v>
      </c>
      <c r="E39" s="30">
        <v>45778</v>
      </c>
      <c r="F39" s="2">
        <f>DAY(EOMONTH(Raw_Data[[#This Row],[Month Year]],0))</f>
        <v>31</v>
      </c>
      <c r="G39" s="50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36">
        <v>4.7</v>
      </c>
      <c r="Z39" s="3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27">
        <f t="shared" ref="AH39" si="34">IFERROR((J39-I39)*24,"")</f>
        <v>12.366666666666667</v>
      </c>
      <c r="AI39" s="2"/>
      <c r="AJ39" s="2"/>
    </row>
    <row r="40" spans="1:36">
      <c r="A40" s="143">
        <f>YEAR(Raw_Data[[#This Row],[Date]])+IF(MONTH(Raw_Data[[#This Row],[Date]])&gt;=4,1,0)</f>
        <v>2026</v>
      </c>
      <c r="B40" s="116">
        <f>YEAR(Raw_Data[[#This Row],[Date]])</f>
        <v>2025</v>
      </c>
      <c r="C40" s="2" t="s">
        <v>155</v>
      </c>
      <c r="D40" s="2" t="s">
        <v>155</v>
      </c>
      <c r="E40" s="30">
        <v>45778</v>
      </c>
      <c r="F40" s="2">
        <f>DAY(EOMONTH(Raw_Data[[#This Row],[Month Year]],0))</f>
        <v>31</v>
      </c>
      <c r="G40" s="50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36">
        <v>2</v>
      </c>
      <c r="Z40" s="3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27">
        <f t="shared" ref="AH40" si="35">IFERROR((J40-I40)*24,"")</f>
        <v>12.433333333333334</v>
      </c>
      <c r="AI40" s="2"/>
      <c r="AJ40" s="2"/>
    </row>
    <row r="41" spans="1:36">
      <c r="A41" s="143">
        <f>YEAR(Raw_Data[[#This Row],[Date]])+IF(MONTH(Raw_Data[[#This Row],[Date]])&gt;=4,1,0)</f>
        <v>2026</v>
      </c>
      <c r="B41" s="116">
        <f>YEAR(Raw_Data[[#This Row],[Date]])</f>
        <v>2025</v>
      </c>
      <c r="C41" s="2" t="s">
        <v>155</v>
      </c>
      <c r="D41" s="2" t="s">
        <v>155</v>
      </c>
      <c r="E41" s="30">
        <v>45778</v>
      </c>
      <c r="F41" s="2">
        <f>DAY(EOMONTH(Raw_Data[[#This Row],[Month Year]],0))</f>
        <v>31</v>
      </c>
      <c r="G41" s="50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36">
        <v>2</v>
      </c>
      <c r="Z41" s="3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27">
        <f t="shared" ref="AH41" si="36">IFERROR((J41-I41)*24,"")</f>
        <v>12.466666666666669</v>
      </c>
      <c r="AI41" s="2"/>
      <c r="AJ41" s="2"/>
    </row>
    <row r="42" spans="1:36">
      <c r="A42" s="143">
        <f>YEAR(Raw_Data[[#This Row],[Date]])+IF(MONTH(Raw_Data[[#This Row],[Date]])&gt;=4,1,0)</f>
        <v>2026</v>
      </c>
      <c r="B42" s="116">
        <f>YEAR(Raw_Data[[#This Row],[Date]])</f>
        <v>2025</v>
      </c>
      <c r="C42" s="2" t="s">
        <v>155</v>
      </c>
      <c r="D42" s="2" t="s">
        <v>155</v>
      </c>
      <c r="E42" s="30">
        <v>45778</v>
      </c>
      <c r="F42" s="2">
        <f>DAY(EOMONTH(Raw_Data[[#This Row],[Month Year]],0))</f>
        <v>31</v>
      </c>
      <c r="G42" s="50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36">
        <v>3</v>
      </c>
      <c r="Z42" s="3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27">
        <f t="shared" ref="AH42" si="37">IFERROR((J42-I42)*24,"")</f>
        <v>12.133333333333333</v>
      </c>
      <c r="AI42" s="2"/>
      <c r="AJ42" s="2"/>
    </row>
    <row r="43" spans="1:36">
      <c r="A43" s="143">
        <f>YEAR(Raw_Data[[#This Row],[Date]])+IF(MONTH(Raw_Data[[#This Row],[Date]])&gt;=4,1,0)</f>
        <v>2026</v>
      </c>
      <c r="B43" s="116">
        <f>YEAR(Raw_Data[[#This Row],[Date]])</f>
        <v>2025</v>
      </c>
      <c r="C43" s="2" t="s">
        <v>155</v>
      </c>
      <c r="D43" s="2" t="s">
        <v>155</v>
      </c>
      <c r="E43" s="30">
        <v>45778</v>
      </c>
      <c r="F43" s="2">
        <f>DAY(EOMONTH(Raw_Data[[#This Row],[Month Year]],0))</f>
        <v>31</v>
      </c>
      <c r="G43" s="50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36">
        <v>5</v>
      </c>
      <c r="Z43" s="3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27">
        <f t="shared" ref="AH43" si="38">IFERROR((J43-I43)*24,"")</f>
        <v>12.416666666666668</v>
      </c>
      <c r="AI43" s="2"/>
      <c r="AJ43" s="2"/>
    </row>
    <row r="44" spans="1:36">
      <c r="A44" s="143">
        <f>YEAR(Raw_Data[[#This Row],[Date]])+IF(MONTH(Raw_Data[[#This Row],[Date]])&gt;=4,1,0)</f>
        <v>2026</v>
      </c>
      <c r="B44" s="116">
        <f>YEAR(Raw_Data[[#This Row],[Date]])</f>
        <v>2025</v>
      </c>
      <c r="C44" s="2" t="s">
        <v>155</v>
      </c>
      <c r="D44" s="2" t="s">
        <v>155</v>
      </c>
      <c r="E44" s="30">
        <v>45778</v>
      </c>
      <c r="F44" s="2">
        <f>DAY(EOMONTH(Raw_Data[[#This Row],[Month Year]],0))</f>
        <v>31</v>
      </c>
      <c r="G44" s="50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36">
        <v>5</v>
      </c>
      <c r="Z44" s="3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27">
        <f t="shared" ref="AH44" si="39">IFERROR((J44-I44)*24,"")</f>
        <v>12.483333333333334</v>
      </c>
      <c r="AI44" s="2"/>
      <c r="AJ44" s="2"/>
    </row>
    <row r="45" spans="1:36">
      <c r="A45" s="143">
        <f>YEAR(Raw_Data[[#This Row],[Date]])+IF(MONTH(Raw_Data[[#This Row],[Date]])&gt;=4,1,0)</f>
        <v>2026</v>
      </c>
      <c r="B45" s="116">
        <f>YEAR(Raw_Data[[#This Row],[Date]])</f>
        <v>2025</v>
      </c>
      <c r="C45" s="2" t="s">
        <v>155</v>
      </c>
      <c r="D45" s="2" t="s">
        <v>155</v>
      </c>
      <c r="E45" s="30">
        <v>45778</v>
      </c>
      <c r="F45" s="2">
        <f>DAY(EOMONTH(Raw_Data[[#This Row],[Month Year]],0))</f>
        <v>31</v>
      </c>
      <c r="G45" s="50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36">
        <v>5</v>
      </c>
      <c r="Z45" s="3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27">
        <f t="shared" ref="AH45" si="40">IFERROR((J45-I45)*24,"")</f>
        <v>12.483333333333334</v>
      </c>
      <c r="AI45" s="2"/>
      <c r="AJ45" s="2"/>
    </row>
    <row r="46" spans="1:36">
      <c r="A46" s="143">
        <f>YEAR(Raw_Data[[#This Row],[Date]])+IF(MONTH(Raw_Data[[#This Row],[Date]])&gt;=4,1,0)</f>
        <v>2026</v>
      </c>
      <c r="B46" s="116">
        <f>YEAR(Raw_Data[[#This Row],[Date]])</f>
        <v>2025</v>
      </c>
      <c r="C46" s="2" t="s">
        <v>155</v>
      </c>
      <c r="D46" s="2" t="s">
        <v>155</v>
      </c>
      <c r="E46" s="30">
        <v>45778</v>
      </c>
      <c r="F46" s="2">
        <f>DAY(EOMONTH(Raw_Data[[#This Row],[Month Year]],0))</f>
        <v>31</v>
      </c>
      <c r="G46" s="50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36">
        <v>5</v>
      </c>
      <c r="Z46" s="3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27">
        <f t="shared" ref="AH46" si="41">IFERROR((J46-I46)*24,"")</f>
        <v>12.366666666666667</v>
      </c>
      <c r="AI46" s="2"/>
      <c r="AJ46" s="2"/>
    </row>
    <row r="47" spans="1:36">
      <c r="A47" s="143">
        <f>YEAR(Raw_Data[[#This Row],[Date]])+IF(MONTH(Raw_Data[[#This Row],[Date]])&gt;=4,1,0)</f>
        <v>2026</v>
      </c>
      <c r="B47" s="116">
        <f>YEAR(Raw_Data[[#This Row],[Date]])</f>
        <v>2025</v>
      </c>
      <c r="C47" s="2" t="s">
        <v>155</v>
      </c>
      <c r="D47" s="2" t="s">
        <v>155</v>
      </c>
      <c r="E47" s="30">
        <v>45778</v>
      </c>
      <c r="F47" s="2">
        <f>DAY(EOMONTH(Raw_Data[[#This Row],[Month Year]],0))</f>
        <v>31</v>
      </c>
      <c r="G47" s="50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36">
        <v>5</v>
      </c>
      <c r="Z47" s="3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27">
        <f t="shared" ref="AH47" si="42">IFERROR((J47-I47)*24,"")</f>
        <v>12.116666666666667</v>
      </c>
      <c r="AI47" s="2"/>
      <c r="AJ47" s="2"/>
    </row>
    <row r="48" spans="1:36">
      <c r="A48" s="143">
        <f>YEAR(Raw_Data[[#This Row],[Date]])+IF(MONTH(Raw_Data[[#This Row],[Date]])&gt;=4,1,0)</f>
        <v>2026</v>
      </c>
      <c r="B48" s="116">
        <f>YEAR(Raw_Data[[#This Row],[Date]])</f>
        <v>2025</v>
      </c>
      <c r="C48" s="2" t="s">
        <v>155</v>
      </c>
      <c r="D48" s="2" t="s">
        <v>155</v>
      </c>
      <c r="E48" s="30">
        <v>45778</v>
      </c>
      <c r="F48" s="2">
        <f>DAY(EOMONTH(Raw_Data[[#This Row],[Month Year]],0))</f>
        <v>31</v>
      </c>
      <c r="G48" s="50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52">
        <v>6</v>
      </c>
      <c r="Z48" s="3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27">
        <f t="shared" ref="AH48" si="43">IFERROR((J48-I48)*24,"")</f>
        <v>11.9</v>
      </c>
      <c r="AI48" s="2"/>
      <c r="AJ48" s="2"/>
    </row>
    <row r="49" spans="1:36">
      <c r="A49" s="143">
        <f>YEAR(Raw_Data[[#This Row],[Date]])+IF(MONTH(Raw_Data[[#This Row],[Date]])&gt;=4,1,0)</f>
        <v>2026</v>
      </c>
      <c r="B49" s="116">
        <f>YEAR(Raw_Data[[#This Row],[Date]])</f>
        <v>2025</v>
      </c>
      <c r="C49" s="2" t="s">
        <v>155</v>
      </c>
      <c r="D49" s="2" t="s">
        <v>155</v>
      </c>
      <c r="E49" s="30">
        <v>45778</v>
      </c>
      <c r="F49" s="2">
        <f>DAY(EOMONTH(Raw_Data[[#This Row],[Month Year]],0))</f>
        <v>31</v>
      </c>
      <c r="G49" s="50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52">
        <v>6</v>
      </c>
      <c r="Z49" s="3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27">
        <f t="shared" ref="AH49" si="44">IFERROR((J49-I49)*24,"")</f>
        <v>11.866666666666665</v>
      </c>
      <c r="AI49" s="2"/>
      <c r="AJ49" s="2"/>
    </row>
    <row r="50" spans="1:36">
      <c r="A50" s="143">
        <f>YEAR(Raw_Data[[#This Row],[Date]])+IF(MONTH(Raw_Data[[#This Row],[Date]])&gt;=4,1,0)</f>
        <v>2026</v>
      </c>
      <c r="B50" s="116">
        <f>YEAR(Raw_Data[[#This Row],[Date]])</f>
        <v>2025</v>
      </c>
      <c r="C50" s="2" t="s">
        <v>155</v>
      </c>
      <c r="D50" s="2" t="s">
        <v>155</v>
      </c>
      <c r="E50" s="30">
        <v>45778</v>
      </c>
      <c r="F50" s="2">
        <f>DAY(EOMONTH(Raw_Data[[#This Row],[Month Year]],0))</f>
        <v>31</v>
      </c>
      <c r="G50" s="50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52">
        <v>5</v>
      </c>
      <c r="Z50" s="3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27">
        <f t="shared" ref="AH50" si="45">IFERROR((J50-I50)*24,"")</f>
        <v>11.516666666666669</v>
      </c>
      <c r="AI50" s="2"/>
      <c r="AJ50" s="2"/>
    </row>
    <row r="51" spans="1:36">
      <c r="A51" s="143">
        <f>YEAR(Raw_Data[[#This Row],[Date]])+IF(MONTH(Raw_Data[[#This Row],[Date]])&gt;=4,1,0)</f>
        <v>2026</v>
      </c>
      <c r="B51" s="116">
        <f>YEAR(Raw_Data[[#This Row],[Date]])</f>
        <v>2025</v>
      </c>
      <c r="C51" s="2" t="s">
        <v>155</v>
      </c>
      <c r="D51" s="2" t="s">
        <v>155</v>
      </c>
      <c r="E51" s="30">
        <v>45778</v>
      </c>
      <c r="F51" s="2">
        <f>DAY(EOMONTH(Raw_Data[[#This Row],[Month Year]],0))</f>
        <v>31</v>
      </c>
      <c r="G51" s="50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52">
        <v>7</v>
      </c>
      <c r="Z51" s="3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27">
        <f t="shared" ref="AH51" si="46">IFERROR((J51-I51)*24,"")</f>
        <v>11.116666666666667</v>
      </c>
      <c r="AI51" s="2"/>
      <c r="AJ51" s="2"/>
    </row>
    <row r="52" spans="1:36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0">
        <v>45778</v>
      </c>
      <c r="F52" s="2">
        <f>DAY(EOMONTH(Raw_Data[[#This Row],[Month Year]],0))</f>
        <v>31</v>
      </c>
      <c r="G52" s="50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52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27">
        <f t="shared" ref="AH52:AH57" si="47">IFERROR((J52-I52)*24,"")</f>
        <v>12.5</v>
      </c>
      <c r="AI52" s="2"/>
      <c r="AJ52" s="2"/>
    </row>
    <row r="53" spans="1:36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0">
        <v>45778</v>
      </c>
      <c r="F53" s="2">
        <f>DAY(EOMONTH(Raw_Data[[#This Row],[Month Year]],0))</f>
        <v>31</v>
      </c>
      <c r="G53" s="50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52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27">
        <f t="shared" si="47"/>
        <v>12.216666666666665</v>
      </c>
      <c r="AI53" s="2"/>
      <c r="AJ53" s="2"/>
    </row>
    <row r="54" spans="1:36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0">
        <v>45778</v>
      </c>
      <c r="F54" s="2">
        <f>DAY(EOMONTH(Raw_Data[[#This Row],[Month Year]],0))</f>
        <v>31</v>
      </c>
      <c r="G54" s="50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52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27">
        <f t="shared" si="47"/>
        <v>12.5</v>
      </c>
      <c r="AI54" s="2"/>
      <c r="AJ54" s="2"/>
    </row>
    <row r="55" spans="1:36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0">
        <v>45778</v>
      </c>
      <c r="F55" s="2">
        <f>DAY(EOMONTH(Raw_Data[[#This Row],[Month Year]],0))</f>
        <v>31</v>
      </c>
      <c r="G55" s="50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52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27">
        <f t="shared" si="47"/>
        <v>12.450000000000001</v>
      </c>
      <c r="AI55" s="2"/>
      <c r="AJ55" s="2"/>
    </row>
    <row r="56" spans="1:36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0">
        <v>45778</v>
      </c>
      <c r="F56" s="2">
        <f>DAY(EOMONTH(Raw_Data[[#This Row],[Month Year]],0))</f>
        <v>31</v>
      </c>
      <c r="G56" s="50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52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27">
        <f t="shared" si="47"/>
        <v>12.416666666666664</v>
      </c>
      <c r="AI56" s="2"/>
      <c r="AJ56" s="2"/>
    </row>
    <row r="57" spans="1:36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0">
        <v>45778</v>
      </c>
      <c r="F57" s="2">
        <f>DAY(EOMONTH(Raw_Data[[#This Row],[Month Year]],0))</f>
        <v>31</v>
      </c>
      <c r="G57" s="50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52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27">
        <f t="shared" si="47"/>
        <v>9.5666666666666664</v>
      </c>
      <c r="AI57" s="2"/>
      <c r="AJ57" s="2"/>
    </row>
    <row r="58" spans="1:36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0">
        <v>45778</v>
      </c>
      <c r="F58" s="2">
        <f>DAY(EOMONTH(Raw_Data[[#This Row],[Month Year]],0))</f>
        <v>31</v>
      </c>
      <c r="G58" s="50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52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27">
        <f t="shared" ref="AH58" si="48">IFERROR((J58-I58)*24,"")</f>
        <v>10.7</v>
      </c>
      <c r="AI58" s="2"/>
      <c r="AJ58" s="2"/>
    </row>
    <row r="59" spans="1:36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0">
        <v>45778</v>
      </c>
      <c r="F59" s="2">
        <f>DAY(EOMONTH(Raw_Data[[#This Row],[Month Year]],0))</f>
        <v>31</v>
      </c>
      <c r="G59" s="50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52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27">
        <f t="shared" ref="AH59" si="49">IFERROR((J59-I59)*24,"")</f>
        <v>12.616666666666667</v>
      </c>
      <c r="AI59" s="2"/>
      <c r="AJ59" s="2"/>
    </row>
    <row r="60" spans="1:36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0">
        <v>45778</v>
      </c>
      <c r="F60" s="2">
        <f>DAY(EOMONTH(Raw_Data[[#This Row],[Month Year]],0))</f>
        <v>31</v>
      </c>
      <c r="G60" s="50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52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27">
        <f t="shared" ref="AH60" si="50">IFERROR((J60-I60)*24,"")</f>
        <v>12.616666666666667</v>
      </c>
      <c r="AI60" s="2"/>
      <c r="AJ60" s="2"/>
    </row>
    <row r="61" spans="1:36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0">
        <v>45778</v>
      </c>
      <c r="F61" s="2">
        <f>DAY(EOMONTH(Raw_Data[[#This Row],[Month Year]],0))</f>
        <v>31</v>
      </c>
      <c r="G61" s="50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52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27">
        <f t="shared" ref="AH61" si="51">IFERROR((J61-I61)*24,"")</f>
        <v>12.683333333333334</v>
      </c>
      <c r="AI61" s="2"/>
      <c r="AJ61" s="2"/>
    </row>
    <row r="62" spans="1:36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0">
        <v>45778</v>
      </c>
      <c r="F62" s="2">
        <f>DAY(EOMONTH(Raw_Data[[#This Row],[Month Year]],0))</f>
        <v>31</v>
      </c>
      <c r="G62" s="50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52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27">
        <f t="shared" ref="AH62" si="52">IFERROR((J62-I62)*24,"")</f>
        <v>12.416666666666668</v>
      </c>
      <c r="AI62" s="2"/>
      <c r="AJ62" s="2"/>
    </row>
    <row r="63" spans="1:36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0">
        <v>45778</v>
      </c>
      <c r="F63" s="2">
        <f>DAY(EOMONTH(Raw_Data[[#This Row],[Month Year]],0))</f>
        <v>31</v>
      </c>
      <c r="G63" s="50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52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27">
        <f t="shared" ref="AH63" si="53">IFERROR((J63-I63)*24,"")</f>
        <v>11.633333333333333</v>
      </c>
      <c r="AI63" s="2"/>
      <c r="AJ63" s="2"/>
    </row>
    <row r="64" spans="1:36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0">
        <v>45778</v>
      </c>
      <c r="F64" s="2">
        <f>DAY(EOMONTH(Raw_Data[[#This Row],[Month Year]],0))</f>
        <v>31</v>
      </c>
      <c r="G64" s="50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52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27">
        <f t="shared" ref="AH64" si="54">IFERROR((J64-I64)*24,"")</f>
        <v>12.483333333333334</v>
      </c>
      <c r="AI64" s="2"/>
      <c r="AJ64" s="2"/>
    </row>
    <row r="65" spans="1:36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0">
        <v>45778</v>
      </c>
      <c r="F65" s="2">
        <f>DAY(EOMONTH(Raw_Data[[#This Row],[Month Year]],0))</f>
        <v>31</v>
      </c>
      <c r="G65" s="50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52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27">
        <f t="shared" ref="AH65" si="55">IFERROR((J65-I65)*24,"")</f>
        <v>12.250000000000002</v>
      </c>
      <c r="AI65" s="2"/>
      <c r="AJ65" s="2"/>
    </row>
    <row r="66" spans="1:36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0">
        <v>45778</v>
      </c>
      <c r="F66" s="2">
        <f>DAY(EOMONTH(Raw_Data[[#This Row],[Month Year]],0))</f>
        <v>31</v>
      </c>
      <c r="G66" s="50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52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27">
        <f t="shared" ref="AH66" si="56">IFERROR((J66-I66)*24,"")</f>
        <v>12.433333333333332</v>
      </c>
      <c r="AI66" s="2"/>
      <c r="AJ66" s="2"/>
    </row>
    <row r="67" spans="1:36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0">
        <v>45778</v>
      </c>
      <c r="F67" s="2">
        <f>DAY(EOMONTH(Raw_Data[[#This Row],[Month Year]],0))</f>
        <v>31</v>
      </c>
      <c r="G67" s="50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52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27">
        <f t="shared" ref="AH67" si="57">IFERROR((J67-I67)*24,"")</f>
        <v>12.75</v>
      </c>
      <c r="AI67" s="2"/>
      <c r="AJ67" s="2"/>
    </row>
    <row r="68" spans="1:36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0">
        <v>45809</v>
      </c>
      <c r="F68" s="2">
        <f>DAY(EOMONTH(Raw_Data[[#This Row],[Month Year]],0))</f>
        <v>30</v>
      </c>
      <c r="G68" s="50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52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27">
        <f t="shared" ref="AH68:AH71" si="58">IFERROR((J68-I68)*24,"")</f>
        <v>12.75</v>
      </c>
      <c r="AI68" s="2"/>
      <c r="AJ68" s="2"/>
    </row>
    <row r="69" spans="1:36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0">
        <v>45809</v>
      </c>
      <c r="F69" s="2">
        <f>DAY(EOMONTH(Raw_Data[[#This Row],[Month Year]],0))</f>
        <v>30</v>
      </c>
      <c r="G69" s="50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52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27">
        <f t="shared" si="58"/>
        <v>12.7</v>
      </c>
      <c r="AI69" s="2"/>
      <c r="AJ69" s="2"/>
    </row>
    <row r="70" spans="1:36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0">
        <v>45809</v>
      </c>
      <c r="F70" s="2">
        <f>DAY(EOMONTH(Raw_Data[[#This Row],[Month Year]],0))</f>
        <v>30</v>
      </c>
      <c r="G70" s="50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52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27">
        <f t="shared" si="58"/>
        <v>12.716666666666667</v>
      </c>
      <c r="AI70" s="2"/>
      <c r="AJ70" s="2"/>
    </row>
    <row r="71" spans="1:36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0">
        <v>45809</v>
      </c>
      <c r="F71" s="2">
        <f>DAY(EOMONTH(Raw_Data[[#This Row],[Month Year]],0))</f>
        <v>30</v>
      </c>
      <c r="G71" s="50">
        <f t="shared" si="4"/>
        <v>45812</v>
      </c>
      <c r="H71" s="2">
        <v>11.72</v>
      </c>
      <c r="I71" s="24">
        <v>0.24513888888888888</v>
      </c>
      <c r="J71" s="203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27">
        <f t="shared" si="58"/>
        <v>12.55</v>
      </c>
      <c r="AI71" s="2"/>
      <c r="AJ71" s="2"/>
    </row>
    <row r="72" spans="1:36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0">
        <v>45809</v>
      </c>
      <c r="F72" s="2">
        <f>DAY(EOMONTH(Raw_Data[[#This Row],[Month Year]],0))</f>
        <v>30</v>
      </c>
      <c r="G72" s="50">
        <f t="shared" si="4"/>
        <v>45813</v>
      </c>
      <c r="H72" s="2">
        <v>11.72</v>
      </c>
      <c r="I72" s="24">
        <v>0.24791666666666667</v>
      </c>
      <c r="J72" s="203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27">
        <f t="shared" ref="AH72:AH81" si="59">IFERROR((J72-I72)*24,"")</f>
        <v>12.566666666666666</v>
      </c>
      <c r="AI72" s="2"/>
      <c r="AJ72" s="2"/>
    </row>
    <row r="73" spans="1:36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0">
        <v>45809</v>
      </c>
      <c r="F73" s="2">
        <f>DAY(EOMONTH(Raw_Data[[#This Row],[Month Year]],0))</f>
        <v>30</v>
      </c>
      <c r="G73" s="50">
        <f t="shared" si="4"/>
        <v>45814</v>
      </c>
      <c r="H73" s="2">
        <v>11.72</v>
      </c>
      <c r="I73" s="24">
        <v>0.25069444444444444</v>
      </c>
      <c r="J73" s="203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27">
        <f t="shared" si="59"/>
        <v>12.55</v>
      </c>
      <c r="AI73" s="2"/>
      <c r="AJ73" s="2"/>
    </row>
    <row r="74" spans="1:36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0">
        <v>45809</v>
      </c>
      <c r="F74" s="2">
        <f>DAY(EOMONTH(Raw_Data[[#This Row],[Month Year]],0))</f>
        <v>30</v>
      </c>
      <c r="G74" s="50">
        <f t="shared" si="4"/>
        <v>45815</v>
      </c>
      <c r="H74" s="2">
        <v>11.72</v>
      </c>
      <c r="I74" s="204">
        <v>0.24583333333333332</v>
      </c>
      <c r="J74" s="203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27">
        <f t="shared" si="59"/>
        <v>12.716666666666667</v>
      </c>
      <c r="AI74" s="2"/>
      <c r="AJ74" s="2"/>
    </row>
    <row r="75" spans="1:36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0">
        <v>45809</v>
      </c>
      <c r="F75" s="2">
        <f>DAY(EOMONTH(Raw_Data[[#This Row],[Month Year]],0))</f>
        <v>30</v>
      </c>
      <c r="G75" s="50">
        <f t="shared" si="4"/>
        <v>45816</v>
      </c>
      <c r="H75" s="2">
        <v>11.72</v>
      </c>
      <c r="I75" s="204">
        <v>0.24722222222222223</v>
      </c>
      <c r="J75" s="203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27">
        <f t="shared" si="59"/>
        <v>12.65</v>
      </c>
      <c r="AI75" s="2"/>
      <c r="AJ75" s="2"/>
    </row>
    <row r="76" spans="1:36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0">
        <v>45809</v>
      </c>
      <c r="F76" s="2">
        <f>DAY(EOMONTH(Raw_Data[[#This Row],[Month Year]],0))</f>
        <v>30</v>
      </c>
      <c r="G76" s="50">
        <f t="shared" si="4"/>
        <v>45817</v>
      </c>
      <c r="H76" s="2">
        <v>11.72</v>
      </c>
      <c r="I76" s="204">
        <v>0.27847222222222223</v>
      </c>
      <c r="J76" s="203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27">
        <f t="shared" si="59"/>
        <v>12.016666666666666</v>
      </c>
      <c r="AI76" s="2"/>
      <c r="AJ76" s="2"/>
    </row>
    <row r="77" spans="1:36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0">
        <v>45809</v>
      </c>
      <c r="F77" s="2">
        <f>DAY(EOMONTH(Raw_Data[[#This Row],[Month Year]],0))</f>
        <v>30</v>
      </c>
      <c r="G77" s="50">
        <f t="shared" si="4"/>
        <v>45818</v>
      </c>
      <c r="H77" s="2">
        <v>11.72</v>
      </c>
      <c r="I77" s="204">
        <v>0.25138888888888888</v>
      </c>
      <c r="J77" s="203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27">
        <f t="shared" si="59"/>
        <v>12.633333333333333</v>
      </c>
      <c r="AI77" s="2"/>
      <c r="AJ77" s="2"/>
    </row>
    <row r="78" spans="1:36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0">
        <v>45809</v>
      </c>
      <c r="F78" s="2">
        <f>DAY(EOMONTH(Raw_Data[[#This Row],[Month Year]],0))</f>
        <v>30</v>
      </c>
      <c r="G78" s="50">
        <f t="shared" si="4"/>
        <v>45819</v>
      </c>
      <c r="H78" s="2">
        <v>11.72</v>
      </c>
      <c r="I78" s="204">
        <v>0.29166666666666669</v>
      </c>
      <c r="J78" s="203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27">
        <f t="shared" si="59"/>
        <v>11.65</v>
      </c>
      <c r="AI78" s="2"/>
      <c r="AJ78" s="2"/>
    </row>
    <row r="79" spans="1:36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0">
        <v>45809</v>
      </c>
      <c r="F79" s="2">
        <f>DAY(EOMONTH(Raw_Data[[#This Row],[Month Year]],0))</f>
        <v>30</v>
      </c>
      <c r="G79" s="50">
        <f t="shared" si="4"/>
        <v>45820</v>
      </c>
      <c r="H79" s="2">
        <v>11.72</v>
      </c>
      <c r="I79" s="204">
        <v>0.28125</v>
      </c>
      <c r="J79" s="203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27">
        <f t="shared" si="59"/>
        <v>11.833333333333334</v>
      </c>
      <c r="AI79" s="2"/>
      <c r="AJ79" s="2"/>
    </row>
    <row r="80" spans="1:36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0">
        <v>45809</v>
      </c>
      <c r="F80" s="2">
        <f>DAY(EOMONTH(Raw_Data[[#This Row],[Month Year]],0))</f>
        <v>30</v>
      </c>
      <c r="G80" s="50">
        <f t="shared" si="4"/>
        <v>45821</v>
      </c>
      <c r="H80" s="2">
        <v>11.72</v>
      </c>
      <c r="I80" s="204">
        <v>0.24861111111111112</v>
      </c>
      <c r="J80" s="203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27">
        <f t="shared" si="59"/>
        <v>12.65</v>
      </c>
      <c r="AI80" s="2"/>
      <c r="AJ80" s="2"/>
    </row>
    <row r="81" spans="1:36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0">
        <v>45809</v>
      </c>
      <c r="F81" s="2">
        <f>DAY(EOMONTH(Raw_Data[[#This Row],[Month Year]],0))</f>
        <v>30</v>
      </c>
      <c r="G81" s="50">
        <f t="shared" si="4"/>
        <v>45822</v>
      </c>
      <c r="H81" s="2">
        <v>11.72</v>
      </c>
      <c r="I81" s="204">
        <v>0.25208333333333333</v>
      </c>
      <c r="J81" s="203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27">
        <f t="shared" si="59"/>
        <v>12.733333333333334</v>
      </c>
      <c r="AI81" s="2"/>
      <c r="AJ81" s="2"/>
    </row>
    <row r="82" spans="1:36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0">
        <v>45809</v>
      </c>
      <c r="F82" s="2">
        <f>DAY(EOMONTH(Raw_Data[[#This Row],[Month Year]],0))</f>
        <v>30</v>
      </c>
      <c r="G82" s="50">
        <f t="shared" si="4"/>
        <v>45823</v>
      </c>
      <c r="H82" s="2">
        <v>11.72</v>
      </c>
      <c r="I82" s="204">
        <v>0.25</v>
      </c>
      <c r="J82" s="203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27">
        <f t="shared" ref="AH82" si="60">IFERROR((J82-I82)*24,"")</f>
        <v>12.299999999999999</v>
      </c>
      <c r="AI82" s="2"/>
      <c r="AJ82" s="2"/>
    </row>
    <row r="83" spans="1:36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0">
        <v>45809</v>
      </c>
      <c r="F83" s="2">
        <f>DAY(EOMONTH(Raw_Data[[#This Row],[Month Year]],0))</f>
        <v>30</v>
      </c>
      <c r="G83" s="50">
        <f t="shared" si="4"/>
        <v>45824</v>
      </c>
      <c r="H83" s="2">
        <v>11.72</v>
      </c>
      <c r="I83" s="204">
        <v>0.25763888888888886</v>
      </c>
      <c r="J83" s="203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27">
        <f t="shared" ref="AH83" si="61">IFERROR((J83-I83)*24,"")</f>
        <v>11.916666666666668</v>
      </c>
      <c r="AI83" s="2"/>
      <c r="AJ83" s="2"/>
    </row>
    <row r="84" spans="1:36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0">
        <v>45809</v>
      </c>
      <c r="F84" s="2">
        <f>DAY(EOMONTH(Raw_Data[[#This Row],[Month Year]],0))</f>
        <v>30</v>
      </c>
      <c r="G84" s="50">
        <f t="shared" si="4"/>
        <v>45825</v>
      </c>
      <c r="H84" s="2">
        <v>11.72</v>
      </c>
      <c r="I84" s="204">
        <v>0.24861111111111112</v>
      </c>
      <c r="J84" s="203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27">
        <f t="shared" ref="AH84" si="62">IFERROR((J84-I84)*24,"")</f>
        <v>12.833333333333332</v>
      </c>
      <c r="AI84" s="2"/>
      <c r="AJ84" s="2"/>
    </row>
    <row r="85" spans="1:36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0">
        <v>45809</v>
      </c>
      <c r="F85" s="2">
        <f>DAY(EOMONTH(Raw_Data[[#This Row],[Month Year]],0))</f>
        <v>30</v>
      </c>
      <c r="G85" s="50">
        <f t="shared" si="4"/>
        <v>45826</v>
      </c>
      <c r="H85" s="2">
        <v>11.72</v>
      </c>
      <c r="I85" s="204">
        <v>0.24444444444444444</v>
      </c>
      <c r="J85" s="203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27">
        <f t="shared" ref="AH85" si="63">IFERROR((J85-I85)*24,"")</f>
        <v>12.716666666666667</v>
      </c>
      <c r="AI85" s="2"/>
      <c r="AJ85" s="2"/>
    </row>
    <row r="86" spans="1:36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0">
        <v>45809</v>
      </c>
      <c r="F86" s="2">
        <f>DAY(EOMONTH(Raw_Data[[#This Row],[Month Year]],0))</f>
        <v>30</v>
      </c>
      <c r="G86" s="50">
        <f t="shared" si="4"/>
        <v>45827</v>
      </c>
      <c r="H86" s="2">
        <v>11.72</v>
      </c>
      <c r="I86" s="204">
        <v>0.24861111111111112</v>
      </c>
      <c r="J86" s="203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27">
        <f t="shared" ref="AH86" si="64">IFERROR((J86-I86)*24,"")</f>
        <v>12.533333333333335</v>
      </c>
      <c r="AI86" s="2"/>
      <c r="AJ86" s="2"/>
    </row>
    <row r="87" spans="1:36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0">
        <v>45809</v>
      </c>
      <c r="F87" s="2">
        <f>DAY(EOMONTH(Raw_Data[[#This Row],[Month Year]],0))</f>
        <v>30</v>
      </c>
      <c r="G87" s="50">
        <f t="shared" si="4"/>
        <v>45828</v>
      </c>
      <c r="H87" s="2">
        <v>11.72</v>
      </c>
      <c r="I87" s="204">
        <v>0.25138888888888888</v>
      </c>
      <c r="J87" s="203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27">
        <f t="shared" ref="AH87" si="65">IFERROR((J87-I87)*24,"")</f>
        <v>12.600000000000001</v>
      </c>
      <c r="AI87" s="2"/>
      <c r="AJ87" s="2"/>
    </row>
    <row r="88" spans="1:36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0">
        <v>45809</v>
      </c>
      <c r="F88" s="2">
        <f>DAY(EOMONTH(Raw_Data[[#This Row],[Month Year]],0))</f>
        <v>30</v>
      </c>
      <c r="G88" s="50">
        <f t="shared" si="4"/>
        <v>45829</v>
      </c>
      <c r="H88" s="2">
        <v>11.72</v>
      </c>
      <c r="I88" s="204">
        <v>0.25069444444444444</v>
      </c>
      <c r="J88" s="203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27">
        <f t="shared" ref="AH88" si="66">IFERROR((J88-I88)*24,"")</f>
        <v>12.616666666666667</v>
      </c>
      <c r="AI88" s="2"/>
      <c r="AJ88" s="2"/>
    </row>
    <row r="89" spans="1:36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0">
        <v>45809</v>
      </c>
      <c r="F89" s="2">
        <f>DAY(EOMONTH(Raw_Data[[#This Row],[Month Year]],0))</f>
        <v>30</v>
      </c>
      <c r="G89" s="50">
        <f t="shared" si="4"/>
        <v>45830</v>
      </c>
      <c r="H89" s="2">
        <v>11.72</v>
      </c>
      <c r="I89" s="204">
        <v>0.24652777777777779</v>
      </c>
      <c r="J89" s="203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27">
        <f t="shared" ref="AH89" si="67">IFERROR((J89-I89)*24,"")</f>
        <v>12.666666666666668</v>
      </c>
      <c r="AI89" s="2"/>
      <c r="AJ89" s="2"/>
    </row>
    <row r="90" spans="1:36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0">
        <v>45809</v>
      </c>
      <c r="F90" s="2">
        <f>DAY(EOMONTH(Raw_Data[[#This Row],[Month Year]],0))</f>
        <v>30</v>
      </c>
      <c r="G90" s="50">
        <f t="shared" si="4"/>
        <v>45831</v>
      </c>
      <c r="H90" s="2">
        <v>11.72</v>
      </c>
      <c r="I90" s="204">
        <v>0.24791666666666667</v>
      </c>
      <c r="J90" s="203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27">
        <f t="shared" ref="AH90" si="68">IFERROR((J90-I90)*24,"")</f>
        <v>12.55</v>
      </c>
      <c r="AI90" s="2"/>
      <c r="AJ90" s="2"/>
    </row>
    <row r="91" spans="1:36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0">
        <v>45809</v>
      </c>
      <c r="F91" s="2">
        <f>DAY(EOMONTH(Raw_Data[[#This Row],[Month Year]],0))</f>
        <v>30</v>
      </c>
      <c r="G91" s="50">
        <f t="shared" si="4"/>
        <v>45832</v>
      </c>
      <c r="H91" s="2">
        <v>11.72</v>
      </c>
      <c r="I91" s="204">
        <v>0.25347222222222221</v>
      </c>
      <c r="J91" s="203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27">
        <f t="shared" ref="AH91" si="69">IFERROR((J91-I91)*24,"")</f>
        <v>12.416666666666668</v>
      </c>
      <c r="AI91" s="2"/>
      <c r="AJ91" s="2"/>
    </row>
    <row r="92" spans="1:36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0">
        <v>45809</v>
      </c>
      <c r="F92" s="2">
        <f>DAY(EOMONTH(Raw_Data[[#This Row],[Month Year]],0))</f>
        <v>30</v>
      </c>
      <c r="G92" s="50">
        <f t="shared" si="4"/>
        <v>45833</v>
      </c>
      <c r="H92" s="2">
        <v>11.72</v>
      </c>
      <c r="I92" s="204">
        <v>0.25416666666666665</v>
      </c>
      <c r="J92" s="203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27">
        <f t="shared" ref="AH92" si="70">IFERROR((J92-I92)*24,"")</f>
        <v>12.566666666666666</v>
      </c>
      <c r="AI92" s="2"/>
      <c r="AJ92" s="2"/>
    </row>
    <row r="93" spans="1:36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0">
        <v>45809</v>
      </c>
      <c r="F93" s="2">
        <f>DAY(EOMONTH(Raw_Data[[#This Row],[Month Year]],0))</f>
        <v>30</v>
      </c>
      <c r="G93" s="50">
        <f t="shared" si="4"/>
        <v>45834</v>
      </c>
      <c r="H93" s="2">
        <v>11.72</v>
      </c>
      <c r="I93" s="204">
        <v>0.25694444444444442</v>
      </c>
      <c r="J93" s="203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27">
        <f t="shared" ref="AH93" si="71">IFERROR((J93-I93)*24,"")</f>
        <v>12.583333333333334</v>
      </c>
      <c r="AI93" s="2"/>
      <c r="AJ93" s="2"/>
    </row>
    <row r="94" spans="1:36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0">
        <v>45809</v>
      </c>
      <c r="F94" s="2">
        <f>DAY(EOMONTH(Raw_Data[[#This Row],[Month Year]],0))</f>
        <v>30</v>
      </c>
      <c r="G94" s="50">
        <f t="shared" si="4"/>
        <v>45835</v>
      </c>
      <c r="H94" s="2">
        <v>11.72</v>
      </c>
      <c r="I94" s="204">
        <v>0.25138888888888888</v>
      </c>
      <c r="J94" s="203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27">
        <f t="shared" ref="AH94" si="72">IFERROR((J94-I94)*24,"")</f>
        <v>12.766666666666666</v>
      </c>
      <c r="AI94" s="2"/>
      <c r="AJ94" s="2"/>
    </row>
    <row r="95" spans="1:36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0">
        <v>45809</v>
      </c>
      <c r="F95" s="2">
        <f>DAY(EOMONTH(Raw_Data[[#This Row],[Month Year]],0))</f>
        <v>30</v>
      </c>
      <c r="G95" s="50">
        <f t="shared" si="4"/>
        <v>45836</v>
      </c>
      <c r="H95" s="2">
        <v>11.72</v>
      </c>
      <c r="I95" s="204">
        <v>0.25138888888888888</v>
      </c>
      <c r="J95" s="203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27">
        <f t="shared" ref="AH95" si="73">IFERROR((J95-I95)*24,"")</f>
        <v>12.8</v>
      </c>
      <c r="AI95" s="2"/>
      <c r="AJ95" s="2"/>
    </row>
    <row r="96" spans="1:36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0">
        <v>45809</v>
      </c>
      <c r="F96" s="2">
        <f>DAY(EOMONTH(Raw_Data[[#This Row],[Month Year]],0))</f>
        <v>30</v>
      </c>
      <c r="G96" s="50">
        <f t="shared" si="4"/>
        <v>45837</v>
      </c>
      <c r="H96" s="2">
        <v>11.72</v>
      </c>
      <c r="I96" s="204">
        <v>0.24930555555555556</v>
      </c>
      <c r="J96" s="203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27">
        <f t="shared" ref="AH96" si="74">IFERROR((J96-I96)*24,"")</f>
        <v>12.65</v>
      </c>
      <c r="AI96" s="2"/>
      <c r="AJ96" s="2"/>
    </row>
    <row r="97" spans="1:36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0">
        <v>45809</v>
      </c>
      <c r="F97" s="2">
        <f>DAY(EOMONTH(Raw_Data[[#This Row],[Month Year]],0))</f>
        <v>30</v>
      </c>
      <c r="G97" s="50">
        <f t="shared" si="4"/>
        <v>45838</v>
      </c>
      <c r="H97" s="2">
        <v>11.72</v>
      </c>
      <c r="I97" s="204">
        <v>0.26111111111111113</v>
      </c>
      <c r="J97" s="203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27">
        <f t="shared" ref="AH97" si="75">IFERROR((J97-I97)*24,"")</f>
        <v>11.6</v>
      </c>
      <c r="AI97" s="2"/>
      <c r="AJ97" s="2"/>
    </row>
    <row r="98" spans="1:36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0">
        <v>45839</v>
      </c>
      <c r="F98" s="2">
        <f>DAY(EOMONTH(Raw_Data[[#This Row],[Month Year]],0))</f>
        <v>31</v>
      </c>
      <c r="G98" s="50">
        <f t="shared" si="4"/>
        <v>45839</v>
      </c>
      <c r="H98" s="2">
        <v>11.72</v>
      </c>
      <c r="I98" s="204">
        <v>0.25833333333333336</v>
      </c>
      <c r="J98" s="203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27">
        <f t="shared" ref="AH98" si="76">IFERROR((J98-I98)*24,"")</f>
        <v>12.299999999999999</v>
      </c>
      <c r="AI98" s="2"/>
      <c r="AJ98" s="2"/>
    </row>
    <row r="99" spans="1:36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0">
        <v>45839</v>
      </c>
      <c r="F99" s="2">
        <f>DAY(EOMONTH(Raw_Data[[#This Row],[Month Year]],0))</f>
        <v>31</v>
      </c>
      <c r="G99" s="50">
        <f t="shared" si="4"/>
        <v>45840</v>
      </c>
      <c r="H99" s="2">
        <v>11.72</v>
      </c>
      <c r="I99" s="204">
        <v>0.26319444444444445</v>
      </c>
      <c r="J99" s="203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27">
        <f t="shared" ref="AH99" si="77">IFERROR((J99-I99)*24,"")</f>
        <v>12.483333333333334</v>
      </c>
      <c r="AI99" s="2"/>
      <c r="AJ99" s="2"/>
    </row>
    <row r="100" spans="1:36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0">
        <v>45839</v>
      </c>
      <c r="F100" s="2">
        <f>DAY(EOMONTH(Raw_Data[[#This Row],[Month Year]],0))</f>
        <v>31</v>
      </c>
      <c r="G100" s="50">
        <f t="shared" si="4"/>
        <v>45841</v>
      </c>
      <c r="H100" s="2">
        <v>11.72</v>
      </c>
      <c r="I100" s="204">
        <v>0.25763888888888886</v>
      </c>
      <c r="J100" s="203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27">
        <f t="shared" ref="AH100" si="78">IFERROR((J100-I100)*24,"")</f>
        <v>12.400000000000002</v>
      </c>
      <c r="AI100" s="2"/>
      <c r="AJ100" s="2"/>
    </row>
    <row r="101" spans="1:36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0">
        <v>45839</v>
      </c>
      <c r="F101" s="2">
        <f>DAY(EOMONTH(Raw_Data[[#This Row],[Month Year]],0))</f>
        <v>31</v>
      </c>
      <c r="G101" s="50">
        <f t="shared" si="4"/>
        <v>45842</v>
      </c>
      <c r="H101" s="2">
        <v>11.72</v>
      </c>
      <c r="I101" s="204">
        <v>0.25347222222222221</v>
      </c>
      <c r="J101" s="203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27">
        <f t="shared" ref="AH101" si="79">IFERROR((J101-I101)*24,"")</f>
        <v>12.466666666666669</v>
      </c>
      <c r="AI101" s="2"/>
      <c r="AJ101" s="2"/>
    </row>
    <row r="102" spans="1:36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0">
        <v>45839</v>
      </c>
      <c r="F102" s="2">
        <f>DAY(EOMONTH(Raw_Data[[#This Row],[Month Year]],0))</f>
        <v>31</v>
      </c>
      <c r="G102" s="50">
        <f t="shared" si="4"/>
        <v>45843</v>
      </c>
      <c r="H102" s="2">
        <v>11.72</v>
      </c>
      <c r="I102" s="204">
        <v>0.24930555555555556</v>
      </c>
      <c r="J102" s="203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27">
        <f t="shared" ref="AH102" si="80">IFERROR((J102-I102)*24,"")</f>
        <v>12.683333333333334</v>
      </c>
      <c r="AI102" s="2"/>
      <c r="AJ102" s="2"/>
    </row>
    <row r="103" spans="1:36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0">
        <v>45839</v>
      </c>
      <c r="F103" s="2">
        <f>DAY(EOMONTH(Raw_Data[[#This Row],[Month Year]],0))</f>
        <v>31</v>
      </c>
      <c r="G103" s="50">
        <f t="shared" si="4"/>
        <v>45844</v>
      </c>
      <c r="H103" s="2">
        <v>11.72</v>
      </c>
      <c r="I103" s="204">
        <v>0.26041666666666669</v>
      </c>
      <c r="J103" s="203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27">
        <f t="shared" ref="AH103" si="81">IFERROR((J103-I103)*24,"")</f>
        <v>12.416666666666668</v>
      </c>
      <c r="AI103" s="2"/>
      <c r="AJ103" s="2"/>
    </row>
    <row r="104" spans="1:36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0">
        <v>45839</v>
      </c>
      <c r="F104" s="2">
        <f>DAY(EOMONTH(Raw_Data[[#This Row],[Month Year]],0))</f>
        <v>31</v>
      </c>
      <c r="G104" s="50">
        <f t="shared" si="4"/>
        <v>45845</v>
      </c>
      <c r="H104" s="2">
        <v>11.72</v>
      </c>
      <c r="I104" s="204">
        <v>0.25972222222222224</v>
      </c>
      <c r="J104" s="203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27">
        <f t="shared" ref="AH104" si="82">IFERROR((J104-I104)*24,"")</f>
        <v>12.516666666666667</v>
      </c>
      <c r="AI104" s="2"/>
      <c r="AJ104" s="2"/>
    </row>
    <row r="105" spans="1:36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0">
        <v>45839</v>
      </c>
      <c r="F105" s="2">
        <f>DAY(EOMONTH(Raw_Data[[#This Row],[Month Year]],0))</f>
        <v>31</v>
      </c>
      <c r="G105" s="50">
        <f t="shared" si="4"/>
        <v>45846</v>
      </c>
      <c r="H105" s="2">
        <v>11.72</v>
      </c>
      <c r="I105" s="204">
        <v>0.25833333333333336</v>
      </c>
      <c r="J105" s="203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27">
        <f t="shared" ref="AH105" si="83">IFERROR((J105-I105)*24,"")</f>
        <v>12.499999999999998</v>
      </c>
      <c r="AI105" s="2"/>
      <c r="AJ105" s="2"/>
    </row>
    <row r="106" spans="1:36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0">
        <v>45839</v>
      </c>
      <c r="F106" s="2">
        <f>DAY(EOMONTH(Raw_Data[[#This Row],[Month Year]],0))</f>
        <v>31</v>
      </c>
      <c r="G106" s="50">
        <f t="shared" si="4"/>
        <v>45847</v>
      </c>
      <c r="H106" s="2">
        <v>11.72</v>
      </c>
      <c r="I106" s="204">
        <v>0.2590277777777778</v>
      </c>
      <c r="J106" s="203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27">
        <f t="shared" ref="AH106" si="84">IFERROR((J106-I106)*24,"")</f>
        <v>12.316666666666668</v>
      </c>
      <c r="AI106" s="2"/>
      <c r="AJ106" s="2"/>
    </row>
    <row r="107" spans="1:36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0">
        <v>45839</v>
      </c>
      <c r="F107" s="2">
        <f>DAY(EOMONTH(Raw_Data[[#This Row],[Month Year]],0))</f>
        <v>31</v>
      </c>
      <c r="G107" s="50">
        <f t="shared" si="4"/>
        <v>45848</v>
      </c>
      <c r="H107" s="2">
        <v>11.72</v>
      </c>
      <c r="I107" s="204">
        <v>0.25416666666666665</v>
      </c>
      <c r="J107" s="203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27">
        <f t="shared" ref="AH107" si="85">IFERROR((J107-I107)*24,"")</f>
        <v>12.783333333333333</v>
      </c>
      <c r="AI107" s="2"/>
      <c r="AJ107" s="2"/>
    </row>
    <row r="108" spans="1:36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0">
        <v>45839</v>
      </c>
      <c r="F108" s="2">
        <f>DAY(EOMONTH(Raw_Data[[#This Row],[Month Year]],0))</f>
        <v>31</v>
      </c>
      <c r="G108" s="50">
        <f t="shared" si="4"/>
        <v>45849</v>
      </c>
      <c r="H108" s="2">
        <v>11.72</v>
      </c>
      <c r="I108" s="204">
        <v>0.25486111111111109</v>
      </c>
      <c r="J108" s="203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27">
        <f t="shared" ref="AH108" si="86">IFERROR((J108-I108)*24,"")</f>
        <v>12.55</v>
      </c>
      <c r="AI108" s="2"/>
      <c r="AJ108" s="2"/>
    </row>
    <row r="109" spans="1:36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0">
        <v>45839</v>
      </c>
      <c r="F109" s="2">
        <f>DAY(EOMONTH(Raw_Data[[#This Row],[Month Year]],0))</f>
        <v>31</v>
      </c>
      <c r="G109" s="50">
        <f t="shared" si="4"/>
        <v>45850</v>
      </c>
      <c r="H109" s="2">
        <v>11.72</v>
      </c>
      <c r="I109" s="204">
        <v>0.25416666666666665</v>
      </c>
      <c r="J109" s="203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27">
        <f t="shared" ref="AH109" si="87">IFERROR((J109-I109)*24,"")</f>
        <v>12.733333333333334</v>
      </c>
      <c r="AI109" s="2"/>
      <c r="AJ109" s="2"/>
    </row>
    <row r="110" spans="1:36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0">
        <v>45839</v>
      </c>
      <c r="F110" s="2">
        <f>DAY(EOMONTH(Raw_Data[[#This Row],[Month Year]],0))</f>
        <v>31</v>
      </c>
      <c r="G110" s="50">
        <f t="shared" si="4"/>
        <v>45851</v>
      </c>
      <c r="H110" s="2">
        <v>11.72</v>
      </c>
      <c r="I110" s="204">
        <v>0.25208333333333333</v>
      </c>
      <c r="J110" s="203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27">
        <f t="shared" ref="AH110" si="88">IFERROR((J110-I110)*24,"")</f>
        <v>12.716666666666667</v>
      </c>
      <c r="AI110" s="2"/>
      <c r="AJ110" s="2"/>
    </row>
    <row r="111" spans="1:36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0">
        <v>45839</v>
      </c>
      <c r="F111" s="2">
        <f>DAY(EOMONTH(Raw_Data[[#This Row],[Month Year]],0))</f>
        <v>31</v>
      </c>
      <c r="G111" s="50">
        <f t="shared" si="4"/>
        <v>45852</v>
      </c>
      <c r="H111" s="2">
        <v>11.72</v>
      </c>
      <c r="I111" s="204">
        <v>0.25208333333333333</v>
      </c>
      <c r="J111" s="203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27">
        <f t="shared" ref="AH111" si="89">IFERROR((J111-I111)*24,"")</f>
        <v>12.75</v>
      </c>
      <c r="AI111" s="2"/>
      <c r="AJ111" s="2"/>
    </row>
    <row r="112" spans="1:36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0">
        <v>45839</v>
      </c>
      <c r="F112" s="2">
        <f>DAY(EOMONTH(Raw_Data[[#This Row],[Month Year]],0))</f>
        <v>31</v>
      </c>
      <c r="G112" s="50">
        <f t="shared" si="4"/>
        <v>45853</v>
      </c>
      <c r="H112" s="2">
        <v>11.72</v>
      </c>
      <c r="I112" s="204">
        <v>0.25763888888888886</v>
      </c>
      <c r="J112" s="203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27">
        <f t="shared" ref="AH112" si="90">IFERROR((J112-I112)*24,"")</f>
        <v>12.7</v>
      </c>
      <c r="AI112" s="2"/>
      <c r="AJ112" s="2"/>
    </row>
    <row r="113" spans="1:36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0">
        <v>45839</v>
      </c>
      <c r="F113" s="2">
        <f>DAY(EOMONTH(Raw_Data[[#This Row],[Month Year]],0))</f>
        <v>31</v>
      </c>
      <c r="G113" s="50">
        <f t="shared" si="4"/>
        <v>45854</v>
      </c>
      <c r="H113" s="2">
        <v>11.72</v>
      </c>
      <c r="I113" s="204">
        <v>0.25347222222222221</v>
      </c>
      <c r="J113" s="203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27">
        <f t="shared" ref="AH113" si="91">IFERROR((J113-I113)*24,"")</f>
        <v>12.316666666666668</v>
      </c>
      <c r="AI113" s="2"/>
      <c r="AJ113" s="2"/>
    </row>
    <row r="114" spans="1:36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0">
        <v>45839</v>
      </c>
      <c r="F114" s="2">
        <f>DAY(EOMONTH(Raw_Data[[#This Row],[Month Year]],0))</f>
        <v>31</v>
      </c>
      <c r="G114" s="50">
        <f t="shared" si="4"/>
        <v>45855</v>
      </c>
      <c r="H114" s="2">
        <v>11.72</v>
      </c>
      <c r="I114" s="204">
        <v>0.25833333333333336</v>
      </c>
      <c r="J114" s="203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27">
        <f t="shared" ref="AH114" si="92">IFERROR((J114-I114)*24,"")</f>
        <v>12.499999999999998</v>
      </c>
      <c r="AI114" s="2"/>
      <c r="AJ114" s="2"/>
    </row>
    <row r="115" spans="1:36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0">
        <v>45839</v>
      </c>
      <c r="F115" s="2">
        <f>DAY(EOMONTH(Raw_Data[[#This Row],[Month Year]],0))</f>
        <v>31</v>
      </c>
      <c r="G115" s="50">
        <f t="shared" si="4"/>
        <v>45856</v>
      </c>
      <c r="H115" s="2">
        <v>11.72</v>
      </c>
      <c r="I115" s="204">
        <v>0.25694444444444442</v>
      </c>
      <c r="J115" s="203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27">
        <f t="shared" ref="AH115" si="93">IFERROR((J115-I115)*24,"")</f>
        <v>11.016666666666667</v>
      </c>
      <c r="AI115" s="2"/>
      <c r="AJ115" s="2"/>
    </row>
    <row r="116" spans="1:36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0">
        <v>45839</v>
      </c>
      <c r="F116" s="2">
        <f>DAY(EOMONTH(Raw_Data[[#This Row],[Month Year]],0))</f>
        <v>31</v>
      </c>
      <c r="G116" s="50">
        <f t="shared" si="4"/>
        <v>45857</v>
      </c>
      <c r="H116" s="2">
        <v>11.72</v>
      </c>
      <c r="I116" s="204">
        <v>0.25694444444444442</v>
      </c>
      <c r="J116" s="203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27">
        <f t="shared" ref="AH116" si="94">IFERROR((J116-I116)*24,"")</f>
        <v>12.5</v>
      </c>
      <c r="AI116" s="2"/>
      <c r="AJ116" s="2"/>
    </row>
    <row r="117" spans="1:36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0">
        <v>45839</v>
      </c>
      <c r="F117" s="2">
        <f>DAY(EOMONTH(Raw_Data[[#This Row],[Month Year]],0))</f>
        <v>31</v>
      </c>
      <c r="G117" s="50">
        <f t="shared" si="4"/>
        <v>45858</v>
      </c>
      <c r="H117" s="2">
        <v>11.72</v>
      </c>
      <c r="I117" s="204">
        <v>0.25972222222222224</v>
      </c>
      <c r="J117" s="203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27">
        <f t="shared" ref="AH117" si="95">IFERROR((J117-I117)*24,"")</f>
        <v>12.483333333333334</v>
      </c>
      <c r="AI117" s="2"/>
      <c r="AJ117" s="2"/>
    </row>
    <row r="118" spans="1:36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0">
        <v>45839</v>
      </c>
      <c r="F118" s="2">
        <f>DAY(EOMONTH(Raw_Data[[#This Row],[Month Year]],0))</f>
        <v>31</v>
      </c>
      <c r="G118" s="50">
        <f t="shared" si="4"/>
        <v>45859</v>
      </c>
      <c r="H118" s="2">
        <v>11.72</v>
      </c>
      <c r="I118" s="204">
        <v>0.25624999999999998</v>
      </c>
      <c r="J118" s="203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27">
        <f t="shared" ref="AH118" si="96">IFERROR((J118-I118)*24,"")</f>
        <v>11.033333333333335</v>
      </c>
      <c r="AI118" s="2"/>
      <c r="AJ118" s="2"/>
    </row>
    <row r="119" spans="1:36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0">
        <v>45839</v>
      </c>
      <c r="F119" s="2">
        <f>DAY(EOMONTH(Raw_Data[[#This Row],[Month Year]],0))</f>
        <v>31</v>
      </c>
      <c r="G119" s="50">
        <f t="shared" si="4"/>
        <v>45860</v>
      </c>
      <c r="H119" s="2">
        <v>11.72</v>
      </c>
      <c r="I119" s="204">
        <v>0.25694444444444442</v>
      </c>
      <c r="J119" s="203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27">
        <f t="shared" ref="AH119" si="97">IFERROR((J119-I119)*24,"")</f>
        <v>12.666666666666668</v>
      </c>
      <c r="AI119" s="2"/>
      <c r="AJ119" s="2"/>
    </row>
    <row r="120" spans="1:36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0">
        <v>45839</v>
      </c>
      <c r="F120" s="2">
        <f>DAY(EOMONTH(Raw_Data[[#This Row],[Month Year]],0))</f>
        <v>31</v>
      </c>
      <c r="G120" s="50">
        <f t="shared" si="4"/>
        <v>45861</v>
      </c>
      <c r="H120" s="2">
        <v>11.72</v>
      </c>
      <c r="I120" s="204">
        <v>0.27152777777777776</v>
      </c>
      <c r="J120" s="203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27">
        <f t="shared" ref="AH120" si="98">IFERROR((J120-I120)*24,"")</f>
        <v>12.050000000000002</v>
      </c>
      <c r="AI120" s="2"/>
      <c r="AJ120" s="2"/>
    </row>
    <row r="121" spans="1:36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0">
        <v>45839</v>
      </c>
      <c r="F121" s="2">
        <f>DAY(EOMONTH(Raw_Data[[#This Row],[Month Year]],0))</f>
        <v>31</v>
      </c>
      <c r="G121" s="50">
        <f t="shared" si="4"/>
        <v>45862</v>
      </c>
      <c r="H121" s="2">
        <v>11.72</v>
      </c>
      <c r="I121" s="204">
        <v>0.26319444444444445</v>
      </c>
      <c r="J121" s="203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27">
        <f t="shared" ref="AH121" si="99">IFERROR((J121-I121)*24,"")</f>
        <v>12.183333333333335</v>
      </c>
      <c r="AI121" s="2"/>
      <c r="AJ121" s="2"/>
    </row>
    <row r="122" spans="1:36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0">
        <v>45839</v>
      </c>
      <c r="F122" s="2">
        <f>DAY(EOMONTH(Raw_Data[[#This Row],[Month Year]],0))</f>
        <v>31</v>
      </c>
      <c r="G122" s="50">
        <f t="shared" si="4"/>
        <v>45863</v>
      </c>
      <c r="H122" s="2">
        <v>11.72</v>
      </c>
      <c r="I122" s="204">
        <v>0.26319444444444445</v>
      </c>
      <c r="J122" s="203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27">
        <f t="shared" ref="AH122" si="100">IFERROR((J122-I122)*24,"")</f>
        <v>12.183333333333335</v>
      </c>
      <c r="AI122" s="2"/>
      <c r="AJ122" s="2"/>
    </row>
    <row r="123" spans="1:36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0">
        <v>45839</v>
      </c>
      <c r="F123" s="2">
        <f>DAY(EOMONTH(Raw_Data[[#This Row],[Month Year]],0))</f>
        <v>31</v>
      </c>
      <c r="G123" s="50">
        <f t="shared" si="4"/>
        <v>45864</v>
      </c>
      <c r="H123" s="2">
        <v>11.72</v>
      </c>
      <c r="I123" s="204">
        <v>0.27430555555555558</v>
      </c>
      <c r="J123" s="203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27">
        <f t="shared" ref="AH123" si="101">IFERROR((J123-I123)*24,"")</f>
        <v>11.983333333333334</v>
      </c>
      <c r="AI123" s="2"/>
      <c r="AJ123" s="2"/>
    </row>
    <row r="124" spans="1:36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0">
        <v>45839</v>
      </c>
      <c r="F124" s="2">
        <f>DAY(EOMONTH(Raw_Data[[#This Row],[Month Year]],0))</f>
        <v>31</v>
      </c>
      <c r="G124" s="50">
        <f t="shared" si="4"/>
        <v>45865</v>
      </c>
      <c r="H124" s="2">
        <v>11.72</v>
      </c>
      <c r="I124" s="204">
        <v>0.2590277777777778</v>
      </c>
      <c r="J124" s="203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27">
        <f t="shared" ref="AH124" si="102">IFERROR((J124-I124)*24,"")</f>
        <v>12.599999999999998</v>
      </c>
      <c r="AI124" s="2"/>
      <c r="AJ124" s="2"/>
    </row>
    <row r="125" spans="1:36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0">
        <v>45839</v>
      </c>
      <c r="F125" s="2">
        <f>DAY(EOMONTH(Raw_Data[[#This Row],[Month Year]],0))</f>
        <v>31</v>
      </c>
      <c r="G125" s="50">
        <f t="shared" si="4"/>
        <v>45866</v>
      </c>
      <c r="H125" s="2">
        <v>11.72</v>
      </c>
      <c r="I125" s="204">
        <v>0.25624999999999998</v>
      </c>
      <c r="J125" s="203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27">
        <f t="shared" ref="AH125" si="103">IFERROR((J125-I125)*24,"")</f>
        <v>12.316666666666668</v>
      </c>
      <c r="AI125" s="2"/>
      <c r="AJ125" s="2"/>
    </row>
    <row r="126" spans="1:36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0">
        <v>45839</v>
      </c>
      <c r="F126" s="2">
        <f>DAY(EOMONTH(Raw_Data[[#This Row],[Month Year]],0))</f>
        <v>31</v>
      </c>
      <c r="G126" s="50">
        <f t="shared" si="4"/>
        <v>45867</v>
      </c>
      <c r="H126" s="2">
        <v>11.72</v>
      </c>
      <c r="I126" s="204">
        <v>0.25555555555555554</v>
      </c>
      <c r="J126" s="203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27">
        <f t="shared" ref="AH126" si="104">IFERROR((J126-I126)*24,"")</f>
        <v>12.216666666666665</v>
      </c>
      <c r="AI126" s="2"/>
      <c r="AJ126" s="2"/>
    </row>
    <row r="127" spans="1:36">
      <c r="A127" s="2">
        <f>YEAR(Raw_Data[[#This Row],[Date]])+IF(MONTH(Raw_Data[[#This Row],[Date]])&gt;=4,1,0)</f>
        <v>2026</v>
      </c>
      <c r="B127" s="2">
        <f>YEAR(Raw_Data[[#This Row],[Date]])</f>
        <v>2025</v>
      </c>
      <c r="C127" s="2" t="s">
        <v>155</v>
      </c>
      <c r="D127" s="2" t="s">
        <v>155</v>
      </c>
      <c r="E127" s="30">
        <v>45839</v>
      </c>
      <c r="F127" s="2">
        <f>DAY(EOMONTH(Raw_Data[[#This Row],[Month Year]],0))</f>
        <v>31</v>
      </c>
      <c r="G127" s="50">
        <f t="shared" si="4"/>
        <v>45868</v>
      </c>
      <c r="H127" s="2">
        <v>11.72</v>
      </c>
      <c r="I127" s="204">
        <v>0.25694444444444442</v>
      </c>
      <c r="J127" s="203">
        <v>0.76875000000000004</v>
      </c>
      <c r="K127" s="2">
        <v>5119</v>
      </c>
      <c r="L127" s="2">
        <v>5161</v>
      </c>
      <c r="M127" s="2">
        <v>4485</v>
      </c>
      <c r="N127" s="2">
        <v>4797</v>
      </c>
      <c r="O127" s="2">
        <v>5154</v>
      </c>
      <c r="P127" s="2">
        <v>5264</v>
      </c>
      <c r="Q127" s="2">
        <v>132861.09479999999</v>
      </c>
      <c r="R127" s="2">
        <v>571.89599999999996</v>
      </c>
      <c r="S127" s="2">
        <v>0</v>
      </c>
      <c r="T127" s="2">
        <v>3298</v>
      </c>
      <c r="U127" s="2">
        <v>3298</v>
      </c>
      <c r="V127" s="2">
        <v>0</v>
      </c>
      <c r="W127" s="2">
        <v>23</v>
      </c>
      <c r="X127" s="2">
        <v>30</v>
      </c>
      <c r="Y127" s="2">
        <v>4</v>
      </c>
      <c r="Z127" s="2">
        <v>7</v>
      </c>
      <c r="AA127" s="2">
        <v>0</v>
      </c>
      <c r="AB127" s="2">
        <f>SUM(Raw_Data[[#This Row],[IC1_Inv1]:[IC2_Inv2]])</f>
        <v>29980</v>
      </c>
      <c r="AC127" s="2">
        <f>IF(Raw_Data[[#This Row],[33 kV Outgoinng Export Reading]]-Q126&gt;0,Raw_Data[[#This Row],[33 kV Outgoinng Export Reading]]-Q126,0)*1000</f>
        <v>29961.40000000014</v>
      </c>
      <c r="AD127" s="2">
        <f>IF(Raw_Data[[#This Row],[33 kV Outgoinng Import Reading]]-R126&gt;0,Raw_Data[[#This Row],[33 kV Outgoinng Import Reading]]-R126,0)*1000</f>
        <v>183.400000000006</v>
      </c>
      <c r="AE127" s="2">
        <f>Raw_Data[[#This Row],[Export  (kWh)]]-Raw_Data[[#This Row],[Import (kWh)]]</f>
        <v>29778.000000000135</v>
      </c>
      <c r="AF127" s="2">
        <f>IFERROR(AVERAGE(Raw_Data[[#This Row],[POA1(Wh/m2)]:[POA2(Wh/m2)]]),"")</f>
        <v>3298</v>
      </c>
      <c r="AG127" s="2">
        <f>IFERROR(Raw_Data[[#This Row],[Avg. POA without Exclusion (W/m2)2]]-Raw_Data[[#This Row],[Avg. POA Lost (W/m2)]],"")</f>
        <v>3298</v>
      </c>
      <c r="AH127" s="27">
        <f t="shared" ref="AH127" si="105">IFERROR((J127-I127)*24,"")</f>
        <v>12.283333333333335</v>
      </c>
      <c r="AI127" s="2"/>
      <c r="AJ127" s="2"/>
    </row>
    <row r="128" spans="1:36">
      <c r="A128" s="2">
        <f>YEAR(Raw_Data[[#This Row],[Date]])+IF(MONTH(Raw_Data[[#This Row],[Date]])&gt;=4,1,0)</f>
        <v>2026</v>
      </c>
      <c r="B128" s="2">
        <f>YEAR(Raw_Data[[#This Row],[Date]])</f>
        <v>2025</v>
      </c>
      <c r="C128" s="2" t="s">
        <v>155</v>
      </c>
      <c r="D128" s="2" t="s">
        <v>155</v>
      </c>
      <c r="E128" s="30">
        <v>45839</v>
      </c>
      <c r="F128" s="2">
        <f>DAY(EOMONTH(Raw_Data[[#This Row],[Month Year]],0))</f>
        <v>31</v>
      </c>
      <c r="G128" s="50">
        <f t="shared" si="4"/>
        <v>45869</v>
      </c>
      <c r="H128" s="2">
        <v>11.72</v>
      </c>
      <c r="I128" s="204">
        <v>0.26250000000000001</v>
      </c>
      <c r="J128" s="203">
        <v>0.78055555555555556</v>
      </c>
      <c r="K128" s="2">
        <v>7447</v>
      </c>
      <c r="L128" s="2">
        <v>7864</v>
      </c>
      <c r="M128" s="2">
        <v>6964</v>
      </c>
      <c r="N128" s="2">
        <v>7344</v>
      </c>
      <c r="O128" s="2">
        <v>7843</v>
      </c>
      <c r="P128" s="2">
        <v>8017</v>
      </c>
      <c r="Q128" s="2">
        <v>132906.5001</v>
      </c>
      <c r="R128" s="2">
        <v>572.07579999999996</v>
      </c>
      <c r="S128" s="2">
        <v>0</v>
      </c>
      <c r="T128" s="2">
        <v>5136</v>
      </c>
      <c r="U128" s="2">
        <v>5136</v>
      </c>
      <c r="V128" s="2">
        <v>0</v>
      </c>
      <c r="W128" s="2">
        <v>23</v>
      </c>
      <c r="X128" s="2">
        <v>36</v>
      </c>
      <c r="Y128" s="2">
        <v>3</v>
      </c>
      <c r="Z128" s="2">
        <v>7</v>
      </c>
      <c r="AA128" s="2">
        <v>0</v>
      </c>
      <c r="AB128" s="2">
        <f>SUM(Raw_Data[[#This Row],[IC1_Inv1]:[IC2_Inv2]])</f>
        <v>45479</v>
      </c>
      <c r="AC128" s="2">
        <f>IF(Raw_Data[[#This Row],[33 kV Outgoinng Export Reading]]-Q127&gt;0,Raw_Data[[#This Row],[33 kV Outgoinng Export Reading]]-Q127,0)*1000</f>
        <v>45405.300000013085</v>
      </c>
      <c r="AD128" s="2">
        <f>IF(Raw_Data[[#This Row],[33 kV Outgoinng Import Reading]]-R127&gt;0,Raw_Data[[#This Row],[33 kV Outgoinng Import Reading]]-R127,0)*1000</f>
        <v>179.80000000000018</v>
      </c>
      <c r="AE128" s="2">
        <f>Raw_Data[[#This Row],[Export  (kWh)]]-Raw_Data[[#This Row],[Import (kWh)]]</f>
        <v>45225.500000013082</v>
      </c>
      <c r="AF128" s="2">
        <f>IFERROR(AVERAGE(Raw_Data[[#This Row],[POA1(Wh/m2)]:[POA2(Wh/m2)]]),"")</f>
        <v>5136</v>
      </c>
      <c r="AG128" s="2">
        <f>IFERROR(Raw_Data[[#This Row],[Avg. POA without Exclusion (W/m2)2]]-Raw_Data[[#This Row],[Avg. POA Lost (W/m2)]],"")</f>
        <v>5136</v>
      </c>
      <c r="AH128" s="27">
        <f>IFERROR((J128-I128)*24,"")</f>
        <v>12.433333333333332</v>
      </c>
      <c r="AI128" s="2"/>
      <c r="AJ128" s="2"/>
    </row>
    <row r="129" spans="1:36">
      <c r="A129" s="2">
        <f>YEAR(Raw_Data[[#This Row],[Date]])+IF(MONTH(Raw_Data[[#This Row],[Date]])&gt;=4,1,0)</f>
        <v>2026</v>
      </c>
      <c r="B129" s="2">
        <f>YEAR(Raw_Data[[#This Row],[Date]])</f>
        <v>2025</v>
      </c>
      <c r="C129" s="2" t="s">
        <v>155</v>
      </c>
      <c r="D129" s="2" t="s">
        <v>155</v>
      </c>
      <c r="E129" s="30">
        <v>45870</v>
      </c>
      <c r="F129" s="2">
        <f>DAY(EOMONTH(Raw_Data[[#This Row],[Month Year]],0))</f>
        <v>31</v>
      </c>
      <c r="G129" s="50">
        <f t="shared" si="4"/>
        <v>45870</v>
      </c>
      <c r="H129" s="2">
        <v>11.72</v>
      </c>
      <c r="I129" s="204">
        <v>0.25763888888888886</v>
      </c>
      <c r="J129" s="203">
        <v>0.78402777777777777</v>
      </c>
      <c r="K129" s="2">
        <v>8484</v>
      </c>
      <c r="L129" s="2">
        <v>8709</v>
      </c>
      <c r="M129" s="2">
        <v>7658</v>
      </c>
      <c r="N129" s="2">
        <v>8145</v>
      </c>
      <c r="O129" s="2">
        <v>8643</v>
      </c>
      <c r="P129" s="2">
        <v>8849</v>
      </c>
      <c r="Q129" s="2">
        <v>132956.98939999999</v>
      </c>
      <c r="R129" s="2">
        <v>572.26369999999997</v>
      </c>
      <c r="S129" s="2">
        <v>0</v>
      </c>
      <c r="T129" s="2">
        <v>5765</v>
      </c>
      <c r="U129" s="2">
        <v>5765</v>
      </c>
      <c r="V129" s="2">
        <v>0</v>
      </c>
      <c r="W129" s="2">
        <v>23</v>
      </c>
      <c r="X129" s="2">
        <v>36.9</v>
      </c>
      <c r="Y129" s="2">
        <v>3</v>
      </c>
      <c r="Z129" s="2">
        <v>6</v>
      </c>
      <c r="AA129" s="2">
        <v>0</v>
      </c>
      <c r="AB129" s="2">
        <f>SUM(Raw_Data[[#This Row],[IC1_Inv1]:[IC2_Inv2]])</f>
        <v>50488</v>
      </c>
      <c r="AC129" s="2">
        <f>IF(Raw_Data[[#This Row],[33 kV Outgoinng Export Reading]]-Q128&gt;0,Raw_Data[[#This Row],[33 kV Outgoinng Export Reading]]-Q128,0)*1000</f>
        <v>50489.299999986542</v>
      </c>
      <c r="AD129" s="2">
        <f>IF(Raw_Data[[#This Row],[33 kV Outgoinng Import Reading]]-R128&gt;0,Raw_Data[[#This Row],[33 kV Outgoinng Import Reading]]-R128,0)*1000</f>
        <v>187.90000000001328</v>
      </c>
      <c r="AE129" s="2">
        <f>Raw_Data[[#This Row],[Export  (kWh)]]-Raw_Data[[#This Row],[Import (kWh)]]</f>
        <v>50301.399999986526</v>
      </c>
      <c r="AF129" s="2">
        <f>IFERROR(AVERAGE(Raw_Data[[#This Row],[POA1(Wh/m2)]:[POA2(Wh/m2)]]),"")</f>
        <v>5765</v>
      </c>
      <c r="AG129" s="2">
        <f>IFERROR(Raw_Data[[#This Row],[Avg. POA without Exclusion (W/m2)2]]-Raw_Data[[#This Row],[Avg. POA Lost (W/m2)]],"")</f>
        <v>5765</v>
      </c>
      <c r="AH129" s="27">
        <f t="shared" ref="AH129:AH130" si="106">IFERROR((J129-I129)*24,"")</f>
        <v>12.633333333333333</v>
      </c>
      <c r="AI129" s="2"/>
      <c r="AJ129" s="2"/>
    </row>
    <row r="130" spans="1:36">
      <c r="A130" s="2">
        <f>YEAR(Raw_Data[[#This Row],[Date]])+IF(MONTH(Raw_Data[[#This Row],[Date]])&gt;=4,1,0)</f>
        <v>2026</v>
      </c>
      <c r="B130" s="2">
        <f>YEAR(Raw_Data[[#This Row],[Date]])</f>
        <v>2025</v>
      </c>
      <c r="C130" s="2" t="s">
        <v>155</v>
      </c>
      <c r="D130" s="2" t="s">
        <v>155</v>
      </c>
      <c r="E130" s="30">
        <v>45870</v>
      </c>
      <c r="F130" s="2">
        <f>DAY(EOMONTH(Raw_Data[[#This Row],[Month Year]],0))</f>
        <v>31</v>
      </c>
      <c r="G130" s="50">
        <f t="shared" si="4"/>
        <v>45871</v>
      </c>
      <c r="H130" s="2">
        <v>11.72</v>
      </c>
      <c r="I130" s="204">
        <v>0.25694444444444442</v>
      </c>
      <c r="J130" s="203">
        <v>0.77777777777777779</v>
      </c>
      <c r="K130" s="2">
        <v>8676</v>
      </c>
      <c r="L130" s="2">
        <v>8924</v>
      </c>
      <c r="M130" s="2">
        <v>7768</v>
      </c>
      <c r="N130" s="2">
        <v>8340</v>
      </c>
      <c r="O130" s="2">
        <v>8912</v>
      </c>
      <c r="P130" s="2">
        <v>8954</v>
      </c>
      <c r="Q130" s="2">
        <v>133008.54149999999</v>
      </c>
      <c r="R130" s="2">
        <v>572.4357</v>
      </c>
      <c r="S130" s="2">
        <v>0</v>
      </c>
      <c r="T130" s="2">
        <v>6215</v>
      </c>
      <c r="U130" s="2">
        <v>6215</v>
      </c>
      <c r="V130" s="2">
        <v>238</v>
      </c>
      <c r="W130" s="2">
        <v>23</v>
      </c>
      <c r="X130" s="2">
        <v>40</v>
      </c>
      <c r="Y130" s="2">
        <v>2</v>
      </c>
      <c r="Z130" s="2">
        <v>5</v>
      </c>
      <c r="AA130" s="2">
        <v>0</v>
      </c>
      <c r="AB130" s="2">
        <f>SUM(Raw_Data[[#This Row],[IC1_Inv1]:[IC2_Inv2]])</f>
        <v>51574</v>
      </c>
      <c r="AC130" s="2">
        <f>IF(Raw_Data[[#This Row],[33 kV Outgoinng Export Reading]]-Q129&gt;0,Raw_Data[[#This Row],[33 kV Outgoinng Export Reading]]-Q129,0)*1000</f>
        <v>51552.100000000792</v>
      </c>
      <c r="AD130" s="2">
        <f>IF(Raw_Data[[#This Row],[33 kV Outgoinng Import Reading]]-R129&gt;0,Raw_Data[[#This Row],[33 kV Outgoinng Import Reading]]-R129,0)*1000</f>
        <v>172.00000000002547</v>
      </c>
      <c r="AE130" s="2">
        <f>Raw_Data[[#This Row],[Export  (kWh)]]-Raw_Data[[#This Row],[Import (kWh)]]</f>
        <v>51380.100000000763</v>
      </c>
      <c r="AF130" s="2">
        <f>IFERROR(AVERAGE(Raw_Data[[#This Row],[POA1(Wh/m2)]:[POA2(Wh/m2)]]),"")</f>
        <v>6215</v>
      </c>
      <c r="AG130" s="2">
        <f>IFERROR(Raw_Data[[#This Row],[Avg. POA without Exclusion (W/m2)2]]-Raw_Data[[#This Row],[Avg. POA Lost (W/m2)]],"")</f>
        <v>5977</v>
      </c>
      <c r="AH130" s="27">
        <f t="shared" si="106"/>
        <v>12.5</v>
      </c>
      <c r="AI130" s="2"/>
      <c r="AJ130" s="2"/>
    </row>
    <row r="131" spans="1:36">
      <c r="A131" s="2">
        <f>YEAR(Raw_Data[[#This Row],[Date]])+IF(MONTH(Raw_Data[[#This Row],[Date]])&gt;=4,1,0)</f>
        <v>2026</v>
      </c>
      <c r="B131" s="2">
        <f>YEAR(Raw_Data[[#This Row],[Date]])</f>
        <v>2025</v>
      </c>
      <c r="C131" s="2" t="s">
        <v>155</v>
      </c>
      <c r="D131" s="2" t="s">
        <v>155</v>
      </c>
      <c r="E131" s="30">
        <v>45870</v>
      </c>
      <c r="F131" s="2">
        <f>DAY(EOMONTH(Raw_Data[[#This Row],[Month Year]],0))</f>
        <v>31</v>
      </c>
      <c r="G131" s="50">
        <f t="shared" si="4"/>
        <v>45872</v>
      </c>
      <c r="H131" s="2">
        <v>11.72</v>
      </c>
      <c r="I131" s="204">
        <v>0.25694444444444442</v>
      </c>
      <c r="J131" s="203">
        <v>0.77777777777777779</v>
      </c>
      <c r="K131" s="2">
        <v>7168</v>
      </c>
      <c r="L131" s="2">
        <v>7436</v>
      </c>
      <c r="M131" s="2">
        <v>6469</v>
      </c>
      <c r="N131" s="2">
        <v>6826</v>
      </c>
      <c r="O131" s="2">
        <v>7213</v>
      </c>
      <c r="P131" s="2">
        <v>7340</v>
      </c>
      <c r="Q131" s="2">
        <v>133051.02789999999</v>
      </c>
      <c r="R131" s="2">
        <v>572.60609999999997</v>
      </c>
      <c r="S131" s="2">
        <v>0</v>
      </c>
      <c r="T131" s="2">
        <v>4902</v>
      </c>
      <c r="U131" s="2">
        <v>4902</v>
      </c>
      <c r="V131" s="2">
        <v>0</v>
      </c>
      <c r="W131" s="2">
        <v>23</v>
      </c>
      <c r="X131" s="2">
        <v>37</v>
      </c>
      <c r="Y131" s="2">
        <v>2</v>
      </c>
      <c r="Z131" s="2">
        <v>4</v>
      </c>
      <c r="AA131" s="2">
        <v>0</v>
      </c>
      <c r="AB131" s="2">
        <f>SUM(Raw_Data[[#This Row],[IC1_Inv1]:[IC2_Inv2]])</f>
        <v>42452</v>
      </c>
      <c r="AC131" s="2">
        <f>IF(Raw_Data[[#This Row],[33 kV Outgoinng Export Reading]]-Q130&gt;0,Raw_Data[[#This Row],[33 kV Outgoinng Export Reading]]-Q130,0)*1000</f>
        <v>42486.399999994319</v>
      </c>
      <c r="AD131" s="2">
        <f>IF(Raw_Data[[#This Row],[33 kV Outgoinng Import Reading]]-R130&gt;0,Raw_Data[[#This Row],[33 kV Outgoinng Import Reading]]-R130,0)*1000</f>
        <v>170.39999999997235</v>
      </c>
      <c r="AE131" s="2">
        <f>Raw_Data[[#This Row],[Export  (kWh)]]-Raw_Data[[#This Row],[Import (kWh)]]</f>
        <v>42315.999999994347</v>
      </c>
      <c r="AF131" s="2">
        <f>IFERROR(AVERAGE(Raw_Data[[#This Row],[POA1(Wh/m2)]:[POA2(Wh/m2)]]),"")</f>
        <v>4902</v>
      </c>
      <c r="AG131" s="2">
        <f>IFERROR(Raw_Data[[#This Row],[Avg. POA without Exclusion (W/m2)2]]-Raw_Data[[#This Row],[Avg. POA Lost (W/m2)]],"")</f>
        <v>4902</v>
      </c>
      <c r="AH131" s="27">
        <f t="shared" ref="AH131" si="107">IFERROR((J131-I131)*24,"")</f>
        <v>12.5</v>
      </c>
      <c r="AI131" s="2"/>
      <c r="AJ131" s="2"/>
    </row>
  </sheetData>
  <phoneticPr fontId="37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98E00-4A9B-485C-ACB3-5F332D5EA145}">
  <dimension ref="A1:J6"/>
  <sheetViews>
    <sheetView workbookViewId="0">
      <selection activeCell="G6" sqref="G6"/>
    </sheetView>
  </sheetViews>
  <sheetFormatPr defaultColWidth="8.7265625" defaultRowHeight="14.5"/>
  <cols>
    <col min="1" max="2" width="10.81640625" style="212" customWidth="1"/>
    <col min="3" max="3" width="11.81640625" style="212" customWidth="1"/>
    <col min="4" max="4" width="12.1796875" style="212" customWidth="1"/>
    <col min="5" max="5" width="19.1796875" style="212" customWidth="1"/>
    <col min="6" max="6" width="11.1796875" style="212" customWidth="1"/>
    <col min="7" max="7" width="21.453125" style="212" customWidth="1"/>
    <col min="8" max="8" width="9.81640625" style="212" customWidth="1"/>
    <col min="9" max="9" width="27.1796875" style="212" customWidth="1"/>
    <col min="10" max="16384" width="8.7265625" style="212"/>
  </cols>
  <sheetData>
    <row r="1" spans="1:10" ht="23.5" customHeight="1">
      <c r="A1" s="210" t="s">
        <v>84</v>
      </c>
      <c r="B1" s="211" t="s">
        <v>520</v>
      </c>
      <c r="C1" s="211" t="s">
        <v>521</v>
      </c>
      <c r="D1" s="211" t="s">
        <v>151</v>
      </c>
      <c r="E1" s="211" t="s">
        <v>522</v>
      </c>
      <c r="F1" s="211" t="s">
        <v>523</v>
      </c>
      <c r="G1" s="211" t="s">
        <v>524</v>
      </c>
      <c r="H1" s="211" t="s">
        <v>36</v>
      </c>
      <c r="I1" s="211" t="s">
        <v>525</v>
      </c>
      <c r="J1" s="211" t="s">
        <v>526</v>
      </c>
    </row>
    <row r="2" spans="1:10">
      <c r="A2" s="213">
        <v>45748</v>
      </c>
      <c r="B2" s="214"/>
      <c r="C2" s="214"/>
      <c r="D2" s="214"/>
      <c r="E2" s="214">
        <f>JMR[[#This Row],[Export (kWh)]]-(115%*JMR[[#This Row],[Import (kWh)]])</f>
        <v>0</v>
      </c>
      <c r="F2" s="214"/>
      <c r="G2" s="214">
        <f>SUMIF('Daily KPI'!$D:$D,$A2,'Daily KPI'!$Y:$Y)-SUMIF('Daily KPI'!$D:$D,$A2,'Daily KPI'!$Z:$Z)</f>
        <v>1666849.499999997</v>
      </c>
      <c r="H2" s="214">
        <f>IF(C2="",0,JMR[[#This Row],[Net Export (JMR) (kWh)]]-JMR[[#This Row],[Net Export (Manual) (kWh)]])</f>
        <v>0</v>
      </c>
      <c r="I2" s="215">
        <f>SUMIF('Daily KPI'!$D:$D,$A2,'Daily KPI'!$AA:$AA)</f>
        <v>1666849.4999999977</v>
      </c>
      <c r="J2" s="216">
        <f>IF(C2="",0,(JMR[[#This Row],[Difference]]/JMR[[#This Row],[Net Export (Manual) (kWh)]]))</f>
        <v>0</v>
      </c>
    </row>
    <row r="3" spans="1:10">
      <c r="A3" s="213">
        <v>45778</v>
      </c>
      <c r="B3" s="214"/>
      <c r="C3" s="214"/>
      <c r="D3" s="214"/>
      <c r="E3" s="214">
        <f>JMR[[#This Row],[Export (kWh)]]-(115%*JMR[[#This Row],[Import (kWh)]])</f>
        <v>0</v>
      </c>
      <c r="F3" s="214"/>
      <c r="G3" s="214">
        <f>SUMIF('Daily KPI'!$D:$D,$A3,'Daily KPI'!$Y:$Y)-SUMIF('Daily KPI'!$D:$D,$A3,'Daily KPI'!$Z:$Z)</f>
        <v>1419166.0000000009</v>
      </c>
      <c r="H3" s="214">
        <f>IF(C3="",0,JMR[[#This Row],[Net Export (JMR) (kWh)]]-JMR[[#This Row],[Net Export (Manual) (kWh)]])</f>
        <v>0</v>
      </c>
      <c r="I3" s="215">
        <f>SUMIF('Daily KPI'!$D:$D,$A3,'Daily KPI'!$AA:$AA)</f>
        <v>1419166.0000000012</v>
      </c>
      <c r="J3" s="216">
        <f>IF(C3="",0,(JMR[[#This Row],[Difference]]/JMR[[#This Row],[Net Export (Manual) (kWh)]]))</f>
        <v>0</v>
      </c>
    </row>
    <row r="4" spans="1:10">
      <c r="A4" s="217">
        <v>45809</v>
      </c>
      <c r="B4" s="218"/>
      <c r="C4" s="218"/>
      <c r="D4" s="218"/>
      <c r="E4" s="218">
        <f>JMR[[#This Row],[Export (kWh)]]-(115%*JMR[[#This Row],[Import (kWh)]])</f>
        <v>0</v>
      </c>
      <c r="F4" s="218"/>
      <c r="G4" s="218">
        <f>SUMIF('Daily KPI'!$D:$D,$A4,'Daily KPI'!$Y:$Y)-SUMIF('Daily KPI'!$D:$D,$A4,'Daily KPI'!$Z:$Z)</f>
        <v>1220367.3999999834</v>
      </c>
      <c r="H4" s="218">
        <f>IF(C4="",0,JMR[[#This Row],[Net Export (JMR) (kWh)]]-JMR[[#This Row],[Net Export (Manual) (kWh)]])</f>
        <v>0</v>
      </c>
      <c r="I4" s="219">
        <f>SUMIF('Daily KPI'!$D:$D,$A4,'Daily KPI'!$AA:$AA)</f>
        <v>1220367.3999999834</v>
      </c>
      <c r="J4" s="220">
        <f>IF(C4="",0,(JMR[[#This Row],[Difference]]/JMR[[#This Row],[Net Export (Manual) (kWh)]]))</f>
        <v>0</v>
      </c>
    </row>
    <row r="5" spans="1:10">
      <c r="A5" s="217">
        <v>45839</v>
      </c>
      <c r="E5" s="212">
        <f>JMR[[#This Row],[Export (kWh)]]-(115%*JMR[[#This Row],[Import (kWh)]])</f>
        <v>0</v>
      </c>
      <c r="G5" s="212">
        <f>SUMIF('Daily KPI'!$D:$D,$A5,'Daily KPI'!$Y:$Y)-SUMIF('Daily KPI'!$D:$D,$A5,'Daily KPI'!$Z:$Z)</f>
        <v>1174749.3000000175</v>
      </c>
      <c r="H5" s="212">
        <f>IF(C5="",0,JMR[[#This Row],[Net Export (JMR) (kWh)]]-JMR[[#This Row],[Net Export (Manual) (kWh)]])</f>
        <v>0</v>
      </c>
      <c r="I5" s="221">
        <f>SUMIF('Daily KPI'!$D:$D,$A5,'Daily KPI'!$AA:$AA)</f>
        <v>1174749.3000000175</v>
      </c>
      <c r="J5" s="222">
        <f>IF(C5="",0,(JMR[[#This Row],[Difference]]/JMR[[#This Row],[Net Export (Manual) (kWh)]]))</f>
        <v>0</v>
      </c>
    </row>
    <row r="6" spans="1:10">
      <c r="A6" s="217">
        <v>45870</v>
      </c>
      <c r="E6" s="212">
        <f>JMR[[#This Row],[Export (kWh)]]-(115%*JMR[[#This Row],[Import (kWh)]])</f>
        <v>0</v>
      </c>
      <c r="G6" s="212">
        <f>SUMIF('Daily KPI'!$D:$D,$A6,'Daily KPI'!$Y:$Y)-SUMIF('Daily KPI'!$D:$D,$A6,'Daily KPI'!$Z:$Z)</f>
        <v>143997.49999998164</v>
      </c>
      <c r="H6" s="212">
        <f>IF(C6="",0,JMR[[#This Row],[Net Export (JMR) (kWh)]]-JMR[[#This Row],[Net Export (Manual) (kWh)]])</f>
        <v>0</v>
      </c>
      <c r="I6" s="221">
        <f>SUMIF('Daily KPI'!$D:$D,$A6,'Daily KPI'!$AA:$AA)</f>
        <v>143997.49999998164</v>
      </c>
      <c r="J6" s="222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30"/>
  <sheetViews>
    <sheetView topLeftCell="A2" workbookViewId="0">
      <pane xSplit="1" ySplit="1" topLeftCell="B115" activePane="bottomRight" state="frozen"/>
      <selection pane="topRight" activeCell="B2" sqref="B2"/>
      <selection pane="bottomLeft" activeCell="A3" sqref="A3"/>
      <selection pane="bottomRight" activeCell="A131" sqref="A131"/>
    </sheetView>
  </sheetViews>
  <sheetFormatPr defaultColWidth="9" defaultRowHeight="14.5"/>
  <cols>
    <col min="1" max="2" width="11.26953125" customWidth="1"/>
    <col min="4" max="4" width="14.26953125" customWidth="1"/>
    <col min="5" max="5" width="13" customWidth="1"/>
    <col min="6" max="6" width="14" style="2" customWidth="1"/>
    <col min="8" max="8" width="14" customWidth="1"/>
    <col min="9" max="15" width="10.26953125" style="2" customWidth="1"/>
    <col min="16" max="17" width="8.726562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24">
      <c r="A2" s="185" t="s">
        <v>125</v>
      </c>
      <c r="B2" s="37" t="s">
        <v>209</v>
      </c>
      <c r="C2" s="37" t="s">
        <v>126</v>
      </c>
      <c r="D2" s="37" t="s">
        <v>127</v>
      </c>
      <c r="E2" s="37" t="s">
        <v>128</v>
      </c>
      <c r="F2" s="2" t="s">
        <v>84</v>
      </c>
      <c r="G2" s="37" t="s">
        <v>63</v>
      </c>
      <c r="H2" s="38" t="s">
        <v>34</v>
      </c>
      <c r="I2" s="39" t="s">
        <v>129</v>
      </c>
      <c r="J2" s="39" t="s">
        <v>132</v>
      </c>
      <c r="K2" s="39" t="s">
        <v>133</v>
      </c>
      <c r="L2" s="39" t="s">
        <v>134</v>
      </c>
      <c r="M2" s="39" t="s">
        <v>135</v>
      </c>
      <c r="N2" s="39" t="s">
        <v>136</v>
      </c>
      <c r="O2" s="39" t="s">
        <v>137</v>
      </c>
      <c r="P2" s="40" t="s">
        <v>210</v>
      </c>
      <c r="Q2" s="40" t="s">
        <v>211</v>
      </c>
    </row>
    <row r="3" spans="1:17">
      <c r="A3" s="143">
        <f>YEAR(H3)+IF(MONTH(H3)&gt;=4,1,0)</f>
        <v>2025</v>
      </c>
      <c r="B3" s="116">
        <f>YEAR(H3)</f>
        <v>2025</v>
      </c>
      <c r="C3" s="41">
        <f>YEAR(Table12[[#This Row],[Date]])</f>
        <v>2025</v>
      </c>
      <c r="D3" s="41" t="s">
        <v>155</v>
      </c>
      <c r="E3" s="41" t="s">
        <v>155</v>
      </c>
      <c r="F3" s="47">
        <v>45717</v>
      </c>
      <c r="G3" s="41">
        <f t="shared" ref="G3" si="0">DAY(EOMONTH(F3,0))</f>
        <v>31</v>
      </c>
      <c r="H3" s="42">
        <v>45745</v>
      </c>
      <c r="I3" s="43">
        <f>'Modelling New'!$AQ$1</f>
        <v>11.72</v>
      </c>
      <c r="J3" s="25">
        <f>'Raw Data'!K4/J$1</f>
        <v>4.2832886842998912</v>
      </c>
      <c r="K3" s="25">
        <f>'Raw Data'!L4/K$1</f>
        <v>4.2093240219475634</v>
      </c>
      <c r="L3" s="25">
        <f>'Raw Data'!M4/L$1</f>
        <v>4.2066110213208754</v>
      </c>
      <c r="M3" s="25">
        <f>'Raw Data'!N4/M$1</f>
        <v>4.3881879412920624</v>
      </c>
      <c r="N3" s="25">
        <f>'Raw Data'!O4/N$1</f>
        <v>4.2765103794109711</v>
      </c>
      <c r="O3" s="25">
        <f>'Raw Data'!P4/O$1</f>
        <v>4.2623762376237622</v>
      </c>
      <c r="P3" s="25">
        <f t="shared" ref="P3" si="1">IFERROR(AVERAGEIF(J3:O3,"&gt;"&amp;0,J3:O3),"")</f>
        <v>4.271049714315855</v>
      </c>
      <c r="Q3" s="25">
        <f t="shared" ref="Q3" si="2">MAXA(J3:O3)</f>
        <v>4.3881879412920624</v>
      </c>
    </row>
    <row r="4" spans="1:17">
      <c r="A4" s="143">
        <f t="shared" ref="A4:A41" si="3">YEAR(H4)+IF(MONTH(H4)&gt;=4,1,0)</f>
        <v>2025</v>
      </c>
      <c r="B4" s="116">
        <f t="shared" ref="B4:B41" si="4">YEAR(H4)</f>
        <v>2025</v>
      </c>
      <c r="C4" s="41">
        <f>YEAR(Table12[[#This Row],[Date]])</f>
        <v>2025</v>
      </c>
      <c r="D4" s="41" t="s">
        <v>155</v>
      </c>
      <c r="E4" s="41" t="s">
        <v>155</v>
      </c>
      <c r="F4" s="47">
        <v>45717</v>
      </c>
      <c r="G4" s="41">
        <f t="shared" ref="G4" si="5">DAY(EOMONTH(F4,0))</f>
        <v>31</v>
      </c>
      <c r="H4" s="42">
        <f t="shared" ref="H4:H23" si="6">H3+1</f>
        <v>45746</v>
      </c>
      <c r="I4" s="43">
        <f>'Modelling New'!$AQ$1</f>
        <v>11.72</v>
      </c>
      <c r="J4" s="25">
        <f>'Raw Data'!K5/J$1</f>
        <v>4.5554591304129097</v>
      </c>
      <c r="K4" s="25">
        <f>'Raw Data'!L5/K$1</f>
        <v>4.4978227209956652</v>
      </c>
      <c r="L4" s="25">
        <f>'Raw Data'!M5/L$1</f>
        <v>4.5442469059268937</v>
      </c>
      <c r="M4" s="25">
        <f>'Raw Data'!N5/M$1</f>
        <v>4.6966349997967178</v>
      </c>
      <c r="N4" s="25">
        <f>'Raw Data'!O5/N$1</f>
        <v>4.6215419495521273</v>
      </c>
      <c r="O4" s="25">
        <f>'Raw Data'!P5/O$1</f>
        <v>4.5777227722772276</v>
      </c>
      <c r="P4" s="25">
        <f t="shared" ref="P4" si="7">IFERROR(AVERAGEIF(J4:O4,"&gt;"&amp;0,J4:O4),"")</f>
        <v>4.5822380798269231</v>
      </c>
      <c r="Q4" s="25">
        <f t="shared" ref="Q4" si="8">MAXA(J4:O4)</f>
        <v>4.6966349997967178</v>
      </c>
    </row>
    <row r="5" spans="1:17">
      <c r="A5" s="143">
        <f t="shared" si="3"/>
        <v>2025</v>
      </c>
      <c r="B5" s="116">
        <f t="shared" si="4"/>
        <v>2025</v>
      </c>
      <c r="C5" s="41">
        <f>YEAR(Table12[[#This Row],[Date]])</f>
        <v>2025</v>
      </c>
      <c r="D5" s="41" t="s">
        <v>155</v>
      </c>
      <c r="E5" s="41" t="s">
        <v>155</v>
      </c>
      <c r="F5" s="47">
        <v>45717</v>
      </c>
      <c r="G5" s="41">
        <f t="shared" ref="G5" si="9">DAY(EOMONTH(F5,0))</f>
        <v>31</v>
      </c>
      <c r="H5" s="42">
        <f t="shared" si="6"/>
        <v>45747</v>
      </c>
      <c r="I5" s="43">
        <f>'Modelling New'!$AQ$1</f>
        <v>11.72</v>
      </c>
      <c r="J5" s="25">
        <f>'Raw Data'!K6/J$1</f>
        <v>4.7239935101686603</v>
      </c>
      <c r="K5" s="25">
        <f>'Raw Data'!L6/K$1</f>
        <v>4.7208430463690272</v>
      </c>
      <c r="L5" s="25">
        <f>'Raw Data'!M6/L$1</f>
        <v>4.7158323554807708</v>
      </c>
      <c r="M5" s="25">
        <f>'Raw Data'!N6/M$1</f>
        <v>4.8738971933486024</v>
      </c>
      <c r="N5" s="25">
        <f>'Raw Data'!O6/N$1</f>
        <v>4.8126211261295824</v>
      </c>
      <c r="O5" s="25">
        <f>'Raw Data'!P6/O$1</f>
        <v>4.776237623762376</v>
      </c>
      <c r="P5" s="25">
        <f t="shared" ref="P5" si="10">IFERROR(AVERAGEIF(J5:O5,"&gt;"&amp;0,J5:O5),"")</f>
        <v>4.7705708092098371</v>
      </c>
      <c r="Q5" s="25">
        <f t="shared" ref="Q5" si="11">MAXA(J5:O5)</f>
        <v>4.8738971933486024</v>
      </c>
    </row>
    <row r="6" spans="1:17">
      <c r="A6" s="143">
        <f t="shared" si="3"/>
        <v>2026</v>
      </c>
      <c r="B6" s="116">
        <f t="shared" si="4"/>
        <v>2025</v>
      </c>
      <c r="C6" s="41">
        <f>YEAR(Table12[[#This Row],[Date]])</f>
        <v>2025</v>
      </c>
      <c r="D6" s="41" t="s">
        <v>155</v>
      </c>
      <c r="E6" s="41" t="s">
        <v>155</v>
      </c>
      <c r="F6" s="47">
        <v>45748</v>
      </c>
      <c r="G6" s="41">
        <f t="shared" ref="G6" si="12">DAY(EOMONTH(F6,0))</f>
        <v>30</v>
      </c>
      <c r="H6" s="42">
        <f t="shared" si="6"/>
        <v>45748</v>
      </c>
      <c r="I6" s="43">
        <f>'Modelling New'!$AQ$1</f>
        <v>11.72</v>
      </c>
      <c r="J6" s="25">
        <f>'Raw Data'!K7/J$1</f>
        <v>4.5187337282571782</v>
      </c>
      <c r="K6" s="25">
        <f>'Raw Data'!L7/K$1</f>
        <v>4.5593625458779394</v>
      </c>
      <c r="L6" s="25">
        <f>'Raw Data'!M7/L$1</f>
        <v>4.5730289813359306</v>
      </c>
      <c r="M6" s="25">
        <f>'Raw Data'!N7/M$1</f>
        <v>4.6922983100462128</v>
      </c>
      <c r="N6" s="25">
        <f>'Raw Data'!O7/N$1</f>
        <v>4.7032208721823867</v>
      </c>
      <c r="O6" s="25">
        <f>'Raw Data'!P7/O$1</f>
        <v>4.5900990099009897</v>
      </c>
      <c r="P6" s="25">
        <f t="shared" ref="P6" si="13">IFERROR(AVERAGEIF(J6:O6,"&gt;"&amp;0,J6:O6),"")</f>
        <v>4.6061239079334397</v>
      </c>
      <c r="Q6" s="25">
        <f t="shared" ref="Q6" si="14">MAXA(J6:O6)</f>
        <v>4.7032208721823867</v>
      </c>
    </row>
    <row r="7" spans="1:17">
      <c r="A7" s="143">
        <f t="shared" si="3"/>
        <v>2026</v>
      </c>
      <c r="B7" s="116">
        <f t="shared" si="4"/>
        <v>2025</v>
      </c>
      <c r="C7" s="41">
        <f>YEAR(Table12[[#This Row],[Date]])</f>
        <v>2025</v>
      </c>
      <c r="D7" s="41" t="s">
        <v>155</v>
      </c>
      <c r="E7" s="41" t="s">
        <v>155</v>
      </c>
      <c r="F7" s="47">
        <v>45748</v>
      </c>
      <c r="G7" s="41">
        <f t="shared" ref="G7" si="15">DAY(EOMONTH(F7,0))</f>
        <v>30</v>
      </c>
      <c r="H7" s="42">
        <f t="shared" si="6"/>
        <v>45749</v>
      </c>
      <c r="I7" s="43">
        <f>'Modelling New'!$AQ$1</f>
        <v>11.72</v>
      </c>
      <c r="J7" s="25">
        <f>'Raw Data'!K8/J$1</f>
        <v>5.3050598045504289</v>
      </c>
      <c r="K7" s="25">
        <f>'Raw Data'!L8/K$1</f>
        <v>5.3992580758712192</v>
      </c>
      <c r="L7" s="25">
        <f>'Raw Data'!M8/L$1</f>
        <v>5.5006974118272192</v>
      </c>
      <c r="M7" s="25">
        <f>'Raw Data'!N8/M$1</f>
        <v>5.6756427109731806</v>
      </c>
      <c r="N7" s="25">
        <f>'Raw Data'!O8/N$1</f>
        <v>5.6437660418641604</v>
      </c>
      <c r="O7" s="25">
        <f>'Raw Data'!P8/O$1</f>
        <v>5.503960396039604</v>
      </c>
      <c r="P7" s="25">
        <f t="shared" ref="P7" si="16">IFERROR(AVERAGEIF(J7:O7,"&gt;"&amp;0,J7:O7),"")</f>
        <v>5.5047307401876351</v>
      </c>
      <c r="Q7" s="25">
        <f t="shared" ref="Q7" si="17">MAXA(J7:O7)</f>
        <v>5.6756427109731806</v>
      </c>
    </row>
    <row r="8" spans="1:17">
      <c r="A8" s="143">
        <f t="shared" si="3"/>
        <v>2026</v>
      </c>
      <c r="B8" s="116">
        <f t="shared" si="4"/>
        <v>2025</v>
      </c>
      <c r="C8" s="41">
        <f>YEAR(Table12[[#This Row],[Date]])</f>
        <v>2025</v>
      </c>
      <c r="D8" s="41" t="s">
        <v>155</v>
      </c>
      <c r="E8" s="41" t="s">
        <v>155</v>
      </c>
      <c r="F8" s="47">
        <v>45748</v>
      </c>
      <c r="G8" s="41">
        <f t="shared" ref="G8" si="18">DAY(EOMONTH(F8,0))</f>
        <v>30</v>
      </c>
      <c r="H8" s="42">
        <f t="shared" si="6"/>
        <v>45750</v>
      </c>
      <c r="I8" s="43">
        <f>'Modelling New'!$AQ$1</f>
        <v>11.72</v>
      </c>
      <c r="J8" s="25">
        <f>'Raw Data'!K9/J$1</f>
        <v>3.0180231168798501</v>
      </c>
      <c r="K8" s="25">
        <f>'Raw Data'!L9/K$1</f>
        <v>3.0011741798587539</v>
      </c>
      <c r="L8" s="25">
        <f>'Raw Data'!M9/L$1</f>
        <v>3.038169460003985</v>
      </c>
      <c r="M8" s="25">
        <f>'Raw Data'!N9/M$1</f>
        <v>3.0828443263901124</v>
      </c>
      <c r="N8" s="25">
        <f>'Raw Data'!O9/N$1</f>
        <v>3.096373703347103</v>
      </c>
      <c r="O8" s="25">
        <f>'Raw Data'!P9/O$1</f>
        <v>3.106930693069307</v>
      </c>
      <c r="P8" s="25">
        <f t="shared" ref="P8" si="19">IFERROR(AVERAGEIF(J8:O8,"&gt;"&amp;0,J8:O8),"")</f>
        <v>3.0572525799248518</v>
      </c>
      <c r="Q8" s="25">
        <f t="shared" ref="Q8" si="20">MAXA(J8:O8)</f>
        <v>3.106930693069307</v>
      </c>
    </row>
    <row r="9" spans="1:17">
      <c r="A9" s="143">
        <f t="shared" si="3"/>
        <v>2026</v>
      </c>
      <c r="B9" s="116">
        <f t="shared" si="4"/>
        <v>2025</v>
      </c>
      <c r="C9" s="41">
        <f>YEAR(Table12[[#This Row],[Date]])</f>
        <v>2025</v>
      </c>
      <c r="D9" s="41" t="s">
        <v>155</v>
      </c>
      <c r="E9" s="41" t="s">
        <v>155</v>
      </c>
      <c r="F9" s="47">
        <v>45748</v>
      </c>
      <c r="G9" s="41">
        <f t="shared" ref="G9" si="21">DAY(EOMONTH(F9,0))</f>
        <v>30</v>
      </c>
      <c r="H9" s="42">
        <f t="shared" si="6"/>
        <v>45751</v>
      </c>
      <c r="I9" s="43">
        <f>'Modelling New'!$AQ$1</f>
        <v>11.72</v>
      </c>
      <c r="J9" s="25">
        <f>'Raw Data'!K10/J$1</f>
        <v>5.4886868153290829</v>
      </c>
      <c r="K9" s="25">
        <f>'Raw Data'!L10/K$1</f>
        <v>5.5149529466498954</v>
      </c>
      <c r="L9" s="25">
        <f>'Raw Data'!M10/L$1</f>
        <v>5.5411030176899061</v>
      </c>
      <c r="M9" s="25">
        <f>'Raw Data'!N10/M$1</f>
        <v>5.7032891081326484</v>
      </c>
      <c r="N9" s="25">
        <f>'Raw Data'!O10/N$1</f>
        <v>5.7596016048670737</v>
      </c>
      <c r="O9" s="25">
        <f>'Raw Data'!P10/O$1</f>
        <v>5.6950495049504948</v>
      </c>
      <c r="P9" s="25">
        <f t="shared" ref="P9" si="22">IFERROR(AVERAGEIF(J9:O9,"&gt;"&amp;0,J9:O9),"")</f>
        <v>5.6171138329365169</v>
      </c>
      <c r="Q9" s="25">
        <f t="shared" ref="Q9" si="23">MAXA(J9:O9)</f>
        <v>5.7596016048670737</v>
      </c>
    </row>
    <row r="10" spans="1:17">
      <c r="A10" s="143">
        <f t="shared" si="3"/>
        <v>2026</v>
      </c>
      <c r="B10" s="116">
        <f t="shared" si="4"/>
        <v>2025</v>
      </c>
      <c r="C10" s="41">
        <f>YEAR(Table12[[#This Row],[Date]])</f>
        <v>2025</v>
      </c>
      <c r="D10" s="41" t="s">
        <v>155</v>
      </c>
      <c r="E10" s="41" t="s">
        <v>155</v>
      </c>
      <c r="F10" s="47">
        <v>45748</v>
      </c>
      <c r="G10" s="41">
        <f t="shared" ref="G10" si="24">DAY(EOMONTH(F10,0))</f>
        <v>30</v>
      </c>
      <c r="H10" s="42">
        <f t="shared" si="6"/>
        <v>45752</v>
      </c>
      <c r="I10" s="43">
        <f>'Modelling New'!$AQ$1</f>
        <v>11.72</v>
      </c>
      <c r="J10" s="25">
        <f>'Raw Data'!K11/J$1</f>
        <v>4.9277440289778518</v>
      </c>
      <c r="K10" s="25">
        <f>'Raw Data'!L11/K$1</f>
        <v>4.7912446060343497</v>
      </c>
      <c r="L10" s="25">
        <f>'Raw Data'!M11/L$1</f>
        <v>4.8237651382646618</v>
      </c>
      <c r="M10" s="25">
        <f>'Raw Data'!N11/M$1</f>
        <v>4.9817723508924097</v>
      </c>
      <c r="N10" s="25">
        <f>'Raw Data'!O11/N$1</f>
        <v>5.0022152313864874</v>
      </c>
      <c r="O10" s="25">
        <f>'Raw Data'!P11/O$1</f>
        <v>4.9866336633663364</v>
      </c>
      <c r="P10" s="25">
        <f t="shared" ref="P10" si="25">IFERROR(AVERAGEIF(J10:O10,"&gt;"&amp;0,J10:O10),"")</f>
        <v>4.9188958364870166</v>
      </c>
      <c r="Q10" s="25">
        <f t="shared" ref="Q10" si="26">MAXA(J10:O10)</f>
        <v>5.0022152313864874</v>
      </c>
    </row>
    <row r="11" spans="1:17">
      <c r="A11" s="143">
        <f t="shared" si="3"/>
        <v>2026</v>
      </c>
      <c r="B11" s="116">
        <f t="shared" si="4"/>
        <v>2025</v>
      </c>
      <c r="C11" s="41">
        <f>YEAR(Table12[[#This Row],[Date]])</f>
        <v>2025</v>
      </c>
      <c r="D11" s="41" t="s">
        <v>155</v>
      </c>
      <c r="E11" s="41" t="s">
        <v>155</v>
      </c>
      <c r="F11" s="47">
        <v>45748</v>
      </c>
      <c r="G11" s="41">
        <f t="shared" ref="G11" si="27">DAY(EOMONTH(F11,0))</f>
        <v>30</v>
      </c>
      <c r="H11" s="42">
        <f t="shared" si="6"/>
        <v>45753</v>
      </c>
      <c r="I11" s="43">
        <f>'Modelling New'!$AQ$1</f>
        <v>11.72</v>
      </c>
      <c r="J11" s="25">
        <f>'Raw Data'!K12/J$1</f>
        <v>5.1657045114389568</v>
      </c>
      <c r="K11" s="25">
        <f>'Raw Data'!L12/K$1</f>
        <v>5.2264542476017928</v>
      </c>
      <c r="L11" s="25">
        <f>'Raw Data'!M12/L$1</f>
        <v>5.1453494808156393</v>
      </c>
      <c r="M11" s="25">
        <f>'Raw Data'!N12/M$1</f>
        <v>5.3818319803764796</v>
      </c>
      <c r="N11" s="25">
        <f>'Raw Data'!O12/N$1</f>
        <v>5.3517020154892938</v>
      </c>
      <c r="O11" s="25">
        <f>'Raw Data'!P12/O$1</f>
        <v>5.3361386138613858</v>
      </c>
      <c r="P11" s="25">
        <f t="shared" ref="P11" si="28">IFERROR(AVERAGEIF(J11:O11,"&gt;"&amp;0,J11:O11),"")</f>
        <v>5.2678634749305919</v>
      </c>
      <c r="Q11" s="25">
        <f t="shared" ref="Q11" si="29">MAXA(J11:O11)</f>
        <v>5.3818319803764796</v>
      </c>
    </row>
    <row r="12" spans="1:17">
      <c r="A12" s="143">
        <f t="shared" si="3"/>
        <v>2026</v>
      </c>
      <c r="B12" s="116">
        <f t="shared" si="4"/>
        <v>2025</v>
      </c>
      <c r="C12" s="41">
        <f>YEAR(Table12[[#This Row],[Date]])</f>
        <v>2025</v>
      </c>
      <c r="D12" s="41" t="s">
        <v>155</v>
      </c>
      <c r="E12" s="41" t="s">
        <v>155</v>
      </c>
      <c r="F12" s="47">
        <v>45748</v>
      </c>
      <c r="G12" s="41">
        <f t="shared" ref="G12" si="30">DAY(EOMONTH(F12,0))</f>
        <v>30</v>
      </c>
      <c r="H12" s="42">
        <f t="shared" si="6"/>
        <v>45754</v>
      </c>
      <c r="I12" s="43">
        <f>'Modelling New'!$AQ$1</f>
        <v>11.72</v>
      </c>
      <c r="J12" s="25">
        <f>'Raw Data'!K13/J$1</f>
        <v>5.0228276044221412</v>
      </c>
      <c r="K12" s="25">
        <f>'Raw Data'!L13/K$1</f>
        <v>4.9620791599075424</v>
      </c>
      <c r="L12" s="25">
        <f>'Raw Data'!M13/L$1</f>
        <v>4.9809595501140214</v>
      </c>
      <c r="M12" s="25">
        <f>'Raw Data'!N13/M$1</f>
        <v>5.2024014419493421</v>
      </c>
      <c r="N12" s="25">
        <f>'Raw Data'!O13/N$1</f>
        <v>5.1606228389118387</v>
      </c>
      <c r="O12" s="25">
        <f>'Raw Data'!P13/O$1</f>
        <v>5.1787128712871286</v>
      </c>
      <c r="P12" s="25">
        <f t="shared" ref="P12" si="31">IFERROR(AVERAGEIF(J12:O12,"&gt;"&amp;0,J12:O12),"")</f>
        <v>5.0846005777653351</v>
      </c>
      <c r="Q12" s="25">
        <f t="shared" ref="Q12" si="32">MAXA(J12:O12)</f>
        <v>5.2024014419493421</v>
      </c>
    </row>
    <row r="13" spans="1:17">
      <c r="A13" s="143">
        <f t="shared" si="3"/>
        <v>2026</v>
      </c>
      <c r="B13" s="116">
        <f t="shared" si="4"/>
        <v>2025</v>
      </c>
      <c r="C13" s="41">
        <f>YEAR(Table12[[#This Row],[Date]])</f>
        <v>2025</v>
      </c>
      <c r="D13" s="41" t="s">
        <v>155</v>
      </c>
      <c r="E13" s="41" t="s">
        <v>155</v>
      </c>
      <c r="F13" s="47">
        <v>45748</v>
      </c>
      <c r="G13" s="41">
        <f t="shared" ref="G13" si="33">DAY(EOMONTH(F13,0))</f>
        <v>30</v>
      </c>
      <c r="H13" s="42">
        <f t="shared" si="6"/>
        <v>45755</v>
      </c>
      <c r="I13" s="43">
        <f>'Modelling New'!$AQ$1</f>
        <v>11.72</v>
      </c>
      <c r="J13" s="25">
        <f>'Raw Data'!K14/J$1</f>
        <v>4.4367304330327384</v>
      </c>
      <c r="K13" s="25">
        <f>'Raw Data'!L14/K$1</f>
        <v>4.4175747893491799</v>
      </c>
      <c r="L13" s="25">
        <f>'Raw Data'!M14/L$1</f>
        <v>4.4534726680983905</v>
      </c>
      <c r="M13" s="25">
        <f>'Raw Data'!N14/M$1</f>
        <v>4.6565206196045485</v>
      </c>
      <c r="N13" s="25">
        <f>'Raw Data'!O14/N$1</f>
        <v>4.5255073374898833</v>
      </c>
      <c r="O13" s="25">
        <f>'Raw Data'!P14/O$1</f>
        <v>4.5801980198019798</v>
      </c>
      <c r="P13" s="25">
        <f t="shared" ref="P13" si="34">IFERROR(AVERAGEIF(J13:O13,"&gt;"&amp;0,J13:O13),"")</f>
        <v>4.511667311229453</v>
      </c>
      <c r="Q13" s="25">
        <f t="shared" ref="Q13" si="35">MAXA(J13:O13)</f>
        <v>4.6565206196045485</v>
      </c>
    </row>
    <row r="14" spans="1:17">
      <c r="A14" s="143">
        <f t="shared" si="3"/>
        <v>2026</v>
      </c>
      <c r="B14" s="116">
        <f t="shared" si="4"/>
        <v>2025</v>
      </c>
      <c r="C14" s="41">
        <f>YEAR(Table12[[#This Row],[Date]])</f>
        <v>2025</v>
      </c>
      <c r="D14" s="41" t="s">
        <v>155</v>
      </c>
      <c r="E14" s="41" t="s">
        <v>155</v>
      </c>
      <c r="F14" s="47">
        <v>45748</v>
      </c>
      <c r="G14" s="41">
        <f t="shared" ref="G14" si="36">DAY(EOMONTH(F14,0))</f>
        <v>30</v>
      </c>
      <c r="H14" s="42">
        <f t="shared" si="6"/>
        <v>45756</v>
      </c>
      <c r="I14" s="43">
        <f>'Modelling New'!$AQ$1</f>
        <v>11.72</v>
      </c>
      <c r="J14" s="25">
        <f>'Raw Data'!K15/J$1</f>
        <v>4.4397489592373196</v>
      </c>
      <c r="K14" s="25">
        <f>'Raw Data'!L15/K$1</f>
        <v>4.4200363823444704</v>
      </c>
      <c r="L14" s="25">
        <f>'Raw Data'!M15/L$1</f>
        <v>4.5049483029645536</v>
      </c>
      <c r="M14" s="25">
        <f>'Raw Data'!N15/M$1</f>
        <v>4.641884291696595</v>
      </c>
      <c r="N14" s="25">
        <f>'Raw Data'!O15/N$1</f>
        <v>4.5378829318278013</v>
      </c>
      <c r="O14" s="25">
        <f>'Raw Data'!P15/O$1</f>
        <v>4.5103960396039602</v>
      </c>
      <c r="P14" s="25">
        <f t="shared" ref="P14" si="37">IFERROR(AVERAGEIF(J14:O14,"&gt;"&amp;0,J14:O14),"")</f>
        <v>4.5091494846124505</v>
      </c>
      <c r="Q14" s="25">
        <f t="shared" ref="Q14" si="38">MAXA(J14:O14)</f>
        <v>4.641884291696595</v>
      </c>
    </row>
    <row r="15" spans="1:17">
      <c r="A15" s="143">
        <f t="shared" si="3"/>
        <v>2026</v>
      </c>
      <c r="B15" s="116">
        <f t="shared" si="4"/>
        <v>2025</v>
      </c>
      <c r="C15" s="41">
        <f>YEAR(Table12[[#This Row],[Date]])</f>
        <v>2025</v>
      </c>
      <c r="D15" s="41" t="s">
        <v>155</v>
      </c>
      <c r="E15" s="41" t="s">
        <v>155</v>
      </c>
      <c r="F15" s="47">
        <v>45748</v>
      </c>
      <c r="G15" s="41">
        <f t="shared" ref="G15" si="39">DAY(EOMONTH(F15,0))</f>
        <v>30</v>
      </c>
      <c r="H15" s="42">
        <f t="shared" si="6"/>
        <v>45757</v>
      </c>
      <c r="I15" s="43">
        <f>'Modelling New'!$AQ$1</f>
        <v>11.72</v>
      </c>
      <c r="J15" s="25">
        <f>'Raw Data'!K16/J$1</f>
        <v>4.3476839099976106</v>
      </c>
      <c r="K15" s="25">
        <f>'Raw Data'!L16/K$1</f>
        <v>4.3333883089102283</v>
      </c>
      <c r="L15" s="25">
        <f>'Raw Data'!M16/L$1</f>
        <v>4.4064250448336173</v>
      </c>
      <c r="M15" s="25">
        <f>'Raw Data'!N16/M$1</f>
        <v>4.5350933065904133</v>
      </c>
      <c r="N15" s="25">
        <f>'Raw Data'!O16/N$1</f>
        <v>4.4383831533509399</v>
      </c>
      <c r="O15" s="25">
        <f>'Raw Data'!P16/O$1</f>
        <v>4.4752475247524757</v>
      </c>
      <c r="P15" s="25">
        <f t="shared" ref="P15" si="40">IFERROR(AVERAGEIF(J15:O15,"&gt;"&amp;0,J15:O15),"")</f>
        <v>4.4227035414058813</v>
      </c>
      <c r="Q15" s="25">
        <f t="shared" ref="Q15" si="41">MAXA(J15:O15)</f>
        <v>4.5350933065904133</v>
      </c>
    </row>
    <row r="16" spans="1:17">
      <c r="A16" s="143">
        <f t="shared" si="3"/>
        <v>2026</v>
      </c>
      <c r="B16" s="116">
        <f t="shared" si="4"/>
        <v>2025</v>
      </c>
      <c r="C16" s="41">
        <f>YEAR(Table12[[#This Row],[Date]])</f>
        <v>2025</v>
      </c>
      <c r="D16" s="41" t="s">
        <v>155</v>
      </c>
      <c r="E16" s="41" t="s">
        <v>155</v>
      </c>
      <c r="F16" s="47">
        <v>45748</v>
      </c>
      <c r="G16" s="41">
        <f t="shared" ref="G16" si="42">DAY(EOMONTH(F16,0))</f>
        <v>30</v>
      </c>
      <c r="H16" s="42">
        <f t="shared" si="6"/>
        <v>45758</v>
      </c>
      <c r="I16" s="43">
        <f>'Modelling New'!$AQ$1</f>
        <v>11.72</v>
      </c>
      <c r="J16" s="25">
        <f>'Raw Data'!K17/J$1</f>
        <v>5.0882290055213879</v>
      </c>
      <c r="K16" s="25">
        <f>'Raw Data'!L17/K$1</f>
        <v>5.0748201190918696</v>
      </c>
      <c r="L16" s="25">
        <f>'Raw Data'!M17/L$1</f>
        <v>5.2156441649877117</v>
      </c>
      <c r="M16" s="25">
        <f>'Raw Data'!N17/M$1</f>
        <v>5.4083942050983209</v>
      </c>
      <c r="N16" s="25">
        <f>'Raw Data'!O17/N$1</f>
        <v>5.3947690837852491</v>
      </c>
      <c r="O16" s="25">
        <f>'Raw Data'!P17/O$1</f>
        <v>5.3410891089108912</v>
      </c>
      <c r="P16" s="25">
        <f t="shared" ref="P16" si="43">IFERROR(AVERAGEIF(J16:O16,"&gt;"&amp;0,J16:O16),"")</f>
        <v>5.2538242812325713</v>
      </c>
      <c r="Q16" s="25">
        <f t="shared" ref="Q16" si="44">MAXA(J16:O16)</f>
        <v>5.4083942050983209</v>
      </c>
    </row>
    <row r="17" spans="1:17">
      <c r="A17" s="143">
        <f t="shared" si="3"/>
        <v>2026</v>
      </c>
      <c r="B17" s="116">
        <f t="shared" si="4"/>
        <v>2025</v>
      </c>
      <c r="C17" s="41">
        <f>YEAR(Table12[[#This Row],[Date]])</f>
        <v>2025</v>
      </c>
      <c r="D17" s="41" t="s">
        <v>155</v>
      </c>
      <c r="E17" s="41" t="s">
        <v>155</v>
      </c>
      <c r="F17" s="47">
        <v>45748</v>
      </c>
      <c r="G17" s="41">
        <f t="shared" ref="G17" si="45">DAY(EOMONTH(F17,0))</f>
        <v>30</v>
      </c>
      <c r="H17" s="42">
        <f t="shared" si="6"/>
        <v>45759</v>
      </c>
      <c r="I17" s="43">
        <f>'Modelling New'!$AQ$1</f>
        <v>11.72</v>
      </c>
      <c r="J17" s="25">
        <f>'Raw Data'!K18/J$1</f>
        <v>5.1797909670603328</v>
      </c>
      <c r="K17" s="25">
        <f>'Raw Data'!L18/K$1</f>
        <v>5.1663913785166935</v>
      </c>
      <c r="L17" s="25">
        <f>'Raw Data'!M18/L$1</f>
        <v>5.194057608430934</v>
      </c>
      <c r="M17" s="25">
        <f>'Raw Data'!N18/M$1</f>
        <v>5.3997208255973117</v>
      </c>
      <c r="N17" s="25">
        <f>'Raw Data'!O18/N$1</f>
        <v>5.3432866113395097</v>
      </c>
      <c r="O17" s="25">
        <f>'Raw Data'!P18/O$1</f>
        <v>5.3762376237623766</v>
      </c>
      <c r="P17" s="25">
        <f t="shared" ref="P17" si="46">IFERROR(AVERAGEIF(J17:O17,"&gt;"&amp;0,J17:O17),"")</f>
        <v>5.2765808357845261</v>
      </c>
      <c r="Q17" s="25">
        <f t="shared" ref="Q17" si="47">MAXA(J17:O17)</f>
        <v>5.3997208255973117</v>
      </c>
    </row>
    <row r="18" spans="1:17">
      <c r="A18" s="143">
        <f t="shared" si="3"/>
        <v>2026</v>
      </c>
      <c r="B18" s="116">
        <f t="shared" si="4"/>
        <v>2025</v>
      </c>
      <c r="C18" s="41">
        <f>YEAR(Table12[[#This Row],[Date]])</f>
        <v>2025</v>
      </c>
      <c r="D18" s="41" t="s">
        <v>155</v>
      </c>
      <c r="E18" s="41" t="s">
        <v>155</v>
      </c>
      <c r="F18" s="47">
        <v>45748</v>
      </c>
      <c r="G18" s="41">
        <f t="shared" ref="G18" si="48">DAY(EOMONTH(F18,0))</f>
        <v>30</v>
      </c>
      <c r="H18" s="42">
        <f t="shared" si="6"/>
        <v>45760</v>
      </c>
      <c r="I18" s="43">
        <f>'Modelling New'!$AQ$1</f>
        <v>11.72</v>
      </c>
      <c r="J18" s="25">
        <f>'Raw Data'!K19/J$1</f>
        <v>4.9161730118602929</v>
      </c>
      <c r="K18" s="25">
        <f>'Raw Data'!L19/K$1</f>
        <v>4.9837411782661034</v>
      </c>
      <c r="L18" s="25">
        <f>'Raw Data'!M19/L$1</f>
        <v>4.9488564660039405</v>
      </c>
      <c r="M18" s="25">
        <f>'Raw Data'!N19/M$1</f>
        <v>5.1373510956917698</v>
      </c>
      <c r="N18" s="25">
        <f>'Raw Data'!O19/N$1</f>
        <v>5.0987448672222486</v>
      </c>
      <c r="O18" s="25">
        <f>'Raw Data'!P19/O$1</f>
        <v>5.135148514851485</v>
      </c>
      <c r="P18" s="25">
        <f t="shared" ref="P18" si="49">IFERROR(AVERAGEIF(J18:O18,"&gt;"&amp;0,J18:O18),"")</f>
        <v>5.0366691889826392</v>
      </c>
      <c r="Q18" s="25">
        <f t="shared" ref="Q18" si="50">MAXA(J18:O18)</f>
        <v>5.1373510956917698</v>
      </c>
    </row>
    <row r="19" spans="1:17">
      <c r="A19" s="143">
        <f t="shared" si="3"/>
        <v>2026</v>
      </c>
      <c r="B19" s="116">
        <f t="shared" si="4"/>
        <v>2025</v>
      </c>
      <c r="C19" s="41">
        <f>YEAR(Table12[[#This Row],[Date]])</f>
        <v>2025</v>
      </c>
      <c r="D19" s="41" t="s">
        <v>155</v>
      </c>
      <c r="E19" s="41" t="s">
        <v>155</v>
      </c>
      <c r="F19" s="47">
        <v>45748</v>
      </c>
      <c r="G19" s="41">
        <f t="shared" ref="G19" si="51">DAY(EOMONTH(F19,0))</f>
        <v>30</v>
      </c>
      <c r="H19" s="42">
        <f t="shared" si="6"/>
        <v>45761</v>
      </c>
      <c r="I19" s="43">
        <f>'Modelling New'!$AQ$1</f>
        <v>11.72</v>
      </c>
      <c r="J19" s="25">
        <f>'Raw Data'!K20/J$1</f>
        <v>5.3292080141870732</v>
      </c>
      <c r="K19" s="25">
        <f>'Raw Data'!L20/K$1</f>
        <v>5.3076868164463953</v>
      </c>
      <c r="L19" s="25">
        <f>'Raw Data'!M20/L$1</f>
        <v>5.301990391214825</v>
      </c>
      <c r="M19" s="25">
        <f>'Raw Data'!N20/M$1</f>
        <v>5.4636869994172574</v>
      </c>
      <c r="N19" s="25">
        <f>'Raw Data'!O20/N$1</f>
        <v>5.3734830615240297</v>
      </c>
      <c r="O19" s="25">
        <f>'Raw Data'!P20/O$1</f>
        <v>5.4272277227722769</v>
      </c>
      <c r="P19" s="25">
        <f t="shared" ref="P19" si="52">IFERROR(AVERAGEIF(J19:O19,"&gt;"&amp;0,J19:O19),"")</f>
        <v>5.3672138342603093</v>
      </c>
      <c r="Q19" s="25">
        <f t="shared" ref="Q19" si="53">MAXA(J19:O19)</f>
        <v>5.4636869994172574</v>
      </c>
    </row>
    <row r="20" spans="1:17">
      <c r="A20" s="143">
        <f t="shared" si="3"/>
        <v>2026</v>
      </c>
      <c r="B20" s="116">
        <f t="shared" si="4"/>
        <v>2025</v>
      </c>
      <c r="C20" s="41">
        <f>YEAR(Table12[[#This Row],[Date]])</f>
        <v>2025</v>
      </c>
      <c r="D20" s="41" t="s">
        <v>155</v>
      </c>
      <c r="E20" s="41" t="s">
        <v>155</v>
      </c>
      <c r="F20" s="47">
        <v>45748</v>
      </c>
      <c r="G20" s="41">
        <f t="shared" ref="G20" si="54">DAY(EOMONTH(F20,0))</f>
        <v>30</v>
      </c>
      <c r="H20" s="42">
        <f t="shared" si="6"/>
        <v>45762</v>
      </c>
      <c r="I20" s="43">
        <f>'Modelling New'!$AQ$1</f>
        <v>11.72</v>
      </c>
      <c r="J20" s="25">
        <f>'Raw Data'!K21/J$1</f>
        <v>5.1641952483366662</v>
      </c>
      <c r="K20" s="25">
        <f>'Raw Data'!L21/K$1</f>
        <v>5.1407908113656671</v>
      </c>
      <c r="L20" s="25">
        <f>'Raw Data'!M21/L$1</f>
        <v>5.1237629242588616</v>
      </c>
      <c r="M20" s="25">
        <f>'Raw Data'!N21/M$1</f>
        <v>5.2923877542723172</v>
      </c>
      <c r="N20" s="25">
        <f>'Raw Data'!O21/N$1</f>
        <v>5.2561624272005663</v>
      </c>
      <c r="O20" s="25">
        <f>'Raw Data'!P21/O$1</f>
        <v>5.3039603960396038</v>
      </c>
      <c r="P20" s="25">
        <f t="shared" ref="P20" si="55">IFERROR(AVERAGEIF(J20:O20,"&gt;"&amp;0,J20:O20),"")</f>
        <v>5.2135432602456131</v>
      </c>
      <c r="Q20" s="25">
        <f t="shared" ref="Q20" si="56">MAXA(J20:O20)</f>
        <v>5.3039603960396038</v>
      </c>
    </row>
    <row r="21" spans="1:17">
      <c r="A21" s="143">
        <f t="shared" si="3"/>
        <v>2026</v>
      </c>
      <c r="B21" s="116">
        <f t="shared" si="4"/>
        <v>2025</v>
      </c>
      <c r="C21" s="41">
        <f>YEAR(Table12[[#This Row],[Date]])</f>
        <v>2025</v>
      </c>
      <c r="D21" s="41" t="s">
        <v>155</v>
      </c>
      <c r="E21" s="41" t="s">
        <v>155</v>
      </c>
      <c r="F21" s="47">
        <v>45748</v>
      </c>
      <c r="G21" s="41">
        <f t="shared" ref="G21" si="57">DAY(EOMONTH(F21,0))</f>
        <v>30</v>
      </c>
      <c r="H21" s="42">
        <f t="shared" si="6"/>
        <v>45763</v>
      </c>
      <c r="I21" s="43">
        <f>'Modelling New'!$AQ$1</f>
        <v>11.72</v>
      </c>
      <c r="J21" s="25">
        <f>'Raw Data'!K22/J$1</f>
        <v>4.5157152020525979</v>
      </c>
      <c r="K21" s="25">
        <f>'Raw Data'!L22/K$1</f>
        <v>4.4968380837975488</v>
      </c>
      <c r="L21" s="25">
        <f>'Raw Data'!M22/L$1</f>
        <v>4.527641862421679</v>
      </c>
      <c r="M21" s="25">
        <f>'Raw Data'!N22/M$1</f>
        <v>4.6852511892016429</v>
      </c>
      <c r="N21" s="25">
        <f>'Raw Data'!O22/N$1</f>
        <v>4.6740144695448995</v>
      </c>
      <c r="O21" s="25">
        <f>'Raw Data'!P22/O$1</f>
        <v>4.6306930693069308</v>
      </c>
      <c r="P21" s="25">
        <f t="shared" ref="P21" si="58">IFERROR(AVERAGEIF(J21:O21,"&gt;"&amp;0,J21:O21),"")</f>
        <v>4.5883589793875501</v>
      </c>
      <c r="Q21" s="25">
        <f t="shared" ref="Q21" si="59">MAXA(J21:O21)</f>
        <v>4.6852511892016429</v>
      </c>
    </row>
    <row r="22" spans="1:17">
      <c r="A22" s="143">
        <f t="shared" si="3"/>
        <v>2026</v>
      </c>
      <c r="B22" s="116">
        <f t="shared" si="4"/>
        <v>2025</v>
      </c>
      <c r="C22" s="41">
        <f>YEAR(Table12[[#This Row],[Date]])</f>
        <v>2025</v>
      </c>
      <c r="D22" s="41" t="s">
        <v>155</v>
      </c>
      <c r="E22" s="41" t="s">
        <v>155</v>
      </c>
      <c r="F22" s="47">
        <v>45748</v>
      </c>
      <c r="G22" s="41">
        <f t="shared" ref="G22" si="60">DAY(EOMONTH(F22,0))</f>
        <v>30</v>
      </c>
      <c r="H22" s="42">
        <f t="shared" si="6"/>
        <v>45764</v>
      </c>
      <c r="I22" s="43">
        <f>'Modelling New'!$AQ$1</f>
        <v>11.72</v>
      </c>
      <c r="J22" s="25">
        <f>'Raw Data'!K23/J$1</f>
        <v>4.9705064835427439</v>
      </c>
      <c r="K22" s="25">
        <f>'Raw Data'!L23/K$1</f>
        <v>4.9389401857518074</v>
      </c>
      <c r="L22" s="25">
        <f>'Raw Data'!M23/L$1</f>
        <v>4.9289304137976844</v>
      </c>
      <c r="M22" s="25">
        <f>'Raw Data'!N23/M$1</f>
        <v>5.116751819376872</v>
      </c>
      <c r="N22" s="25">
        <f>'Raw Data'!O23/N$1</f>
        <v>5.1611178626853551</v>
      </c>
      <c r="O22" s="25">
        <f>'Raw Data'!P23/O$1</f>
        <v>5.1133663366336632</v>
      </c>
      <c r="P22" s="25">
        <f t="shared" ref="P22" si="61">IFERROR(AVERAGEIF(J22:O22,"&gt;"&amp;0,J22:O22),"")</f>
        <v>5.0382688502980217</v>
      </c>
      <c r="Q22" s="25">
        <f t="shared" ref="Q22" si="62">MAXA(J22:O22)</f>
        <v>5.1611178626853551</v>
      </c>
    </row>
    <row r="23" spans="1:17">
      <c r="A23" s="143">
        <f t="shared" si="3"/>
        <v>2026</v>
      </c>
      <c r="B23" s="116">
        <f t="shared" si="4"/>
        <v>2025</v>
      </c>
      <c r="C23" s="41">
        <f>YEAR(Table12[[#This Row],[Date]])</f>
        <v>2025</v>
      </c>
      <c r="D23" s="41" t="s">
        <v>155</v>
      </c>
      <c r="E23" s="41" t="s">
        <v>155</v>
      </c>
      <c r="F23" s="47">
        <v>45748</v>
      </c>
      <c r="G23" s="41">
        <f t="shared" ref="G23" si="63">DAY(EOMONTH(F23,0))</f>
        <v>30</v>
      </c>
      <c r="H23" s="42">
        <f t="shared" si="6"/>
        <v>45765</v>
      </c>
      <c r="I23" s="43">
        <f>'Modelling New'!$AQ$1</f>
        <v>11.72</v>
      </c>
      <c r="J23" s="25">
        <f>'Raw Data'!K24/J$1</f>
        <v>3.2187551094844609</v>
      </c>
      <c r="K23" s="25">
        <f>'Raw Data'!L24/K$1</f>
        <v>3.2182866820434177</v>
      </c>
      <c r="L23" s="25">
        <f>'Raw Data'!M24/L$1</f>
        <v>3.225806451612903</v>
      </c>
      <c r="M23" s="25">
        <f>'Raw Data'!N24/M$1</f>
        <v>3.344671970076841</v>
      </c>
      <c r="N23" s="25">
        <f>'Raw Data'!O24/N$1</f>
        <v>3.4027934191539551</v>
      </c>
      <c r="O23" s="25">
        <f>'Raw Data'!P24/O$1</f>
        <v>3.354950495049505</v>
      </c>
      <c r="P23" s="25">
        <f t="shared" ref="P23" si="64">IFERROR(AVERAGEIF(J23:O23,"&gt;"&amp;0,J23:O23),"")</f>
        <v>3.2942106879035138</v>
      </c>
      <c r="Q23" s="25">
        <f t="shared" ref="Q23" si="65">MAXA(J23:O23)</f>
        <v>3.4027934191539551</v>
      </c>
    </row>
    <row r="24" spans="1:17">
      <c r="A24" s="143">
        <f t="shared" si="3"/>
        <v>2026</v>
      </c>
      <c r="B24" s="116">
        <f t="shared" si="4"/>
        <v>2025</v>
      </c>
      <c r="C24" s="44">
        <f>YEAR(Table12[[#This Row],[Date]])</f>
        <v>2025</v>
      </c>
      <c r="D24" s="41" t="s">
        <v>155</v>
      </c>
      <c r="E24" s="41" t="s">
        <v>155</v>
      </c>
      <c r="F24" s="47">
        <v>45748</v>
      </c>
      <c r="G24" s="44">
        <f t="shared" ref="G24:G30" si="66">DAY(EOMONTH(F24,0))</f>
        <v>30</v>
      </c>
      <c r="H24" s="45">
        <f t="shared" ref="H24:H29" si="67">H23+1</f>
        <v>45766</v>
      </c>
      <c r="I24" s="46">
        <f>'Modelling New'!$AQ$1</f>
        <v>11.72</v>
      </c>
      <c r="J24" s="25">
        <f>'Raw Data'!K25/J$1</f>
        <v>4.5685394106327584</v>
      </c>
      <c r="K24" s="25">
        <f>'Raw Data'!L25/K$1</f>
        <v>4.5618241388732308</v>
      </c>
      <c r="L24" s="25">
        <f>'Raw Data'!M25/L$1</f>
        <v>4.4484911550468258</v>
      </c>
      <c r="M24" s="25">
        <f>'Raw Data'!N25/M$1</f>
        <v>4.7053083792977279</v>
      </c>
      <c r="N24" s="25">
        <f>'Raw Data'!O25/N$1</f>
        <v>4.7383675601020743</v>
      </c>
      <c r="O24" s="25">
        <f>'Raw Data'!P25/O$1</f>
        <v>4.7118811881188121</v>
      </c>
      <c r="P24" s="25">
        <f t="shared" ref="P24:P29" si="68">IFERROR(AVERAGEIF(J24:O24,"&gt;"&amp;0,J24:O24),"")</f>
        <v>4.6224019720119047</v>
      </c>
      <c r="Q24" s="25">
        <f t="shared" ref="Q24:Q29" si="69">MAXA(J24:O24)</f>
        <v>4.7383675601020743</v>
      </c>
    </row>
    <row r="25" spans="1:17">
      <c r="A25" s="143">
        <f t="shared" si="3"/>
        <v>2026</v>
      </c>
      <c r="B25" s="116">
        <f t="shared" si="4"/>
        <v>2025</v>
      </c>
      <c r="C25" s="41">
        <f>YEAR(Table12[[#This Row],[Date]])</f>
        <v>2025</v>
      </c>
      <c r="D25" s="41" t="s">
        <v>155</v>
      </c>
      <c r="E25" s="41" t="s">
        <v>155</v>
      </c>
      <c r="F25" s="47">
        <v>45748</v>
      </c>
      <c r="G25" s="41">
        <f t="shared" si="66"/>
        <v>30</v>
      </c>
      <c r="H25" s="42">
        <f t="shared" si="67"/>
        <v>45767</v>
      </c>
      <c r="I25" s="43">
        <f>'Modelling New'!$AQ$1</f>
        <v>11.72</v>
      </c>
      <c r="J25" s="25">
        <f>'Raw Data'!K26/J$1</f>
        <v>5.3201524355733314</v>
      </c>
      <c r="K25" s="25">
        <f>'Raw Data'!L26/K$1</f>
        <v>5.2845478422906602</v>
      </c>
      <c r="L25" s="25">
        <f>'Raw Data'!M26/L$1</f>
        <v>5.1376004605132062</v>
      </c>
      <c r="M25" s="25">
        <f>'Raw Data'!N26/M$1</f>
        <v>5.5422895011451576</v>
      </c>
      <c r="N25" s="25">
        <f>'Raw Data'!O26/N$1</f>
        <v>5.6155496867737069</v>
      </c>
      <c r="O25" s="25">
        <f>'Raw Data'!P26/O$1</f>
        <v>5.56039603960396</v>
      </c>
      <c r="P25" s="25">
        <f t="shared" si="68"/>
        <v>5.4100893276500033</v>
      </c>
      <c r="Q25" s="25">
        <f t="shared" si="69"/>
        <v>5.6155496867737069</v>
      </c>
    </row>
    <row r="26" spans="1:17">
      <c r="A26" s="143">
        <f t="shared" si="3"/>
        <v>2026</v>
      </c>
      <c r="B26" s="116">
        <f t="shared" si="4"/>
        <v>2025</v>
      </c>
      <c r="C26" s="41">
        <f>YEAR(Table12[[#This Row],[Date]])</f>
        <v>2025</v>
      </c>
      <c r="D26" s="41" t="s">
        <v>155</v>
      </c>
      <c r="E26" s="41" t="s">
        <v>155</v>
      </c>
      <c r="F26" s="47">
        <v>45748</v>
      </c>
      <c r="G26" s="41">
        <f t="shared" si="66"/>
        <v>30</v>
      </c>
      <c r="H26" s="42">
        <f t="shared" si="67"/>
        <v>45768</v>
      </c>
      <c r="I26" s="43">
        <f>'Modelling New'!$AQ$1</f>
        <v>11.72</v>
      </c>
      <c r="J26" s="25">
        <f>'Raw Data'!K27/J$1</f>
        <v>5.1400470387000219</v>
      </c>
      <c r="K26" s="25">
        <f>'Raw Data'!L27/K$1</f>
        <v>5.0940205444551392</v>
      </c>
      <c r="L26" s="25">
        <f>'Raw Data'!M27/L$1</f>
        <v>5.0119556313237537</v>
      </c>
      <c r="M26" s="25">
        <f>'Raw Data'!N27/M$1</f>
        <v>5.3514751521229451</v>
      </c>
      <c r="N26" s="25">
        <f>'Raw Data'!O27/N$1</f>
        <v>5.3957591313322819</v>
      </c>
      <c r="O26" s="25">
        <f>'Raw Data'!P27/O$1</f>
        <v>5.3762376237623766</v>
      </c>
      <c r="P26" s="25">
        <f t="shared" si="68"/>
        <v>5.2282491869494194</v>
      </c>
      <c r="Q26" s="25">
        <f t="shared" si="69"/>
        <v>5.3957591313322819</v>
      </c>
    </row>
    <row r="27" spans="1:17">
      <c r="A27" s="143">
        <f t="shared" si="3"/>
        <v>2026</v>
      </c>
      <c r="B27" s="116">
        <f t="shared" si="4"/>
        <v>2025</v>
      </c>
      <c r="C27" s="41">
        <f>YEAR(Table12[[#This Row],[Date]])</f>
        <v>2025</v>
      </c>
      <c r="D27" s="41" t="s">
        <v>155</v>
      </c>
      <c r="E27" s="41" t="s">
        <v>155</v>
      </c>
      <c r="F27" s="47">
        <v>45748</v>
      </c>
      <c r="G27" s="41">
        <f t="shared" si="66"/>
        <v>30</v>
      </c>
      <c r="H27" s="42">
        <f t="shared" si="67"/>
        <v>45769</v>
      </c>
      <c r="I27" s="43">
        <f>'Modelling New'!$AQ$1</f>
        <v>11.72</v>
      </c>
      <c r="J27" s="25">
        <f>'Raw Data'!K28/J$1</f>
        <v>4.1378963387792576</v>
      </c>
      <c r="K27" s="25">
        <f>'Raw Data'!L28/K$1</f>
        <v>4.2349245890985898</v>
      </c>
      <c r="L27" s="25">
        <f>'Raw Data'!M28/L$1</f>
        <v>4.2126995372727878</v>
      </c>
      <c r="M27" s="25">
        <f>'Raw Data'!N28/M$1</f>
        <v>4.3068750084700973</v>
      </c>
      <c r="N27" s="25">
        <f>'Raw Data'!O28/N$1</f>
        <v>4.2522542145086515</v>
      </c>
      <c r="O27" s="25">
        <f>'Raw Data'!P28/O$1</f>
        <v>4.1910891089108908</v>
      </c>
      <c r="P27" s="25">
        <f t="shared" si="68"/>
        <v>4.2226231328400461</v>
      </c>
      <c r="Q27" s="25">
        <f t="shared" si="69"/>
        <v>4.3068750084700973</v>
      </c>
    </row>
    <row r="28" spans="1:17">
      <c r="A28" s="143">
        <f t="shared" si="3"/>
        <v>2026</v>
      </c>
      <c r="B28" s="116">
        <f t="shared" si="4"/>
        <v>2025</v>
      </c>
      <c r="C28" s="41">
        <f>YEAR(Table12[[#This Row],[Date]])</f>
        <v>2025</v>
      </c>
      <c r="D28" s="41" t="s">
        <v>155</v>
      </c>
      <c r="E28" s="41" t="s">
        <v>155</v>
      </c>
      <c r="F28" s="47">
        <v>45748</v>
      </c>
      <c r="G28" s="41">
        <f t="shared" si="66"/>
        <v>30</v>
      </c>
      <c r="H28" s="42">
        <f t="shared" si="67"/>
        <v>45770</v>
      </c>
      <c r="I28" s="43">
        <f>'Modelling New'!$AQ$1</f>
        <v>11.72</v>
      </c>
      <c r="J28" s="25">
        <f>'Raw Data'!K29/J$1</f>
        <v>4.6213636192129197</v>
      </c>
      <c r="K28" s="25">
        <f>'Raw Data'!L29/K$1</f>
        <v>4.5283464741372734</v>
      </c>
      <c r="L28" s="25">
        <f>'Raw Data'!M29/L$1</f>
        <v>4.4728452188544736</v>
      </c>
      <c r="M28" s="25">
        <f>'Raw Data'!N29/M$1</f>
        <v>4.7508436216780279</v>
      </c>
      <c r="N28" s="25">
        <f>'Raw Data'!O29/N$1</f>
        <v>4.8071758646208984</v>
      </c>
      <c r="O28" s="25">
        <f>'Raw Data'!P29/O$1</f>
        <v>4.832673267326733</v>
      </c>
      <c r="P28" s="25">
        <f t="shared" si="68"/>
        <v>4.6688746776383878</v>
      </c>
      <c r="Q28" s="25">
        <f t="shared" si="69"/>
        <v>4.832673267326733</v>
      </c>
    </row>
    <row r="29" spans="1:17">
      <c r="A29" s="143">
        <f t="shared" si="3"/>
        <v>2026</v>
      </c>
      <c r="B29" s="116">
        <f t="shared" si="4"/>
        <v>2025</v>
      </c>
      <c r="C29" s="41">
        <f>YEAR(Table12[[#This Row],[Date]])</f>
        <v>2025</v>
      </c>
      <c r="D29" s="41" t="s">
        <v>155</v>
      </c>
      <c r="E29" s="41" t="s">
        <v>155</v>
      </c>
      <c r="F29" s="47">
        <v>45748</v>
      </c>
      <c r="G29" s="41">
        <f t="shared" si="66"/>
        <v>30</v>
      </c>
      <c r="H29" s="42">
        <f t="shared" si="67"/>
        <v>45771</v>
      </c>
      <c r="I29" s="43">
        <f>'Modelling New'!$AQ$1</f>
        <v>11.72</v>
      </c>
      <c r="J29" s="25">
        <f>'Raw Data'!K30/J$1</f>
        <v>4.5579745689167268</v>
      </c>
      <c r="K29" s="25">
        <f>'Raw Data'!L30/K$1</f>
        <v>4.651426123901822</v>
      </c>
      <c r="L29" s="25">
        <f>'Raw Data'!M30/L$1</f>
        <v>4.4662032014523874</v>
      </c>
      <c r="M29" s="25">
        <f>'Raw Data'!N30/M$1</f>
        <v>4.7259076556126258</v>
      </c>
      <c r="N29" s="25">
        <f>'Raw Data'!O30/N$1</f>
        <v>4.7368824887815233</v>
      </c>
      <c r="O29" s="25">
        <f>'Raw Data'!P30/O$1</f>
        <v>4.7391089108910895</v>
      </c>
      <c r="P29" s="25">
        <f t="shared" si="68"/>
        <v>4.6462504915926957</v>
      </c>
      <c r="Q29" s="25">
        <f t="shared" si="69"/>
        <v>4.7391089108910895</v>
      </c>
    </row>
    <row r="30" spans="1:17">
      <c r="A30" s="143">
        <f t="shared" si="3"/>
        <v>2026</v>
      </c>
      <c r="B30" s="116">
        <f t="shared" si="4"/>
        <v>2025</v>
      </c>
      <c r="C30" s="41">
        <f>YEAR(Table12[[#This Row],[Date]])</f>
        <v>2025</v>
      </c>
      <c r="D30" s="41" t="s">
        <v>155</v>
      </c>
      <c r="E30" s="41" t="s">
        <v>155</v>
      </c>
      <c r="F30" s="47">
        <v>45748</v>
      </c>
      <c r="G30" s="41">
        <f t="shared" si="66"/>
        <v>30</v>
      </c>
      <c r="H30" s="42">
        <f t="shared" ref="H30:H67" si="70">H29+1</f>
        <v>45772</v>
      </c>
      <c r="I30" s="43">
        <f>'Modelling New'!$AQ$1</f>
        <v>11.72</v>
      </c>
      <c r="J30" s="25">
        <f>'Raw Data'!K31/J$1</f>
        <v>3.9502446263944964</v>
      </c>
      <c r="K30" s="25">
        <f>'Raw Data'!L31/K$1</f>
        <v>4.0094426707299364</v>
      </c>
      <c r="L30" s="25">
        <f>'Raw Data'!M31/L$1</f>
        <v>3.8484955830584275</v>
      </c>
      <c r="M30" s="25">
        <f>'Raw Data'!N31/M$1</f>
        <v>4.0976297280082399</v>
      </c>
      <c r="N30" s="25">
        <f>'Raw Data'!O31/N$1</f>
        <v>4.1418639130144221</v>
      </c>
      <c r="O30" s="25">
        <f>'Raw Data'!P31/O$1</f>
        <v>4.1123762376237627</v>
      </c>
      <c r="P30" s="25">
        <f t="shared" ref="P30" si="71">IFERROR(AVERAGEIF(J30:O30,"&gt;"&amp;0,J30:O30),"")</f>
        <v>4.0266754598048813</v>
      </c>
      <c r="Q30" s="25">
        <f t="shared" ref="Q30" si="72">MAXA(J30:O30)</f>
        <v>4.1418639130144221</v>
      </c>
    </row>
    <row r="31" spans="1:17">
      <c r="A31" s="143">
        <f t="shared" si="3"/>
        <v>2026</v>
      </c>
      <c r="B31" s="116">
        <f t="shared" si="4"/>
        <v>2025</v>
      </c>
      <c r="C31" s="41">
        <f>YEAR(Table12[[#This Row],[Date]])</f>
        <v>2025</v>
      </c>
      <c r="D31" s="41" t="s">
        <v>155</v>
      </c>
      <c r="E31" s="41" t="s">
        <v>155</v>
      </c>
      <c r="F31" s="47">
        <v>45748</v>
      </c>
      <c r="G31" s="41">
        <f t="shared" ref="G31" si="73">DAY(EOMONTH(F31,0))</f>
        <v>30</v>
      </c>
      <c r="H31" s="42">
        <f t="shared" si="70"/>
        <v>45773</v>
      </c>
      <c r="I31" s="43">
        <f>'Modelling New'!$AQ$1</f>
        <v>11.72</v>
      </c>
      <c r="J31" s="25">
        <f>'Raw Data'!K32/J$1</f>
        <v>4.9161730118602929</v>
      </c>
      <c r="K31" s="25">
        <f>'Raw Data'!L32/K$1</f>
        <v>4.8660770330911944</v>
      </c>
      <c r="L31" s="25">
        <f>'Raw Data'!M32/L$1</f>
        <v>4.6427701640578301</v>
      </c>
      <c r="M31" s="25">
        <f>'Raw Data'!N32/M$1</f>
        <v>5.1118730434075541</v>
      </c>
      <c r="N31" s="25">
        <f>'Raw Data'!O32/N$1</f>
        <v>5.0457773234559591</v>
      </c>
      <c r="O31" s="25">
        <f>'Raw Data'!P32/O$1</f>
        <v>5.1301980198019805</v>
      </c>
      <c r="P31" s="25">
        <f t="shared" ref="P31" si="74">IFERROR(AVERAGEIF(J31:O31,"&gt;"&amp;0,J31:O31),"")</f>
        <v>4.9521447659458024</v>
      </c>
      <c r="Q31" s="25">
        <f t="shared" ref="Q31" si="75">MAXA(J31:O31)</f>
        <v>5.1301980198019805</v>
      </c>
    </row>
    <row r="32" spans="1:17">
      <c r="A32" s="143">
        <f t="shared" si="3"/>
        <v>2026</v>
      </c>
      <c r="B32" s="116">
        <f t="shared" si="4"/>
        <v>2025</v>
      </c>
      <c r="C32" s="41">
        <f>YEAR(Table12[[#This Row],[Date]])</f>
        <v>2025</v>
      </c>
      <c r="D32" s="41" t="s">
        <v>155</v>
      </c>
      <c r="E32" s="41" t="s">
        <v>155</v>
      </c>
      <c r="F32" s="47">
        <v>45748</v>
      </c>
      <c r="G32" s="41">
        <f t="shared" ref="G32" si="76">DAY(EOMONTH(F32,0))</f>
        <v>30</v>
      </c>
      <c r="H32" s="42">
        <f t="shared" si="70"/>
        <v>45774</v>
      </c>
      <c r="I32" s="43">
        <f>'Modelling New'!$AQ$1</f>
        <v>11.72</v>
      </c>
      <c r="J32" s="25">
        <f>'Raw Data'!K33/J$1</f>
        <v>3.5351972732646622</v>
      </c>
      <c r="K32" s="25">
        <f>'Raw Data'!L33/K$1</f>
        <v>3.401429200893066</v>
      </c>
      <c r="L32" s="25">
        <f>'Raw Data'!M33/L$1</f>
        <v>3.3569862953040936</v>
      </c>
      <c r="M32" s="25">
        <f>'Raw Data'!N33/M$1</f>
        <v>3.5934895445120549</v>
      </c>
      <c r="N32" s="25">
        <f>'Raw Data'!O33/N$1</f>
        <v>3.630009331198131</v>
      </c>
      <c r="O32" s="25">
        <f>'Raw Data'!P33/O$1</f>
        <v>3.6376237623762377</v>
      </c>
      <c r="P32" s="25">
        <f t="shared" ref="P32" si="77">IFERROR(AVERAGEIF(J32:O32,"&gt;"&amp;0,J32:O32),"")</f>
        <v>3.5257892345913739</v>
      </c>
      <c r="Q32" s="25">
        <f t="shared" ref="Q32" si="78">MAXA(J32:O32)</f>
        <v>3.6376237623762377</v>
      </c>
    </row>
    <row r="33" spans="1:17">
      <c r="A33" s="143">
        <f t="shared" si="3"/>
        <v>2026</v>
      </c>
      <c r="B33" s="116">
        <f t="shared" si="4"/>
        <v>2025</v>
      </c>
      <c r="C33" s="41">
        <f>YEAR(Table12[[#This Row],[Date]])</f>
        <v>2025</v>
      </c>
      <c r="D33" s="41" t="s">
        <v>155</v>
      </c>
      <c r="E33" s="41" t="s">
        <v>155</v>
      </c>
      <c r="F33" s="47">
        <v>45748</v>
      </c>
      <c r="G33" s="41">
        <f t="shared" ref="G33" si="79">DAY(EOMONTH(F33,0))</f>
        <v>30</v>
      </c>
      <c r="H33" s="42">
        <f t="shared" si="70"/>
        <v>45775</v>
      </c>
      <c r="I33" s="43">
        <f>'Modelling New'!$AQ$1</f>
        <v>11.72</v>
      </c>
      <c r="J33" s="25">
        <f>'Raw Data'!K34/J$1</f>
        <v>5.128476021582463</v>
      </c>
      <c r="K33" s="25">
        <f>'Raw Data'!L34/K$1</f>
        <v>5.0964821374504297</v>
      </c>
      <c r="L33" s="25">
        <f>'Raw Data'!M34/L$1</f>
        <v>4.8353886687183119</v>
      </c>
      <c r="M33" s="25">
        <f>'Raw Data'!N34/M$1</f>
        <v>5.3688219111249644</v>
      </c>
      <c r="N33" s="25">
        <f>'Raw Data'!O34/N$1</f>
        <v>5.3046747570052055</v>
      </c>
      <c r="O33" s="25">
        <f>'Raw Data'!P34/O$1</f>
        <v>5.3539603960396036</v>
      </c>
      <c r="P33" s="25">
        <f t="shared" ref="P33" si="80">IFERROR(AVERAGEIF(J33:O33,"&gt;"&amp;0,J33:O33),"")</f>
        <v>5.1813006486534965</v>
      </c>
      <c r="Q33" s="25">
        <f t="shared" ref="Q33" si="81">MAXA(J33:O33)</f>
        <v>5.3688219111249644</v>
      </c>
    </row>
    <row r="34" spans="1:17">
      <c r="A34" s="143">
        <f t="shared" si="3"/>
        <v>2026</v>
      </c>
      <c r="B34" s="116">
        <f t="shared" si="4"/>
        <v>2025</v>
      </c>
      <c r="C34" s="41">
        <f>YEAR(Table12[[#This Row],[Date]])</f>
        <v>2025</v>
      </c>
      <c r="D34" s="41" t="s">
        <v>155</v>
      </c>
      <c r="E34" s="41" t="s">
        <v>155</v>
      </c>
      <c r="F34" s="47">
        <v>45748</v>
      </c>
      <c r="G34" s="41">
        <f t="shared" ref="G34" si="82">DAY(EOMONTH(F34,0))</f>
        <v>30</v>
      </c>
      <c r="H34" s="42">
        <f t="shared" si="70"/>
        <v>45776</v>
      </c>
      <c r="I34" s="43">
        <f>'Modelling New'!$AQ$1</f>
        <v>11.72</v>
      </c>
      <c r="J34" s="25">
        <f>'Raw Data'!K35/J$1</f>
        <v>4.4115760479945667</v>
      </c>
      <c r="K34" s="25">
        <f>'Raw Data'!L35/K$1</f>
        <v>4.367850610844302</v>
      </c>
      <c r="L34" s="25">
        <f>'Raw Data'!M35/L$1</f>
        <v>4.1938804879668785</v>
      </c>
      <c r="M34" s="25">
        <f>'Raw Data'!N35/M$1</f>
        <v>4.6218271016005099</v>
      </c>
      <c r="N34" s="25">
        <f>'Raw Data'!O35/N$1</f>
        <v>4.5621390967301201</v>
      </c>
      <c r="O34" s="25">
        <f>'Raw Data'!P35/O$1</f>
        <v>4.6222772277227726</v>
      </c>
      <c r="P34" s="25">
        <f t="shared" ref="P34" si="83">IFERROR(AVERAGEIF(J34:O34,"&gt;"&amp;0,J34:O34),"")</f>
        <v>4.4632584288098585</v>
      </c>
      <c r="Q34" s="25">
        <f t="shared" ref="Q34" si="84">MAXA(J34:O34)</f>
        <v>4.6222772277227726</v>
      </c>
    </row>
    <row r="35" spans="1:17">
      <c r="A35" s="143">
        <f t="shared" si="3"/>
        <v>2026</v>
      </c>
      <c r="B35" s="116">
        <f t="shared" si="4"/>
        <v>2025</v>
      </c>
      <c r="C35" s="41">
        <f>YEAR(Table12[[#This Row],[Date]])</f>
        <v>2025</v>
      </c>
      <c r="D35" s="41" t="s">
        <v>155</v>
      </c>
      <c r="E35" s="41" t="s">
        <v>155</v>
      </c>
      <c r="F35" s="47">
        <v>45748</v>
      </c>
      <c r="G35" s="41">
        <f t="shared" ref="G35" si="85">DAY(EOMONTH(F35,0))</f>
        <v>30</v>
      </c>
      <c r="H35" s="42">
        <f t="shared" si="70"/>
        <v>45777</v>
      </c>
      <c r="I35" s="43">
        <f>'Modelling New'!$AQ$1</f>
        <v>11.72</v>
      </c>
      <c r="J35" s="25">
        <f>'Raw Data'!K36/J$1</f>
        <v>5.3503376976191381</v>
      </c>
      <c r="K35" s="25">
        <f>'Raw Data'!L36/K$1</f>
        <v>5.2865171166868929</v>
      </c>
      <c r="L35" s="25">
        <f>'Raw Data'!M36/L$1</f>
        <v>5.0219186574268821</v>
      </c>
      <c r="M35" s="25">
        <f>'Raw Data'!N36/M$1</f>
        <v>5.6376966756562634</v>
      </c>
      <c r="N35" s="25">
        <f>'Raw Data'!O36/N$1</f>
        <v>5.5239702886731132</v>
      </c>
      <c r="O35" s="25">
        <f>'Raw Data'!P36/O$1</f>
        <v>5.6277227722772274</v>
      </c>
      <c r="P35" s="25">
        <f t="shared" ref="P35" si="86">IFERROR(AVERAGEIF(J35:O35,"&gt;"&amp;0,J35:O35),"")</f>
        <v>5.4080272013899195</v>
      </c>
      <c r="Q35" s="25">
        <f t="shared" ref="Q35" si="87">MAXA(J35:O35)</f>
        <v>5.6376966756562634</v>
      </c>
    </row>
    <row r="36" spans="1:17">
      <c r="A36" s="143">
        <f t="shared" si="3"/>
        <v>2026</v>
      </c>
      <c r="B36" s="116">
        <f t="shared" si="4"/>
        <v>2025</v>
      </c>
      <c r="C36" s="41">
        <f>YEAR(Table12[[#This Row],[Date]])</f>
        <v>2025</v>
      </c>
      <c r="D36" s="41" t="s">
        <v>155</v>
      </c>
      <c r="E36" s="41" t="s">
        <v>155</v>
      </c>
      <c r="F36" s="47">
        <v>45778</v>
      </c>
      <c r="G36" s="41">
        <f t="shared" ref="G36" si="88">DAY(EOMONTH(F36,0))</f>
        <v>31</v>
      </c>
      <c r="H36" s="42">
        <f t="shared" si="70"/>
        <v>45778</v>
      </c>
      <c r="I36" s="43">
        <f>'Modelling New'!$AQ$1</f>
        <v>11.72</v>
      </c>
      <c r="J36" s="25">
        <f>'Raw Data'!K37/J$1</f>
        <v>5.0268523060282488</v>
      </c>
      <c r="K36" s="25">
        <f>'Raw Data'!L37/K$1</f>
        <v>5.043311728752145</v>
      </c>
      <c r="L36" s="25">
        <f>'Raw Data'!M37/L$1</f>
        <v>4.902362344189342</v>
      </c>
      <c r="M36" s="25">
        <f>'Raw Data'!N37/M$1</f>
        <v>5.3558118418734502</v>
      </c>
      <c r="N36" s="25">
        <f>'Raw Data'!O37/N$1</f>
        <v>5.2121053113575782</v>
      </c>
      <c r="O36" s="25">
        <f>'Raw Data'!P37/O$1</f>
        <v>5.2806930693069303</v>
      </c>
      <c r="P36" s="25">
        <f t="shared" ref="P36" si="89">IFERROR(AVERAGEIF(J36:O36,"&gt;"&amp;0,J36:O36),"")</f>
        <v>5.1368561002512827</v>
      </c>
      <c r="Q36" s="25">
        <f t="shared" ref="Q36" si="90">MAXA(J36:O36)</f>
        <v>5.3558118418734502</v>
      </c>
    </row>
    <row r="37" spans="1:17">
      <c r="A37" s="143">
        <f t="shared" si="3"/>
        <v>2026</v>
      </c>
      <c r="B37" s="116">
        <f t="shared" si="4"/>
        <v>2025</v>
      </c>
      <c r="C37" s="181">
        <f>YEAR(Table12[[#This Row],[Date]])</f>
        <v>2025</v>
      </c>
      <c r="D37" s="181" t="s">
        <v>155</v>
      </c>
      <c r="E37" s="181" t="s">
        <v>155</v>
      </c>
      <c r="F37" s="182">
        <v>45778</v>
      </c>
      <c r="G37" s="181">
        <f t="shared" ref="G37" si="91">DAY(EOMONTH(F37,0))</f>
        <v>31</v>
      </c>
      <c r="H37" s="183">
        <f t="shared" si="70"/>
        <v>45779</v>
      </c>
      <c r="I37" s="184">
        <f>'Modelling New'!$AQ$1</f>
        <v>11.72</v>
      </c>
      <c r="J37" s="25">
        <f>'Raw Data'!K38/J$1</f>
        <v>4.9956608685809156</v>
      </c>
      <c r="K37" s="25">
        <f>'Raw Data'!L38/K$1</f>
        <v>5.0186957987992349</v>
      </c>
      <c r="L37" s="25">
        <f>'Raw Data'!M38/L$1</f>
        <v>4.8270861469657049</v>
      </c>
      <c r="M37" s="25">
        <f>'Raw Data'!N38/M$1</f>
        <v>5.2490208567672694</v>
      </c>
      <c r="N37" s="25">
        <f>'Raw Data'!O38/N$1</f>
        <v>5.1423069592917203</v>
      </c>
      <c r="O37" s="25">
        <f>'Raw Data'!P38/O$1</f>
        <v>5.2193069306930697</v>
      </c>
      <c r="P37" s="25">
        <f t="shared" ref="P37" si="92">IFERROR(AVERAGEIF(J37:O37,"&gt;"&amp;0,J37:O37),"")</f>
        <v>5.0753462601829851</v>
      </c>
      <c r="Q37" s="25">
        <f t="shared" ref="Q37" si="93">MAXA(J37:O37)</f>
        <v>5.2490208567672694</v>
      </c>
    </row>
    <row r="38" spans="1:17">
      <c r="A38" s="143">
        <f t="shared" si="3"/>
        <v>2026</v>
      </c>
      <c r="B38" s="116">
        <f t="shared" si="4"/>
        <v>2025</v>
      </c>
      <c r="C38" s="181">
        <f>YEAR(Table12[[#This Row],[Date]])</f>
        <v>2025</v>
      </c>
      <c r="D38" s="181" t="s">
        <v>155</v>
      </c>
      <c r="E38" s="181" t="s">
        <v>155</v>
      </c>
      <c r="F38" s="182">
        <v>45778</v>
      </c>
      <c r="G38" s="181">
        <f t="shared" ref="G38" si="94">DAY(EOMONTH(F38,0))</f>
        <v>31</v>
      </c>
      <c r="H38" s="183">
        <f t="shared" si="70"/>
        <v>45780</v>
      </c>
      <c r="I38" s="184">
        <f>'Modelling New'!$AQ$1</f>
        <v>11.72</v>
      </c>
      <c r="J38" s="25">
        <f>'Raw Data'!K39/J$1</f>
        <v>5.3825353104679978</v>
      </c>
      <c r="K38" s="25">
        <f>'Raw Data'!L39/K$1</f>
        <v>5.5439997439943287</v>
      </c>
      <c r="L38" s="25">
        <f>'Raw Data'!M39/L$1</f>
        <v>5.1409214692142493</v>
      </c>
      <c r="M38" s="25">
        <f>'Raw Data'!N39/M$1</f>
        <v>5.6420333654067685</v>
      </c>
      <c r="N38" s="25">
        <f>'Raw Data'!O39/N$1</f>
        <v>5.6155496867737069</v>
      </c>
      <c r="O38" s="25">
        <f>'Raw Data'!P39/O$1</f>
        <v>5.580693069306931</v>
      </c>
      <c r="P38" s="25">
        <f t="shared" ref="P38" si="95">IFERROR(AVERAGEIF(J38:O38,"&gt;"&amp;0,J38:O38),"")</f>
        <v>5.4842887741939963</v>
      </c>
      <c r="Q38" s="25">
        <f t="shared" ref="Q38" si="96">MAXA(J38:O38)</f>
        <v>5.6420333654067685</v>
      </c>
    </row>
    <row r="39" spans="1:17">
      <c r="A39" s="143">
        <f t="shared" si="3"/>
        <v>2026</v>
      </c>
      <c r="B39" s="116">
        <f t="shared" si="4"/>
        <v>2025</v>
      </c>
      <c r="C39" s="181">
        <f>YEAR(Table12[[#This Row],[Date]])</f>
        <v>2025</v>
      </c>
      <c r="D39" s="181" t="s">
        <v>155</v>
      </c>
      <c r="E39" s="181" t="s">
        <v>155</v>
      </c>
      <c r="F39" s="182">
        <v>45778</v>
      </c>
      <c r="G39" s="181">
        <f t="shared" ref="G39" si="97">DAY(EOMONTH(F39,0))</f>
        <v>31</v>
      </c>
      <c r="H39" s="183">
        <f t="shared" si="70"/>
        <v>45781</v>
      </c>
      <c r="I39" s="184">
        <f>'Modelling New'!$AQ$1</f>
        <v>11.72</v>
      </c>
      <c r="J39" s="25">
        <f>'Raw Data'!K40/J$1</f>
        <v>5.6662767736985753</v>
      </c>
      <c r="K39" s="25">
        <f>'Raw Data'!L40/K$1</f>
        <v>5.6862798191221469</v>
      </c>
      <c r="L39" s="25">
        <f>'Raw Data'!M40/L$1</f>
        <v>5.341842495627338</v>
      </c>
      <c r="M39" s="25">
        <f>'Raw Data'!N40/M$1</f>
        <v>5.9136185610321323</v>
      </c>
      <c r="N39" s="25">
        <f>'Raw Data'!O40/N$1</f>
        <v>5.7670269614698242</v>
      </c>
      <c r="O39" s="25">
        <f>'Raw Data'!P40/O$1</f>
        <v>5.8321782178217818</v>
      </c>
      <c r="P39" s="25">
        <f t="shared" ref="P39" si="98">IFERROR(AVERAGEIF(J39:O39,"&gt;"&amp;0,J39:O39),"")</f>
        <v>5.7012038047952993</v>
      </c>
      <c r="Q39" s="25">
        <f t="shared" ref="Q39" si="99">MAXA(J39:O39)</f>
        <v>5.9136185610321323</v>
      </c>
    </row>
    <row r="40" spans="1:17">
      <c r="A40" s="143">
        <f t="shared" si="3"/>
        <v>2026</v>
      </c>
      <c r="B40" s="116">
        <f t="shared" si="4"/>
        <v>2025</v>
      </c>
      <c r="C40" s="181">
        <f>YEAR(Table12[[#This Row],[Date]])</f>
        <v>2025</v>
      </c>
      <c r="D40" s="181" t="s">
        <v>155</v>
      </c>
      <c r="E40" s="181" t="s">
        <v>155</v>
      </c>
      <c r="F40" s="182">
        <v>45778</v>
      </c>
      <c r="G40" s="181">
        <f t="shared" ref="G40" si="100">DAY(EOMONTH(F40,0))</f>
        <v>31</v>
      </c>
      <c r="H40" s="183">
        <f t="shared" si="70"/>
        <v>45782</v>
      </c>
      <c r="I40" s="184">
        <f>'Modelling New'!$AQ$1</f>
        <v>11.72</v>
      </c>
      <c r="J40" s="25">
        <f>'Raw Data'!K41/J$1</f>
        <v>5.4776188859122872</v>
      </c>
      <c r="K40" s="25">
        <f>'Raw Data'!L41/K$1</f>
        <v>5.4283048732156534</v>
      </c>
      <c r="L40" s="25">
        <f>'Raw Data'!M41/L$1</f>
        <v>5.1807735736267624</v>
      </c>
      <c r="M40" s="25">
        <f>'Raw Data'!N41/M$1</f>
        <v>5.6989524183821443</v>
      </c>
      <c r="N40" s="25">
        <f>'Raw Data'!O41/N$1</f>
        <v>5.6368357090349264</v>
      </c>
      <c r="O40" s="25">
        <f>'Raw Data'!P41/O$1</f>
        <v>5.6470297029702969</v>
      </c>
      <c r="P40" s="25">
        <f t="shared" ref="P40" si="101">IFERROR(AVERAGEIF(J40:O40,"&gt;"&amp;0,J40:O40),"")</f>
        <v>5.5115858605236783</v>
      </c>
      <c r="Q40" s="25">
        <f t="shared" ref="Q40" si="102">MAXA(J40:O40)</f>
        <v>5.6989524183821443</v>
      </c>
    </row>
    <row r="41" spans="1:17">
      <c r="A41" s="143">
        <f t="shared" si="3"/>
        <v>2026</v>
      </c>
      <c r="B41" s="116">
        <f t="shared" si="4"/>
        <v>2025</v>
      </c>
      <c r="C41" s="181">
        <f>YEAR(Table12[[#This Row],[Date]])</f>
        <v>2025</v>
      </c>
      <c r="D41" s="181" t="s">
        <v>155</v>
      </c>
      <c r="E41" s="181" t="s">
        <v>155</v>
      </c>
      <c r="F41" s="182">
        <v>45778</v>
      </c>
      <c r="G41" s="181">
        <f t="shared" ref="G41" si="103">DAY(EOMONTH(F41,0))</f>
        <v>31</v>
      </c>
      <c r="H41" s="183">
        <f t="shared" si="70"/>
        <v>45783</v>
      </c>
      <c r="I41" s="184">
        <f>'Modelling New'!$AQ$1</f>
        <v>11.72</v>
      </c>
      <c r="J41" s="25">
        <f>'Raw Data'!K42/J$1</f>
        <v>5.1853249317687311</v>
      </c>
      <c r="K41" s="25">
        <f>'Raw Data'!L42/K$1</f>
        <v>5.1629451483232858</v>
      </c>
      <c r="L41" s="25">
        <f>'Raw Data'!M42/L$1</f>
        <v>4.9754245356122828</v>
      </c>
      <c r="M41" s="25">
        <f>'Raw Data'!N42/M$1</f>
        <v>5.3980945669408724</v>
      </c>
      <c r="N41" s="25">
        <f>'Raw Data'!O42/N$1</f>
        <v>5.4031844879350333</v>
      </c>
      <c r="O41" s="25">
        <f>'Raw Data'!P42/O$1</f>
        <v>5.3351485148514852</v>
      </c>
      <c r="P41" s="25">
        <f t="shared" ref="P41" si="104">IFERROR(AVERAGEIF(J41:O41,"&gt;"&amp;0,J41:O41),"")</f>
        <v>5.2433536975719486</v>
      </c>
      <c r="Q41" s="25">
        <f t="shared" ref="Q41" si="105">MAXA(J41:O41)</f>
        <v>5.4031844879350333</v>
      </c>
    </row>
    <row r="42" spans="1:17">
      <c r="A42" s="199">
        <f t="shared" ref="A42" si="106">YEAR(H42)+IF(MONTH(H42)&gt;=4,1,0)</f>
        <v>2026</v>
      </c>
      <c r="B42" s="200">
        <f t="shared" ref="B42" si="107">YEAR(H42)</f>
        <v>2025</v>
      </c>
      <c r="C42" s="181">
        <f>YEAR(Table12[[#This Row],[Date]])</f>
        <v>2025</v>
      </c>
      <c r="D42" s="181" t="s">
        <v>155</v>
      </c>
      <c r="E42" s="181" t="s">
        <v>155</v>
      </c>
      <c r="F42" s="182">
        <v>45778</v>
      </c>
      <c r="G42" s="181">
        <f t="shared" ref="G42" si="108">DAY(EOMONTH(F42,0))</f>
        <v>31</v>
      </c>
      <c r="H42" s="183">
        <f t="shared" si="70"/>
        <v>45784</v>
      </c>
      <c r="I42" s="184">
        <f>'Modelling New'!$AQ$1</f>
        <v>11.72</v>
      </c>
      <c r="J42" s="25">
        <f>'Raw Data'!K43/J$1</f>
        <v>5.9404595706146477</v>
      </c>
      <c r="K42" s="25">
        <f>'Raw Data'!L43/K$1</f>
        <v>5.7945899109149499</v>
      </c>
      <c r="L42" s="25">
        <f>'Raw Data'!M43/L$1</f>
        <v>5.5305864901366038</v>
      </c>
      <c r="M42" s="25">
        <f>'Raw Data'!N43/M$1</f>
        <v>6.0811232026453812</v>
      </c>
      <c r="N42" s="25">
        <f>'Raw Data'!O43/N$1</f>
        <v>6.1219590070813155</v>
      </c>
      <c r="O42" s="25">
        <f>'Raw Data'!P43/O$1</f>
        <v>6.110891089108911</v>
      </c>
      <c r="P42" s="25">
        <f t="shared" ref="P42" si="109">IFERROR(AVERAGEIF(J42:O42,"&gt;"&amp;0,J42:O42),"")</f>
        <v>5.9299348784169679</v>
      </c>
      <c r="Q42" s="25">
        <f t="shared" ref="Q42" si="110">MAXA(J42:O42)</f>
        <v>6.1219590070813155</v>
      </c>
    </row>
    <row r="43" spans="1:17">
      <c r="A43" s="199">
        <f t="shared" ref="A43" si="111">YEAR(H43)+IF(MONTH(H43)&gt;=4,1,0)</f>
        <v>2026</v>
      </c>
      <c r="B43" s="200">
        <f t="shared" ref="B43" si="112">YEAR(H43)</f>
        <v>2025</v>
      </c>
      <c r="C43" s="181">
        <f>YEAR(Table12[[#This Row],[Date]])</f>
        <v>2025</v>
      </c>
      <c r="D43" s="181" t="s">
        <v>155</v>
      </c>
      <c r="E43" s="181" t="s">
        <v>155</v>
      </c>
      <c r="F43" s="182">
        <v>45778</v>
      </c>
      <c r="G43" s="181">
        <f t="shared" ref="G43" si="113">DAY(EOMONTH(F43,0))</f>
        <v>31</v>
      </c>
      <c r="H43" s="183">
        <f t="shared" si="70"/>
        <v>45785</v>
      </c>
      <c r="I43" s="184">
        <f>'Modelling New'!$AQ$1</f>
        <v>11.72</v>
      </c>
      <c r="J43" s="25">
        <f>'Raw Data'!K44/J$1</f>
        <v>5.4635324302909103</v>
      </c>
      <c r="K43" s="25">
        <f>'Raw Data'!L44/K$1</f>
        <v>5.4179661826354311</v>
      </c>
      <c r="L43" s="25">
        <f>'Raw Data'!M44/L$1</f>
        <v>5.1990391214824978</v>
      </c>
      <c r="M43" s="25">
        <f>'Raw Data'!N44/M$1</f>
        <v>5.6545013484394699</v>
      </c>
      <c r="N43" s="25">
        <f>'Raw Data'!O44/N$1</f>
        <v>5.6719823969546139</v>
      </c>
      <c r="O43" s="25">
        <f>'Raw Data'!P44/O$1</f>
        <v>5.6490099009900989</v>
      </c>
      <c r="P43" s="25">
        <f t="shared" ref="P43" si="114">IFERROR(AVERAGEIF(J43:O43,"&gt;"&amp;0,J43:O43),"")</f>
        <v>5.5093385634655041</v>
      </c>
      <c r="Q43" s="25">
        <f t="shared" ref="Q43" si="115">MAXA(J43:O43)</f>
        <v>5.6719823969546139</v>
      </c>
    </row>
    <row r="44" spans="1:17">
      <c r="A44" s="199">
        <f t="shared" ref="A44" si="116">YEAR(H44)+IF(MONTH(H44)&gt;=4,1,0)</f>
        <v>2026</v>
      </c>
      <c r="B44" s="200">
        <f t="shared" ref="B44" si="117">YEAR(H44)</f>
        <v>2025</v>
      </c>
      <c r="C44" s="181">
        <f>YEAR(Table12[[#This Row],[Date]])</f>
        <v>2025</v>
      </c>
      <c r="D44" s="181" t="s">
        <v>155</v>
      </c>
      <c r="E44" s="181" t="s">
        <v>155</v>
      </c>
      <c r="F44" s="182">
        <v>45778</v>
      </c>
      <c r="G44" s="181">
        <f t="shared" ref="G44" si="118">DAY(EOMONTH(F44,0))</f>
        <v>31</v>
      </c>
      <c r="H44" s="183">
        <f t="shared" si="70"/>
        <v>45786</v>
      </c>
      <c r="I44" s="184">
        <f>'Modelling New'!$AQ$1</f>
        <v>11.72</v>
      </c>
      <c r="J44" s="25">
        <f>'Raw Data'!K45/J$1</f>
        <v>5.1757662654542251</v>
      </c>
      <c r="K44" s="25">
        <f>'Raw Data'!L45/K$1</f>
        <v>5.2486085845594124</v>
      </c>
      <c r="L44" s="25">
        <f>'Raw Data'!M45/L$1</f>
        <v>4.8968273296876035</v>
      </c>
      <c r="M44" s="25">
        <f>'Raw Data'!N45/M$1</f>
        <v>5.3438859450595624</v>
      </c>
      <c r="N44" s="25">
        <f>'Raw Data'!O45/N$1</f>
        <v>5.3591273720920443</v>
      </c>
      <c r="O44" s="25">
        <f>'Raw Data'!P45/O$1</f>
        <v>5.4089108910891088</v>
      </c>
      <c r="P44" s="25">
        <f t="shared" ref="P44" si="119">IFERROR(AVERAGEIF(J44:O44,"&gt;"&amp;0,J44:O44),"")</f>
        <v>5.2388543979903259</v>
      </c>
      <c r="Q44" s="25">
        <f t="shared" ref="Q44" si="120">MAXA(J44:O44)</f>
        <v>5.4089108910891088</v>
      </c>
    </row>
    <row r="45" spans="1:17">
      <c r="A45" s="199">
        <f t="shared" ref="A45" si="121">YEAR(H45)+IF(MONTH(H45)&gt;=4,1,0)</f>
        <v>2026</v>
      </c>
      <c r="B45" s="200">
        <f t="shared" ref="B45" si="122">YEAR(H45)</f>
        <v>2025</v>
      </c>
      <c r="C45" s="181">
        <f>YEAR(Table12[[#This Row],[Date]])</f>
        <v>2025</v>
      </c>
      <c r="D45" s="181" t="s">
        <v>155</v>
      </c>
      <c r="E45" s="181" t="s">
        <v>155</v>
      </c>
      <c r="F45" s="182">
        <v>45778</v>
      </c>
      <c r="G45" s="181">
        <f t="shared" ref="G45" si="123">DAY(EOMONTH(F45,0))</f>
        <v>31</v>
      </c>
      <c r="H45" s="183">
        <f t="shared" si="70"/>
        <v>45787</v>
      </c>
      <c r="I45" s="184">
        <f>'Modelling New'!$AQ$1</f>
        <v>11.72</v>
      </c>
      <c r="J45" s="25">
        <f>'Raw Data'!K46/J$1</f>
        <v>4.5926876202694036</v>
      </c>
      <c r="K45" s="25">
        <f>'Raw Data'!L46/K$1</f>
        <v>4.5204693765523425</v>
      </c>
      <c r="L45" s="25">
        <f>'Raw Data'!M46/L$1</f>
        <v>4.3671264418712772</v>
      </c>
      <c r="M45" s="25">
        <f>'Raw Data'!N46/M$1</f>
        <v>4.7101871552670458</v>
      </c>
      <c r="N45" s="25">
        <f>'Raw Data'!O46/N$1</f>
        <v>4.737872536328557</v>
      </c>
      <c r="O45" s="25">
        <f>'Raw Data'!P46/O$1</f>
        <v>4.6589108910891088</v>
      </c>
      <c r="P45" s="25">
        <f t="shared" ref="P45" si="124">IFERROR(AVERAGEIF(J45:O45,"&gt;"&amp;0,J45:O45),"")</f>
        <v>4.5978756702296231</v>
      </c>
      <c r="Q45" s="25">
        <f t="shared" ref="Q45" si="125">MAXA(J45:O45)</f>
        <v>4.737872536328557</v>
      </c>
    </row>
    <row r="46" spans="1:17">
      <c r="A46" s="199">
        <f t="shared" ref="A46" si="126">YEAR(H46)+IF(MONTH(H46)&gt;=4,1,0)</f>
        <v>2026</v>
      </c>
      <c r="B46" s="200">
        <f t="shared" ref="B46" si="127">YEAR(H46)</f>
        <v>2025</v>
      </c>
      <c r="C46" s="181">
        <f>YEAR(Table12[[#This Row],[Date]])</f>
        <v>2025</v>
      </c>
      <c r="D46" s="181" t="s">
        <v>155</v>
      </c>
      <c r="E46" s="181" t="s">
        <v>155</v>
      </c>
      <c r="F46" s="182">
        <v>45778</v>
      </c>
      <c r="G46" s="181">
        <f t="shared" ref="G46" si="128">DAY(EOMONTH(F46,0))</f>
        <v>31</v>
      </c>
      <c r="H46" s="183">
        <f t="shared" si="70"/>
        <v>45788</v>
      </c>
      <c r="I46" s="184">
        <f>'Modelling New'!$AQ$1</f>
        <v>11.72</v>
      </c>
      <c r="J46" s="25">
        <f>'Raw Data'!K47/J$1</f>
        <v>4.3114615955426432</v>
      </c>
      <c r="K46" s="25">
        <f>'Raw Data'!L47/K$1</f>
        <v>4.3279728043205878</v>
      </c>
      <c r="L46" s="25">
        <f>'Raw Data'!M47/L$1</f>
        <v>4.163991409657493</v>
      </c>
      <c r="M46" s="25">
        <f>'Raw Data'!N47/M$1</f>
        <v>4.5106994267438241</v>
      </c>
      <c r="N46" s="25">
        <f>'Raw Data'!O47/N$1</f>
        <v>4.4141269884486203</v>
      </c>
      <c r="O46" s="25">
        <f>'Raw Data'!P47/O$1</f>
        <v>4.4282178217821784</v>
      </c>
      <c r="P46" s="25">
        <f t="shared" ref="P46" si="129">IFERROR(AVERAGEIF(J46:O46,"&gt;"&amp;0,J46:O46),"")</f>
        <v>4.3594116744158908</v>
      </c>
      <c r="Q46" s="25">
        <f t="shared" ref="Q46" si="130">MAXA(J46:O46)</f>
        <v>4.5106994267438241</v>
      </c>
    </row>
    <row r="47" spans="1:17">
      <c r="A47" s="199">
        <f t="shared" ref="A47" si="131">YEAR(H47)+IF(MONTH(H47)&gt;=4,1,0)</f>
        <v>2026</v>
      </c>
      <c r="B47" s="200">
        <f t="shared" ref="B47" si="132">YEAR(H47)</f>
        <v>2025</v>
      </c>
      <c r="C47" s="181">
        <f>YEAR(Table12[[#This Row],[Date]])</f>
        <v>2025</v>
      </c>
      <c r="D47" s="181" t="s">
        <v>155</v>
      </c>
      <c r="E47" s="181" t="s">
        <v>155</v>
      </c>
      <c r="F47" s="182">
        <v>45778</v>
      </c>
      <c r="G47" s="181">
        <f t="shared" ref="G47" si="133">DAY(EOMONTH(F47,0))</f>
        <v>31</v>
      </c>
      <c r="H47" s="183">
        <f t="shared" si="70"/>
        <v>45789</v>
      </c>
      <c r="I47" s="184">
        <f>'Modelling New'!$AQ$1</f>
        <v>11.72</v>
      </c>
      <c r="J47" s="25">
        <f>'Raw Data'!K48/J$1</f>
        <v>4.1690877762265908</v>
      </c>
      <c r="K47" s="25">
        <f>'Raw Data'!L48/K$1</f>
        <v>3.9621800852203495</v>
      </c>
      <c r="L47" s="25">
        <f>'Raw Data'!M48/L$1</f>
        <v>3.9348418092855404</v>
      </c>
      <c r="M47" s="25">
        <f>'Raw Data'!N48/M$1</f>
        <v>4.3057908360324708</v>
      </c>
      <c r="N47" s="25">
        <f>'Raw Data'!O48/N$1</f>
        <v>4.2710651179022872</v>
      </c>
      <c r="O47" s="25">
        <f>'Raw Data'!P48/O$1</f>
        <v>4.3470297029702971</v>
      </c>
      <c r="P47" s="25">
        <f t="shared" ref="P47" si="134">IFERROR(AVERAGEIF(J47:O47,"&gt;"&amp;0,J47:O47),"")</f>
        <v>4.1649992212729225</v>
      </c>
      <c r="Q47" s="25">
        <f t="shared" ref="Q47" si="135">MAXA(J47:O47)</f>
        <v>4.3470297029702971</v>
      </c>
    </row>
    <row r="48" spans="1:17">
      <c r="A48" s="199">
        <f t="shared" ref="A48" si="136">YEAR(H48)+IF(MONTH(H48)&gt;=4,1,0)</f>
        <v>2026</v>
      </c>
      <c r="B48" s="200">
        <f t="shared" ref="B48" si="137">YEAR(H48)</f>
        <v>2025</v>
      </c>
      <c r="C48" s="181">
        <f>YEAR(Table12[[#This Row],[Date]])</f>
        <v>2025</v>
      </c>
      <c r="D48" s="181" t="s">
        <v>155</v>
      </c>
      <c r="E48" s="181" t="s">
        <v>155</v>
      </c>
      <c r="F48" s="182">
        <v>45778</v>
      </c>
      <c r="G48" s="181">
        <f t="shared" ref="G48" si="138">DAY(EOMONTH(F48,0))</f>
        <v>31</v>
      </c>
      <c r="H48" s="183">
        <f t="shared" si="70"/>
        <v>45790</v>
      </c>
      <c r="I48" s="184">
        <f>'Modelling New'!$AQ$1</f>
        <v>11.72</v>
      </c>
      <c r="J48" s="25">
        <f>'Raw Data'!K49/J$1</f>
        <v>3.3233973512432557</v>
      </c>
      <c r="K48" s="25">
        <f>'Raw Data'!L49/K$1</f>
        <v>3.3773055895392146</v>
      </c>
      <c r="L48" s="25">
        <f>'Raw Data'!M49/L$1</f>
        <v>3.2125224168087319</v>
      </c>
      <c r="M48" s="25">
        <f>'Raw Data'!N49/M$1</f>
        <v>3.4514629551830218</v>
      </c>
      <c r="N48" s="25">
        <f>'Raw Data'!O49/N$1</f>
        <v>3.4577410580143111</v>
      </c>
      <c r="O48" s="25">
        <f>'Raw Data'!P49/O$1</f>
        <v>3.3797029702970298</v>
      </c>
      <c r="P48" s="25">
        <f t="shared" ref="P48" si="139">IFERROR(AVERAGEIF(J48:O48,"&gt;"&amp;0,J48:O48),"")</f>
        <v>3.3670220568475937</v>
      </c>
      <c r="Q48" s="25">
        <f t="shared" ref="Q48" si="140">MAXA(J48:O48)</f>
        <v>3.4577410580143111</v>
      </c>
    </row>
    <row r="49" spans="1:17">
      <c r="A49" s="199">
        <f t="shared" ref="A49" si="141">YEAR(H49)+IF(MONTH(H49)&gt;=4,1,0)</f>
        <v>2026</v>
      </c>
      <c r="B49" s="200">
        <f t="shared" ref="B49" si="142">YEAR(H49)</f>
        <v>2025</v>
      </c>
      <c r="C49" s="181">
        <f>YEAR(Table12[[#This Row],[Date]])</f>
        <v>2025</v>
      </c>
      <c r="D49" s="181" t="s">
        <v>155</v>
      </c>
      <c r="E49" s="181" t="s">
        <v>155</v>
      </c>
      <c r="F49" s="182">
        <v>45778</v>
      </c>
      <c r="G49" s="181">
        <f t="shared" ref="G49" si="143">DAY(EOMONTH(F49,0))</f>
        <v>31</v>
      </c>
      <c r="H49" s="183">
        <f t="shared" si="70"/>
        <v>45791</v>
      </c>
      <c r="I49" s="184">
        <f>'Modelling New'!$AQ$1</f>
        <v>11.72</v>
      </c>
      <c r="J49" s="25">
        <f>'Raw Data'!K50/J$1</f>
        <v>4.5796073400495541</v>
      </c>
      <c r="K49" s="25">
        <f>'Raw Data'!L50/K$1</f>
        <v>4.6588109028876952</v>
      </c>
      <c r="L49" s="25">
        <f>'Raw Data'!M50/L$1</f>
        <v>4.4080855491841389</v>
      </c>
      <c r="M49" s="25">
        <f>'Raw Data'!N50/M$1</f>
        <v>4.8169781403732266</v>
      </c>
      <c r="N49" s="25">
        <f>'Raw Data'!O50/N$1</f>
        <v>4.7408426789696572</v>
      </c>
      <c r="O49" s="25">
        <f>'Raw Data'!P50/O$1</f>
        <v>4.6891089108910888</v>
      </c>
      <c r="P49" s="25">
        <f t="shared" ref="P49" si="144">IFERROR(AVERAGEIF(J49:O49,"&gt;"&amp;0,J49:O49),"")</f>
        <v>4.6489055870592271</v>
      </c>
      <c r="Q49" s="25">
        <f t="shared" ref="Q49" si="145">MAXA(J49:O49)</f>
        <v>4.8169781403732266</v>
      </c>
    </row>
    <row r="50" spans="1:17">
      <c r="A50" s="199">
        <f t="shared" ref="A50" si="146">YEAR(H50)+IF(MONTH(H50)&gt;=4,1,0)</f>
        <v>2026</v>
      </c>
      <c r="B50" s="200">
        <f t="shared" ref="B50" si="147">YEAR(H50)</f>
        <v>2025</v>
      </c>
      <c r="C50" s="181">
        <f>YEAR(Table12[[#This Row],[Date]])</f>
        <v>2025</v>
      </c>
      <c r="D50" s="181" t="s">
        <v>155</v>
      </c>
      <c r="E50" s="181" t="s">
        <v>155</v>
      </c>
      <c r="F50" s="182">
        <v>45778</v>
      </c>
      <c r="G50" s="181">
        <f t="shared" ref="G50" si="148">DAY(EOMONTH(F50,0))</f>
        <v>31</v>
      </c>
      <c r="H50" s="183">
        <f t="shared" si="70"/>
        <v>45792</v>
      </c>
      <c r="I50" s="184">
        <f>'Modelling New'!$AQ$1</f>
        <v>11.72</v>
      </c>
      <c r="J50" s="25">
        <f>'Raw Data'!K51/J$1</f>
        <v>3.3198757373379117</v>
      </c>
      <c r="K50" s="25">
        <f>'Raw Data'!L51/K$1</f>
        <v>3.4048754310864733</v>
      </c>
      <c r="L50" s="25">
        <f>'Raw Data'!M51/L$1</f>
        <v>3.2628910487745477</v>
      </c>
      <c r="M50" s="25">
        <f>'Raw Data'!N51/M$1</f>
        <v>3.3923755573323939</v>
      </c>
      <c r="N50" s="25">
        <f>'Raw Data'!O51/N$1</f>
        <v>3.4211092987740734</v>
      </c>
      <c r="O50" s="25">
        <f>'Raw Data'!P51/O$1</f>
        <v>3.4118811881188118</v>
      </c>
      <c r="P50" s="25">
        <f t="shared" ref="P50" si="149">IFERROR(AVERAGEIF(J50:O50,"&gt;"&amp;0,J50:O50),"")</f>
        <v>3.3688347102373686</v>
      </c>
      <c r="Q50" s="25">
        <f t="shared" ref="Q50" si="150">MAXA(J50:O50)</f>
        <v>3.4211092987740734</v>
      </c>
    </row>
    <row r="51" spans="1:17">
      <c r="A51" s="199">
        <f t="shared" ref="A51" si="151">YEAR(H51)+IF(MONTH(H51)&gt;=4,1,0)</f>
        <v>2026</v>
      </c>
      <c r="B51" s="200">
        <f t="shared" ref="B51" si="152">YEAR(H51)</f>
        <v>2025</v>
      </c>
      <c r="C51" s="181">
        <f>YEAR(Table12[[#This Row],[Date]])</f>
        <v>2025</v>
      </c>
      <c r="D51" s="181" t="s">
        <v>155</v>
      </c>
      <c r="E51" s="181" t="s">
        <v>155</v>
      </c>
      <c r="F51" s="182">
        <v>45778</v>
      </c>
      <c r="G51" s="181">
        <f t="shared" ref="G51" si="153">DAY(EOMONTH(F51,0))</f>
        <v>31</v>
      </c>
      <c r="H51" s="183">
        <f t="shared" si="70"/>
        <v>45793</v>
      </c>
      <c r="I51" s="184">
        <f>'Modelling New'!$AQ$1</f>
        <v>11.72</v>
      </c>
      <c r="J51" s="25">
        <f>'Raw Data'!K52/J$1</f>
        <v>4.5398634116892431</v>
      </c>
      <c r="K51" s="25">
        <f>'Raw Data'!L52/K$1</f>
        <v>4.5834861572317909</v>
      </c>
      <c r="L51" s="25">
        <f>'Raw Data'!M52/L$1</f>
        <v>4.4202625810879619</v>
      </c>
      <c r="M51" s="25">
        <f>'Raw Data'!N52/M$1</f>
        <v>4.6879616202957086</v>
      </c>
      <c r="N51" s="25">
        <f>'Raw Data'!O52/N$1</f>
        <v>4.7601486061368092</v>
      </c>
      <c r="O51" s="25">
        <f>'Raw Data'!P52/O$1</f>
        <v>4.6940594059405942</v>
      </c>
      <c r="P51" s="25">
        <f t="shared" ref="P51" si="154">IFERROR(AVERAGEIF(J51:O51,"&gt;"&amp;0,J51:O51),"")</f>
        <v>4.614296963730351</v>
      </c>
      <c r="Q51" s="25">
        <f t="shared" ref="Q51" si="155">MAXA(J51:O51)</f>
        <v>4.7601486061368092</v>
      </c>
    </row>
    <row r="52" spans="1:17">
      <c r="A52" s="199">
        <f t="shared" ref="A52" si="156">YEAR(H52)+IF(MONTH(H52)&gt;=4,1,0)</f>
        <v>2026</v>
      </c>
      <c r="B52" s="200">
        <f t="shared" ref="B52" si="157">YEAR(H52)</f>
        <v>2025</v>
      </c>
      <c r="C52" s="181">
        <f>YEAR(Table12[[#This Row],[Date]])</f>
        <v>2025</v>
      </c>
      <c r="D52" s="181" t="s">
        <v>155</v>
      </c>
      <c r="E52" s="181" t="s">
        <v>155</v>
      </c>
      <c r="F52" s="182">
        <v>45778</v>
      </c>
      <c r="G52" s="181">
        <f t="shared" ref="G52" si="158">DAY(EOMONTH(F52,0))</f>
        <v>31</v>
      </c>
      <c r="H52" s="183">
        <f t="shared" si="70"/>
        <v>45794</v>
      </c>
      <c r="I52" s="184">
        <f>'Modelling New'!$AQ$1</f>
        <v>11.72</v>
      </c>
      <c r="J52" s="25">
        <f>'Raw Data'!K53/J$1</f>
        <v>4.5725641122388661</v>
      </c>
      <c r="K52" s="25">
        <f>'Raw Data'!L53/K$1</f>
        <v>4.5327773415287975</v>
      </c>
      <c r="L52" s="25">
        <f>'Raw Data'!M53/L$1</f>
        <v>4.3804104766754488</v>
      </c>
      <c r="M52" s="25">
        <f>'Raw Data'!N53/M$1</f>
        <v>4.7492173630215886</v>
      </c>
      <c r="N52" s="25">
        <f>'Raw Data'!O53/N$1</f>
        <v>4.7126263238792045</v>
      </c>
      <c r="O52" s="25">
        <f>'Raw Data'!P53/O$1</f>
        <v>4.6801980198019804</v>
      </c>
      <c r="P52" s="25">
        <f t="shared" ref="P52" si="159">IFERROR(AVERAGEIF(J52:O52,"&gt;"&amp;0,J52:O52),"")</f>
        <v>4.6046322728576481</v>
      </c>
      <c r="Q52" s="25">
        <f t="shared" ref="Q52" si="160">MAXA(J52:O52)</f>
        <v>4.7492173630215886</v>
      </c>
    </row>
    <row r="53" spans="1:17">
      <c r="A53" s="199">
        <f t="shared" ref="A53" si="161">YEAR(H53)+IF(MONTH(H53)&gt;=4,1,0)</f>
        <v>2026</v>
      </c>
      <c r="B53" s="200">
        <f t="shared" ref="B53" si="162">YEAR(H53)</f>
        <v>2025</v>
      </c>
      <c r="C53" s="181">
        <f>YEAR(Table12[[#This Row],[Date]])</f>
        <v>2025</v>
      </c>
      <c r="D53" s="181" t="s">
        <v>155</v>
      </c>
      <c r="E53" s="181" t="s">
        <v>155</v>
      </c>
      <c r="F53" s="182">
        <v>45778</v>
      </c>
      <c r="G53" s="181">
        <f t="shared" ref="G53" si="163">DAY(EOMONTH(F53,0))</f>
        <v>31</v>
      </c>
      <c r="H53" s="183">
        <f t="shared" si="70"/>
        <v>45795</v>
      </c>
      <c r="I53" s="184">
        <f>'Modelling New'!$AQ$1</f>
        <v>11.72</v>
      </c>
      <c r="J53" s="25">
        <f>'Raw Data'!K54/J$1</f>
        <v>3.7922750883547778</v>
      </c>
      <c r="K53" s="25">
        <f>'Raw Data'!L54/K$1</f>
        <v>3.798730310333029</v>
      </c>
      <c r="L53" s="25">
        <f>'Raw Data'!M54/L$1</f>
        <v>3.6619655943498572</v>
      </c>
      <c r="M53" s="25">
        <f>'Raw Data'!N54/M$1</f>
        <v>3.8829635853582514</v>
      </c>
      <c r="N53" s="25">
        <f>'Raw Data'!O54/N$1</f>
        <v>3.8765311704094589</v>
      </c>
      <c r="O53" s="25">
        <f>'Raw Data'!P54/O$1</f>
        <v>3.8960396039603959</v>
      </c>
      <c r="P53" s="25">
        <f t="shared" ref="P53" si="164">IFERROR(AVERAGEIF(J53:O53,"&gt;"&amp;0,J53:O53),"")</f>
        <v>3.8180842254609622</v>
      </c>
      <c r="Q53" s="25">
        <f t="shared" ref="Q53" si="165">MAXA(J53:O53)</f>
        <v>3.8960396039603959</v>
      </c>
    </row>
    <row r="54" spans="1:17">
      <c r="A54" s="199">
        <f t="shared" ref="A54" si="166">YEAR(H54)+IF(MONTH(H54)&gt;=4,1,0)</f>
        <v>2026</v>
      </c>
      <c r="B54" s="200">
        <f t="shared" ref="B54" si="167">YEAR(H54)</f>
        <v>2025</v>
      </c>
      <c r="C54" s="181">
        <f>YEAR(Table12[[#This Row],[Date]])</f>
        <v>2025</v>
      </c>
      <c r="D54" s="181" t="s">
        <v>155</v>
      </c>
      <c r="E54" s="181" t="s">
        <v>155</v>
      </c>
      <c r="F54" s="182">
        <v>45778</v>
      </c>
      <c r="G54" s="181">
        <f t="shared" ref="G54" si="168">DAY(EOMONTH(F54,0))</f>
        <v>31</v>
      </c>
      <c r="H54" s="183">
        <f t="shared" si="70"/>
        <v>45796</v>
      </c>
      <c r="I54" s="184">
        <f>'Modelling New'!$AQ$1</f>
        <v>11.72</v>
      </c>
      <c r="J54" s="25">
        <f>'Raw Data'!K55/J$1</f>
        <v>2.2850243368675245</v>
      </c>
      <c r="K54" s="25">
        <f>'Raw Data'!L55/K$1</f>
        <v>2.3547598592953443</v>
      </c>
      <c r="L54" s="25">
        <f>'Raw Data'!M55/L$1</f>
        <v>2.2981380211216154</v>
      </c>
      <c r="M54" s="25">
        <f>'Raw Data'!N55/M$1</f>
        <v>2.3618696553686864</v>
      </c>
      <c r="N54" s="25">
        <f>'Raw Data'!O55/N$1</f>
        <v>2.3127510698701306</v>
      </c>
      <c r="O54" s="25">
        <f>'Raw Data'!P55/O$1</f>
        <v>2.2896039603960396</v>
      </c>
      <c r="P54" s="25">
        <f t="shared" ref="P54" si="169">IFERROR(AVERAGEIF(J54:O54,"&gt;"&amp;0,J54:O54),"")</f>
        <v>2.3170244838198903</v>
      </c>
      <c r="Q54" s="25">
        <f t="shared" ref="Q54" si="170">MAXA(J54:O54)</f>
        <v>2.3618696553686864</v>
      </c>
    </row>
    <row r="55" spans="1:17">
      <c r="A55" s="199">
        <f t="shared" ref="A55" si="171">YEAR(H55)+IF(MONTH(H55)&gt;=4,1,0)</f>
        <v>2026</v>
      </c>
      <c r="B55" s="200">
        <f t="shared" ref="B55" si="172">YEAR(H55)</f>
        <v>2025</v>
      </c>
      <c r="C55" s="181">
        <f>YEAR(Table12[[#This Row],[Date]])</f>
        <v>2025</v>
      </c>
      <c r="D55" s="181" t="s">
        <v>155</v>
      </c>
      <c r="E55" s="181" t="s">
        <v>155</v>
      </c>
      <c r="F55" s="182">
        <v>45778</v>
      </c>
      <c r="G55" s="181">
        <f t="shared" ref="G55" si="173">DAY(EOMONTH(F55,0))</f>
        <v>31</v>
      </c>
      <c r="H55" s="183">
        <f t="shared" si="70"/>
        <v>45797</v>
      </c>
      <c r="I55" s="184">
        <f>'Modelling New'!$AQ$1</f>
        <v>11.72</v>
      </c>
      <c r="J55" s="25">
        <f>'Raw Data'!K56/J$1</f>
        <v>3.3540857009898253</v>
      </c>
      <c r="K55" s="25">
        <f>'Raw Data'!L56/K$1</f>
        <v>3.2881959231096811</v>
      </c>
      <c r="L55" s="25">
        <f>'Raw Data'!M56/L$1</f>
        <v>3.1931498660526492</v>
      </c>
      <c r="M55" s="25">
        <f>'Raw Data'!N56/M$1</f>
        <v>3.42490073046118</v>
      </c>
      <c r="N55" s="25">
        <f>'Raw Data'!O56/N$1</f>
        <v>3.4057635617950552</v>
      </c>
      <c r="O55" s="25">
        <f>'Raw Data'!P56/O$1</f>
        <v>3.4475247524752475</v>
      </c>
      <c r="P55" s="25">
        <f t="shared" ref="P55" si="174">IFERROR(AVERAGEIF(J55:O55,"&gt;"&amp;0,J55:O55),"")</f>
        <v>3.352270089147273</v>
      </c>
      <c r="Q55" s="25">
        <f t="shared" ref="Q55" si="175">MAXA(J55:O55)</f>
        <v>3.4475247524752475</v>
      </c>
    </row>
    <row r="56" spans="1:17">
      <c r="A56" s="199">
        <f t="shared" ref="A56" si="176">YEAR(H56)+IF(MONTH(H56)&gt;=4,1,0)</f>
        <v>2026</v>
      </c>
      <c r="B56" s="200">
        <f t="shared" ref="B56" si="177">YEAR(H56)</f>
        <v>2025</v>
      </c>
      <c r="C56" s="181">
        <f>YEAR(Table12[[#This Row],[Date]])</f>
        <v>2025</v>
      </c>
      <c r="D56" s="181" t="s">
        <v>155</v>
      </c>
      <c r="E56" s="181" t="s">
        <v>155</v>
      </c>
      <c r="F56" s="182">
        <v>45778</v>
      </c>
      <c r="G56" s="181">
        <f t="shared" ref="G56" si="178">DAY(EOMONTH(F56,0))</f>
        <v>31</v>
      </c>
      <c r="H56" s="183">
        <f t="shared" si="70"/>
        <v>45798</v>
      </c>
      <c r="I56" s="184">
        <f>'Modelling New'!$AQ$1</f>
        <v>11.72</v>
      </c>
      <c r="J56" s="25">
        <f>'Raw Data'!K57/J$1</f>
        <v>2.136613465142311</v>
      </c>
      <c r="K56" s="25">
        <f>'Raw Data'!L57/K$1</f>
        <v>2.1317395339219822</v>
      </c>
      <c r="L56" s="25">
        <f>'Raw Data'!M57/L$1</f>
        <v>2.1038590121106115</v>
      </c>
      <c r="M56" s="25">
        <f>'Raw Data'!N57/M$1</f>
        <v>2.1493718575939504</v>
      </c>
      <c r="N56" s="25">
        <f>'Raw Data'!O57/N$1</f>
        <v>2.1553335098918125</v>
      </c>
      <c r="O56" s="25">
        <f>'Raw Data'!P57/O$1</f>
        <v>2.1470297029702969</v>
      </c>
      <c r="P56" s="25">
        <f t="shared" ref="P56" si="179">IFERROR(AVERAGEIF(J56:O56,"&gt;"&amp;0,J56:O56),"")</f>
        <v>2.1373245136051606</v>
      </c>
      <c r="Q56" s="25">
        <f t="shared" ref="Q56" si="180">MAXA(J56:O56)</f>
        <v>2.1553335098918125</v>
      </c>
    </row>
    <row r="57" spans="1:17">
      <c r="A57" s="199">
        <f t="shared" ref="A57" si="181">YEAR(H57)+IF(MONTH(H57)&gt;=4,1,0)</f>
        <v>2026</v>
      </c>
      <c r="B57" s="200">
        <f t="shared" ref="B57" si="182">YEAR(H57)</f>
        <v>2025</v>
      </c>
      <c r="C57" s="181">
        <f>YEAR(Table12[[#This Row],[Date]])</f>
        <v>2025</v>
      </c>
      <c r="D57" s="181" t="s">
        <v>155</v>
      </c>
      <c r="E57" s="181" t="s">
        <v>155</v>
      </c>
      <c r="F57" s="182">
        <v>45778</v>
      </c>
      <c r="G57" s="181">
        <f t="shared" ref="G57" si="183">DAY(EOMONTH(F57,0))</f>
        <v>31</v>
      </c>
      <c r="H57" s="183">
        <f t="shared" si="70"/>
        <v>45799</v>
      </c>
      <c r="I57" s="184">
        <f>'Modelling New'!$AQ$1</f>
        <v>11.72</v>
      </c>
      <c r="J57" s="25">
        <f>'Raw Data'!K58/J$1</f>
        <v>3.8546579632494438</v>
      </c>
      <c r="K57" s="25">
        <f>'Raw Data'!L58/K$1</f>
        <v>4.028643096093206</v>
      </c>
      <c r="L57" s="25">
        <f>'Raw Data'!M58/L$1</f>
        <v>3.2451790023689862</v>
      </c>
      <c r="M57" s="25">
        <f>'Raw Data'!N58/M$1</f>
        <v>4.2049627993332344</v>
      </c>
      <c r="N57" s="25">
        <f>'Raw Data'!O58/N$1</f>
        <v>4.138893770373322</v>
      </c>
      <c r="O57" s="25">
        <f>'Raw Data'!P58/O$1</f>
        <v>4.1227722772277229</v>
      </c>
      <c r="P57" s="25">
        <f t="shared" ref="P57" si="184">IFERROR(AVERAGEIF(J57:O57,"&gt;"&amp;0,J57:O57),"")</f>
        <v>3.9325181514409855</v>
      </c>
      <c r="Q57" s="25">
        <f t="shared" ref="Q57" si="185">MAXA(J57:O57)</f>
        <v>4.2049627993332344</v>
      </c>
    </row>
    <row r="58" spans="1:17">
      <c r="A58" s="199">
        <f t="shared" ref="A58" si="186">YEAR(H58)+IF(MONTH(H58)&gt;=4,1,0)</f>
        <v>2026</v>
      </c>
      <c r="B58" s="200">
        <f t="shared" ref="B58" si="187">YEAR(H58)</f>
        <v>2025</v>
      </c>
      <c r="C58" s="181">
        <f>YEAR(Table12[[#This Row],[Date]])</f>
        <v>2025</v>
      </c>
      <c r="D58" s="181" t="s">
        <v>155</v>
      </c>
      <c r="E58" s="181" t="s">
        <v>155</v>
      </c>
      <c r="F58" s="182">
        <v>45778</v>
      </c>
      <c r="G58" s="181">
        <f t="shared" ref="G58" si="188">DAY(EOMONTH(F58,0))</f>
        <v>31</v>
      </c>
      <c r="H58" s="183">
        <f t="shared" si="70"/>
        <v>45800</v>
      </c>
      <c r="I58" s="184">
        <f>'Modelling New'!$AQ$1</f>
        <v>11.72</v>
      </c>
      <c r="J58" s="25">
        <f>'Raw Data'!K59/J$1</f>
        <v>4.332088191273944</v>
      </c>
      <c r="K58" s="25">
        <f>'Raw Data'!L59/K$1</f>
        <v>4.1507381086596382</v>
      </c>
      <c r="L58" s="25">
        <f>'Raw Data'!M59/L$1</f>
        <v>3.8855801802200722</v>
      </c>
      <c r="M58" s="25">
        <f>'Raw Data'!N59/M$1</f>
        <v>4.4223393730772882</v>
      </c>
      <c r="N58" s="25">
        <f>'Raw Data'!O59/N$1</f>
        <v>4.335418208459461</v>
      </c>
      <c r="O58" s="25">
        <f>'Raw Data'!P59/O$1</f>
        <v>4.5108910891089105</v>
      </c>
      <c r="P58" s="25">
        <f t="shared" ref="P58" si="189">IFERROR(AVERAGEIF(J58:O58,"&gt;"&amp;0,J58:O58),"")</f>
        <v>4.2728425251332185</v>
      </c>
      <c r="Q58" s="25">
        <f t="shared" ref="Q58" si="190">MAXA(J58:O58)</f>
        <v>4.5108910891089105</v>
      </c>
    </row>
    <row r="59" spans="1:17">
      <c r="A59" s="199">
        <f t="shared" ref="A59" si="191">YEAR(H59)+IF(MONTH(H59)&gt;=4,1,0)</f>
        <v>2026</v>
      </c>
      <c r="B59" s="200">
        <f t="shared" ref="B59" si="192">YEAR(H59)</f>
        <v>2025</v>
      </c>
      <c r="C59" s="181">
        <f>YEAR(Table12[[#This Row],[Date]])</f>
        <v>2025</v>
      </c>
      <c r="D59" s="181" t="s">
        <v>155</v>
      </c>
      <c r="E59" s="181" t="s">
        <v>155</v>
      </c>
      <c r="F59" s="182">
        <v>45778</v>
      </c>
      <c r="G59" s="181">
        <f t="shared" ref="G59" si="193">DAY(EOMONTH(F59,0))</f>
        <v>31</v>
      </c>
      <c r="H59" s="183">
        <f t="shared" si="70"/>
        <v>45801</v>
      </c>
      <c r="I59" s="184">
        <f>'Modelling New'!$AQ$1</f>
        <v>11.72</v>
      </c>
      <c r="J59" s="25">
        <f>'Raw Data'!K60/J$1</f>
        <v>2.5798337295148976</v>
      </c>
      <c r="K59" s="25">
        <f>'Raw Data'!L60/K$1</f>
        <v>2.5718723614800081</v>
      </c>
      <c r="L59" s="25">
        <f>'Raw Data'!M60/L$1</f>
        <v>2.5488741780503466</v>
      </c>
      <c r="M59" s="25">
        <f>'Raw Data'!N60/M$1</f>
        <v>2.5884616948325632</v>
      </c>
      <c r="N59" s="25">
        <f>'Raw Data'!O60/N$1</f>
        <v>2.5548176951198083</v>
      </c>
      <c r="O59" s="25">
        <f>'Raw Data'!P60/O$1</f>
        <v>2.6143564356435642</v>
      </c>
      <c r="P59" s="25">
        <f t="shared" ref="P59" si="194">IFERROR(AVERAGEIF(J59:O59,"&gt;"&amp;0,J59:O59),"")</f>
        <v>2.5763693491068649</v>
      </c>
      <c r="Q59" s="25">
        <f t="shared" ref="Q59" si="195">MAXA(J59:O59)</f>
        <v>2.6143564356435642</v>
      </c>
    </row>
    <row r="60" spans="1:17">
      <c r="A60" s="199">
        <f t="shared" ref="A60" si="196">YEAR(H60)+IF(MONTH(H60)&gt;=4,1,0)</f>
        <v>2026</v>
      </c>
      <c r="B60" s="200">
        <f t="shared" ref="B60" si="197">YEAR(H60)</f>
        <v>2025</v>
      </c>
      <c r="C60" s="181">
        <f>YEAR(Table12[[#This Row],[Date]])</f>
        <v>2025</v>
      </c>
      <c r="D60" s="181" t="s">
        <v>155</v>
      </c>
      <c r="E60" s="181" t="s">
        <v>155</v>
      </c>
      <c r="F60" s="182">
        <v>45778</v>
      </c>
      <c r="G60" s="181">
        <f t="shared" ref="G60" si="198">DAY(EOMONTH(F60,0))</f>
        <v>31</v>
      </c>
      <c r="H60" s="183">
        <f t="shared" si="70"/>
        <v>45802</v>
      </c>
      <c r="I60" s="184">
        <f>'Modelling New'!$AQ$1</f>
        <v>11.72</v>
      </c>
      <c r="J60" s="25">
        <f>'Raw Data'!K61/J$1</f>
        <v>3.2655422656554607</v>
      </c>
      <c r="K60" s="25">
        <f>'Raw Data'!L61/K$1</f>
        <v>3.3551512525815959</v>
      </c>
      <c r="L60" s="25">
        <f>'Raw Data'!M61/L$1</f>
        <v>3.2385369849669003</v>
      </c>
      <c r="M60" s="25">
        <f>'Raw Data'!N61/M$1</f>
        <v>3.328951469731261</v>
      </c>
      <c r="N60" s="25">
        <f>'Raw Data'!O61/N$1</f>
        <v>3.1859730063536302</v>
      </c>
      <c r="O60" s="25">
        <f>'Raw Data'!P61/O$1</f>
        <v>3.3064356435643565</v>
      </c>
      <c r="P60" s="25">
        <f t="shared" ref="P60" si="199">IFERROR(AVERAGEIF(J60:O60,"&gt;"&amp;0,J60:O60),"")</f>
        <v>3.2800984371422008</v>
      </c>
      <c r="Q60" s="25">
        <f t="shared" ref="Q60" si="200">MAXA(J60:O60)</f>
        <v>3.3551512525815959</v>
      </c>
    </row>
    <row r="61" spans="1:17">
      <c r="A61" s="199">
        <f t="shared" ref="A61" si="201">YEAR(H61)+IF(MONTH(H61)&gt;=4,1,0)</f>
        <v>2026</v>
      </c>
      <c r="B61" s="200">
        <f t="shared" ref="B61" si="202">YEAR(H61)</f>
        <v>2025</v>
      </c>
      <c r="C61" s="181">
        <f>YEAR(Table12[[#This Row],[Date]])</f>
        <v>2025</v>
      </c>
      <c r="D61" s="181" t="s">
        <v>155</v>
      </c>
      <c r="E61" s="181" t="s">
        <v>155</v>
      </c>
      <c r="F61" s="182">
        <v>45778</v>
      </c>
      <c r="G61" s="181">
        <f t="shared" ref="G61" si="203">DAY(EOMONTH(F61,0))</f>
        <v>31</v>
      </c>
      <c r="H61" s="183">
        <f t="shared" si="70"/>
        <v>45803</v>
      </c>
      <c r="I61" s="184">
        <f>'Modelling New'!$AQ$1</f>
        <v>11.72</v>
      </c>
      <c r="J61" s="25">
        <f>'Raw Data'!K62/J$1</f>
        <v>2.2075488309499556</v>
      </c>
      <c r="K61" s="25">
        <f>'Raw Data'!L62/K$1</f>
        <v>2.2592500510780549</v>
      </c>
      <c r="L61" s="25">
        <f>'Raw Data'!M62/L$1</f>
        <v>2.2261828325990214</v>
      </c>
      <c r="M61" s="25">
        <f>'Raw Data'!N62/M$1</f>
        <v>2.2312268766347287</v>
      </c>
      <c r="N61" s="25">
        <f>'Raw Data'!O62/N$1</f>
        <v>2.2127562676197523</v>
      </c>
      <c r="O61" s="25">
        <f>'Raw Data'!P62/O$1</f>
        <v>2.1955445544554455</v>
      </c>
      <c r="P61" s="25">
        <f t="shared" ref="P61" si="204">IFERROR(AVERAGEIF(J61:O61,"&gt;"&amp;0,J61:O61),"")</f>
        <v>2.2220849022228264</v>
      </c>
      <c r="Q61" s="25">
        <f t="shared" ref="Q61" si="205">MAXA(J61:O61)</f>
        <v>2.2592500510780549</v>
      </c>
    </row>
    <row r="62" spans="1:17">
      <c r="A62" s="199">
        <f t="shared" ref="A62" si="206">YEAR(H62)+IF(MONTH(H62)&gt;=4,1,0)</f>
        <v>2026</v>
      </c>
      <c r="B62" s="200">
        <f t="shared" ref="B62" si="207">YEAR(H62)</f>
        <v>2025</v>
      </c>
      <c r="C62" s="181">
        <f>YEAR(Table12[[#This Row],[Date]])</f>
        <v>2025</v>
      </c>
      <c r="D62" s="181" t="s">
        <v>155</v>
      </c>
      <c r="E62" s="181" t="s">
        <v>155</v>
      </c>
      <c r="F62" s="182">
        <v>45778</v>
      </c>
      <c r="G62" s="181">
        <f t="shared" ref="G62" si="208">DAY(EOMONTH(F62,0))</f>
        <v>31</v>
      </c>
      <c r="H62" s="183">
        <f t="shared" si="70"/>
        <v>45804</v>
      </c>
      <c r="I62" s="184">
        <f>'Modelling New'!$AQ$1</f>
        <v>11.72</v>
      </c>
      <c r="J62" s="25">
        <f>'Raw Data'!K63/J$1</f>
        <v>2.2120766202568265</v>
      </c>
      <c r="K62" s="25">
        <f>'Raw Data'!L63/K$1</f>
        <v>2.198694863393897</v>
      </c>
      <c r="L62" s="25">
        <f>'Raw Data'!M63/L$1</f>
        <v>2.1630836672792082</v>
      </c>
      <c r="M62" s="25">
        <f>'Raw Data'!N63/M$1</f>
        <v>2.2263481006654109</v>
      </c>
      <c r="N62" s="25">
        <f>'Raw Data'!O63/N$1</f>
        <v>2.261763621197908</v>
      </c>
      <c r="O62" s="25">
        <f>'Raw Data'!P63/O$1</f>
        <v>2.2415841584158418</v>
      </c>
      <c r="P62" s="25">
        <f t="shared" ref="P62" si="209">IFERROR(AVERAGEIF(J62:O62,"&gt;"&amp;0,J62:O62),"")</f>
        <v>2.217258505201515</v>
      </c>
      <c r="Q62" s="25">
        <f t="shared" ref="Q62" si="210">MAXA(J62:O62)</f>
        <v>2.261763621197908</v>
      </c>
    </row>
    <row r="63" spans="1:17">
      <c r="A63" s="199">
        <f t="shared" ref="A63" si="211">YEAR(H63)+IF(MONTH(H63)&gt;=4,1,0)</f>
        <v>2026</v>
      </c>
      <c r="B63" s="200">
        <f t="shared" ref="B63" si="212">YEAR(H63)</f>
        <v>2025</v>
      </c>
      <c r="C63" s="181">
        <f>YEAR(Table12[[#This Row],[Date]])</f>
        <v>2025</v>
      </c>
      <c r="D63" s="181" t="s">
        <v>155</v>
      </c>
      <c r="E63" s="181" t="s">
        <v>155</v>
      </c>
      <c r="F63" s="182">
        <v>45778</v>
      </c>
      <c r="G63" s="181">
        <f t="shared" ref="G63" si="213">DAY(EOMONTH(F63,0))</f>
        <v>31</v>
      </c>
      <c r="H63" s="183">
        <f t="shared" si="70"/>
        <v>45805</v>
      </c>
      <c r="I63" s="184">
        <f>'Modelling New'!$AQ$1</f>
        <v>11.72</v>
      </c>
      <c r="J63" s="25">
        <f>'Raw Data'!K64/J$1</f>
        <v>1.3683985460765449</v>
      </c>
      <c r="K63" s="25">
        <f>'Raw Data'!L64/K$1</f>
        <v>1.3597839705987333</v>
      </c>
      <c r="L63" s="25">
        <f>'Raw Data'!M64/L$1</f>
        <v>1.3201009586645116</v>
      </c>
      <c r="M63" s="25">
        <f>'Raw Data'!N64/M$1</f>
        <v>1.4598381872636843</v>
      </c>
      <c r="N63" s="25">
        <f>'Raw Data'!O64/N$1</f>
        <v>1.4637852982889503</v>
      </c>
      <c r="O63" s="25">
        <f>'Raw Data'!P64/O$1</f>
        <v>1.4405940594059405</v>
      </c>
      <c r="P63" s="25">
        <f t="shared" ref="P63" si="214">IFERROR(AVERAGEIF(J63:O63,"&gt;"&amp;0,J63:O63),"")</f>
        <v>1.4020835033830608</v>
      </c>
      <c r="Q63" s="25">
        <f t="shared" ref="Q63" si="215">MAXA(J63:O63)</f>
        <v>1.4637852982889503</v>
      </c>
    </row>
    <row r="64" spans="1:17">
      <c r="A64" s="199">
        <f t="shared" ref="A64" si="216">YEAR(H64)+IF(MONTH(H64)&gt;=4,1,0)</f>
        <v>2026</v>
      </c>
      <c r="B64" s="200">
        <f t="shared" ref="B64" si="217">YEAR(H64)</f>
        <v>2025</v>
      </c>
      <c r="C64" s="181">
        <f>YEAR(Table12[[#This Row],[Date]])</f>
        <v>2025</v>
      </c>
      <c r="D64" s="181" t="s">
        <v>155</v>
      </c>
      <c r="E64" s="181" t="s">
        <v>155</v>
      </c>
      <c r="F64" s="182">
        <v>45778</v>
      </c>
      <c r="G64" s="181">
        <f t="shared" ref="G64" si="218">DAY(EOMONTH(F64,0))</f>
        <v>31</v>
      </c>
      <c r="H64" s="183">
        <f t="shared" si="70"/>
        <v>45806</v>
      </c>
      <c r="I64" s="184">
        <f>'Modelling New'!$AQ$1</f>
        <v>11.72</v>
      </c>
      <c r="J64" s="25">
        <f>'Raw Data'!K65/J$1</f>
        <v>0</v>
      </c>
      <c r="K64" s="25">
        <f>'Raw Data'!L65/K$1</f>
        <v>0</v>
      </c>
      <c r="L64" s="25">
        <f>'Raw Data'!M65/L$1</f>
        <v>0</v>
      </c>
      <c r="M64" s="25">
        <f>'Raw Data'!N65/M$1</f>
        <v>0</v>
      </c>
      <c r="N64" s="25">
        <f>'Raw Data'!O65/N$1</f>
        <v>2.5305615302174886</v>
      </c>
      <c r="O64" s="25">
        <f>'Raw Data'!P65/O$1</f>
        <v>2.5975247524752474</v>
      </c>
      <c r="P64" s="25">
        <f t="shared" ref="P64" si="219">IFERROR(AVERAGEIF(J64:O64,"&gt;"&amp;0,J64:O64),"")</f>
        <v>2.5640431413463682</v>
      </c>
      <c r="Q64" s="25">
        <f t="shared" ref="Q64" si="220">MAXA(J64:O64)</f>
        <v>2.5975247524752474</v>
      </c>
    </row>
    <row r="65" spans="1:17">
      <c r="A65" s="199">
        <f t="shared" ref="A65" si="221">YEAR(H65)+IF(MONTH(H65)&gt;=4,1,0)</f>
        <v>2026</v>
      </c>
      <c r="B65" s="200">
        <f t="shared" ref="B65" si="222">YEAR(H65)</f>
        <v>2025</v>
      </c>
      <c r="C65" s="181">
        <f>YEAR(Table12[[#This Row],[Date]])</f>
        <v>2025</v>
      </c>
      <c r="D65" s="181" t="s">
        <v>155</v>
      </c>
      <c r="E65" s="181" t="s">
        <v>155</v>
      </c>
      <c r="F65" s="182">
        <v>45778</v>
      </c>
      <c r="G65" s="181">
        <f t="shared" ref="G65" si="223">DAY(EOMONTH(F65,0))</f>
        <v>31</v>
      </c>
      <c r="H65" s="183">
        <f t="shared" si="70"/>
        <v>45807</v>
      </c>
      <c r="I65" s="184">
        <f>'Modelling New'!$AQ$1</f>
        <v>11.72</v>
      </c>
      <c r="J65" s="25">
        <f>'Raw Data'!K66/J$1</f>
        <v>0</v>
      </c>
      <c r="K65" s="25">
        <f>'Raw Data'!L66/K$1</f>
        <v>0</v>
      </c>
      <c r="L65" s="25">
        <f>'Raw Data'!M66/L$1</f>
        <v>0</v>
      </c>
      <c r="M65" s="25">
        <f>'Raw Data'!N66/M$1</f>
        <v>0</v>
      </c>
      <c r="N65" s="25">
        <f>'Raw Data'!O66/N$1</f>
        <v>4.8938050249863245</v>
      </c>
      <c r="O65" s="25">
        <f>'Raw Data'!P66/O$1</f>
        <v>4.8945544554455447</v>
      </c>
      <c r="P65" s="25">
        <f t="shared" ref="P65" si="224">IFERROR(AVERAGEIF(J65:O65,"&gt;"&amp;0,J65:O65),"")</f>
        <v>4.8941797402159342</v>
      </c>
      <c r="Q65" s="25">
        <f t="shared" ref="Q65" si="225">MAXA(J65:O65)</f>
        <v>4.8945544554455447</v>
      </c>
    </row>
    <row r="66" spans="1:17">
      <c r="A66" s="199">
        <f t="shared" ref="A66" si="226">YEAR(H66)+IF(MONTH(H66)&gt;=4,1,0)</f>
        <v>2026</v>
      </c>
      <c r="B66" s="200">
        <f t="shared" ref="B66" si="227">YEAR(H66)</f>
        <v>2025</v>
      </c>
      <c r="C66" s="181">
        <f>YEAR(Table12[[#This Row],[Date]])</f>
        <v>2025</v>
      </c>
      <c r="D66" s="181" t="s">
        <v>155</v>
      </c>
      <c r="E66" s="181" t="s">
        <v>155</v>
      </c>
      <c r="F66" s="182">
        <v>45778</v>
      </c>
      <c r="G66" s="181">
        <f t="shared" ref="G66" si="228">DAY(EOMONTH(F66,0))</f>
        <v>31</v>
      </c>
      <c r="H66" s="183">
        <f t="shared" si="70"/>
        <v>45808</v>
      </c>
      <c r="I66" s="184">
        <f>'Modelling New'!$AQ$1</f>
        <v>11.72</v>
      </c>
      <c r="J66" s="25">
        <f>'Raw Data'!K67/J$1</f>
        <v>4.9302594674816689</v>
      </c>
      <c r="K66" s="25">
        <f>'Raw Data'!L67/K$1</f>
        <v>4.8429380589354594</v>
      </c>
      <c r="L66" s="25">
        <f>'Raw Data'!M67/L$1</f>
        <v>4.6145415900989661</v>
      </c>
      <c r="M66" s="25">
        <f>'Raw Data'!N67/M$1</f>
        <v>5.1004892328124791</v>
      </c>
      <c r="N66" s="25">
        <f>'Raw Data'!O67/N$1</f>
        <v>5.3447716826600598</v>
      </c>
      <c r="O66" s="25">
        <f>'Raw Data'!P67/O$1</f>
        <v>5.2504950495049503</v>
      </c>
      <c r="P66" s="25">
        <f t="shared" ref="P66" si="229">IFERROR(AVERAGEIF(J66:O66,"&gt;"&amp;0,J66:O66),"")</f>
        <v>5.0139158469155971</v>
      </c>
      <c r="Q66" s="25">
        <f t="shared" ref="Q66" si="230">MAXA(J66:O66)</f>
        <v>5.3447716826600598</v>
      </c>
    </row>
    <row r="67" spans="1:17">
      <c r="A67" s="199">
        <f t="shared" ref="A67" si="231">YEAR(H67)+IF(MONTH(H67)&gt;=4,1,0)</f>
        <v>2026</v>
      </c>
      <c r="B67" s="200">
        <f t="shared" ref="B67" si="232">YEAR(H67)</f>
        <v>2025</v>
      </c>
      <c r="C67" s="181">
        <f>YEAR(Table12[[#This Row],[Date]])</f>
        <v>2025</v>
      </c>
      <c r="D67" s="181" t="s">
        <v>155</v>
      </c>
      <c r="E67" s="181" t="s">
        <v>155</v>
      </c>
      <c r="F67" s="182">
        <v>45809</v>
      </c>
      <c r="G67" s="181">
        <f t="shared" ref="G67" si="233">DAY(EOMONTH(F67,0))</f>
        <v>30</v>
      </c>
      <c r="H67" s="183">
        <f t="shared" si="70"/>
        <v>45809</v>
      </c>
      <c r="I67" s="184">
        <f>'Modelling New'!$AQ$1</f>
        <v>11.72</v>
      </c>
      <c r="J67" s="25">
        <f>'Raw Data'!K68/J$1</f>
        <v>5.4293224666389968</v>
      </c>
      <c r="K67" s="25">
        <f>'Raw Data'!L68/K$1</f>
        <v>5.4002427130693356</v>
      </c>
      <c r="L67" s="25">
        <f>'Raw Data'!M68/L$1</f>
        <v>5.1990391214824978</v>
      </c>
      <c r="M67" s="25">
        <f>'Raw Data'!N68/M$1</f>
        <v>5.652333003564217</v>
      </c>
      <c r="N67" s="25">
        <f>'Raw Data'!O68/N$1</f>
        <v>5.6650520641253799</v>
      </c>
      <c r="O67" s="25">
        <f>'Raw Data'!P68/O$1</f>
        <v>5.6287128712871288</v>
      </c>
      <c r="P67" s="25">
        <f t="shared" ref="P67" si="234">IFERROR(AVERAGEIF(J67:O67,"&gt;"&amp;0,J67:O67),"")</f>
        <v>5.4957837066945929</v>
      </c>
      <c r="Q67" s="25">
        <f t="shared" ref="Q67" si="235">MAXA(J67:O67)</f>
        <v>5.6650520641253799</v>
      </c>
    </row>
    <row r="68" spans="1:17">
      <c r="A68" s="199">
        <f t="shared" ref="A68:A84" si="236">YEAR(H68)+IF(MONTH(H68)&gt;=4,1,0)</f>
        <v>2026</v>
      </c>
      <c r="B68" s="200">
        <f t="shared" ref="B68:B84" si="237">YEAR(H68)</f>
        <v>2025</v>
      </c>
      <c r="C68" s="181">
        <f>YEAR(Table12[[#This Row],[Date]])</f>
        <v>2025</v>
      </c>
      <c r="D68" s="181" t="s">
        <v>155</v>
      </c>
      <c r="E68" s="181" t="s">
        <v>155</v>
      </c>
      <c r="F68" s="182">
        <v>45809</v>
      </c>
      <c r="G68" s="181">
        <f t="shared" ref="G68:G84" si="238">DAY(EOMONTH(F68,0))</f>
        <v>30</v>
      </c>
      <c r="H68" s="183">
        <f t="shared" ref="H68:H130" si="239">H67+1</f>
        <v>45810</v>
      </c>
      <c r="I68" s="184">
        <f>'Modelling New'!$AQ$1</f>
        <v>11.72</v>
      </c>
      <c r="J68" s="25">
        <f>'Raw Data'!K69/J$1</f>
        <v>4.1836773195487309</v>
      </c>
      <c r="K68" s="25">
        <f>'Raw Data'!L69/K$1</f>
        <v>4.3284651229196465</v>
      </c>
      <c r="L68" s="25">
        <f>'Raw Data'!M69/L$1</f>
        <v>4.2331790909292177</v>
      </c>
      <c r="M68" s="25">
        <f>'Raw Data'!N69/M$1</f>
        <v>4.6180324980688177</v>
      </c>
      <c r="N68" s="25">
        <f>'Raw Data'!O69/N$1</f>
        <v>4.599265879743875</v>
      </c>
      <c r="O68" s="25">
        <f>'Raw Data'!P69/O$1</f>
        <v>4.6549504950495049</v>
      </c>
      <c r="P68" s="25">
        <f t="shared" ref="P68" si="240">IFERROR(AVERAGEIF(J68:O68,"&gt;"&amp;0,J68:O68),"")</f>
        <v>4.4362617343766324</v>
      </c>
      <c r="Q68" s="25">
        <f t="shared" ref="Q68" si="241">MAXA(J68:O68)</f>
        <v>4.6549504950495049</v>
      </c>
    </row>
    <row r="69" spans="1:17">
      <c r="A69" s="199">
        <f t="shared" si="236"/>
        <v>2026</v>
      </c>
      <c r="B69" s="200">
        <f t="shared" si="237"/>
        <v>2025</v>
      </c>
      <c r="C69" s="181">
        <f>YEAR(Table12[[#This Row],[Date]])</f>
        <v>2025</v>
      </c>
      <c r="D69" s="181" t="s">
        <v>155</v>
      </c>
      <c r="E69" s="181" t="s">
        <v>155</v>
      </c>
      <c r="F69" s="182">
        <v>45809</v>
      </c>
      <c r="G69" s="181">
        <f t="shared" si="238"/>
        <v>30</v>
      </c>
      <c r="H69" s="183">
        <f t="shared" si="239"/>
        <v>45811</v>
      </c>
      <c r="I69" s="184">
        <f>'Modelling New'!$AQ$1</f>
        <v>11.72</v>
      </c>
      <c r="J69" s="25">
        <f>'Raw Data'!K70/J$1</f>
        <v>4.4633940811732007</v>
      </c>
      <c r="K69" s="25">
        <f>'Raw Data'!L70/K$1</f>
        <v>4.5125922789674116</v>
      </c>
      <c r="L69" s="25">
        <f>'Raw Data'!M70/L$1</f>
        <v>4.3510748998162372</v>
      </c>
      <c r="M69" s="25">
        <f>'Raw Data'!N70/M$1</f>
        <v>4.6787461545758857</v>
      </c>
      <c r="N69" s="25">
        <f>'Raw Data'!O70/N$1</f>
        <v>4.6245120921932275</v>
      </c>
      <c r="O69" s="25">
        <f>'Raw Data'!P70/O$1</f>
        <v>4.566336633663366</v>
      </c>
      <c r="P69" s="25">
        <f t="shared" ref="P69" si="242">IFERROR(AVERAGEIF(J69:O69,"&gt;"&amp;0,J69:O69),"")</f>
        <v>4.5327760233982213</v>
      </c>
      <c r="Q69" s="25">
        <f t="shared" ref="Q69" si="243">MAXA(J69:O69)</f>
        <v>4.6787461545758857</v>
      </c>
    </row>
    <row r="70" spans="1:17">
      <c r="A70" s="205">
        <f t="shared" si="236"/>
        <v>2026</v>
      </c>
      <c r="B70" s="206">
        <f t="shared" si="237"/>
        <v>2025</v>
      </c>
      <c r="C70" s="41">
        <f>YEAR(Table12[[#This Row],[Date]])</f>
        <v>2025</v>
      </c>
      <c r="D70" s="41" t="s">
        <v>155</v>
      </c>
      <c r="E70" s="41" t="s">
        <v>155</v>
      </c>
      <c r="F70" s="47">
        <v>45809</v>
      </c>
      <c r="G70" s="41">
        <f t="shared" si="238"/>
        <v>30</v>
      </c>
      <c r="H70" s="42">
        <f t="shared" si="239"/>
        <v>45812</v>
      </c>
      <c r="I70" s="43">
        <f>'Modelling New'!$AQ$1</f>
        <v>11.72</v>
      </c>
      <c r="J70" s="25">
        <f>'Raw Data'!K71/J$1</f>
        <v>5.2547510344740846</v>
      </c>
      <c r="K70" s="25">
        <f>'Raw Data'!L71/K$1</f>
        <v>5.1772223876959735</v>
      </c>
      <c r="L70" s="25">
        <f>'Raw Data'!M71/L$1</f>
        <v>5.0003321008701045</v>
      </c>
      <c r="M70" s="25">
        <f>'Raw Data'!N71/M$1</f>
        <v>5.5244006559243246</v>
      </c>
      <c r="N70" s="25">
        <f>'Raw Data'!O71/N$1</f>
        <v>5.6165397343207406</v>
      </c>
      <c r="O70" s="25">
        <f>'Raw Data'!P71/O$1</f>
        <v>5.4950495049504955</v>
      </c>
      <c r="P70" s="25">
        <f t="shared" ref="P70" si="244">IFERROR(AVERAGEIF(J70:O70,"&gt;"&amp;0,J70:O70),"")</f>
        <v>5.3447159030392868</v>
      </c>
      <c r="Q70" s="25">
        <f t="shared" ref="Q70" si="245">MAXA(J70:O70)</f>
        <v>5.6165397343207406</v>
      </c>
    </row>
    <row r="71" spans="1:17">
      <c r="A71" s="205">
        <f t="shared" si="236"/>
        <v>2026</v>
      </c>
      <c r="B71" s="206">
        <f t="shared" si="237"/>
        <v>2025</v>
      </c>
      <c r="C71" s="41">
        <f>YEAR(Table12[[#This Row],[Date]])</f>
        <v>2025</v>
      </c>
      <c r="D71" s="41" t="s">
        <v>155</v>
      </c>
      <c r="E71" s="41" t="s">
        <v>155</v>
      </c>
      <c r="F71" s="47">
        <v>45809</v>
      </c>
      <c r="G71" s="41">
        <f t="shared" si="238"/>
        <v>30</v>
      </c>
      <c r="H71" s="42">
        <f t="shared" si="239"/>
        <v>45813</v>
      </c>
      <c r="I71" s="43">
        <f>'Modelling New'!$AQ$1</f>
        <v>11.72</v>
      </c>
      <c r="J71" s="25">
        <f>'Raw Data'!K72/J$1</f>
        <v>2.6085097284584138</v>
      </c>
      <c r="K71" s="25">
        <f>'Raw Data'!L72/K$1</f>
        <v>2.6329198677632242</v>
      </c>
      <c r="L71" s="25">
        <f>'Raw Data'!M72/L$1</f>
        <v>2.5787632563597316</v>
      </c>
      <c r="M71" s="25">
        <f>'Raw Data'!N72/M$1</f>
        <v>2.6475490926831915</v>
      </c>
      <c r="N71" s="25">
        <f>'Raw Data'!O72/N$1</f>
        <v>2.5879842879454285</v>
      </c>
      <c r="O71" s="25">
        <f>'Raw Data'!P72/O$1</f>
        <v>2.6277227722772278</v>
      </c>
      <c r="P71" s="25">
        <f t="shared" ref="P71" si="246">IFERROR(AVERAGEIF(J71:O71,"&gt;"&amp;0,J71:O71),"")</f>
        <v>2.6139081675812026</v>
      </c>
      <c r="Q71" s="25">
        <f t="shared" ref="Q71" si="247">MAXA(J71:O71)</f>
        <v>2.6475490926831915</v>
      </c>
    </row>
    <row r="72" spans="1:17">
      <c r="A72" s="205">
        <f t="shared" si="236"/>
        <v>2026</v>
      </c>
      <c r="B72" s="206">
        <f t="shared" si="237"/>
        <v>2025</v>
      </c>
      <c r="C72" s="41">
        <f>YEAR(Table12[[#This Row],[Date]])</f>
        <v>2025</v>
      </c>
      <c r="D72" s="41" t="s">
        <v>155</v>
      </c>
      <c r="E72" s="41" t="s">
        <v>155</v>
      </c>
      <c r="F72" s="47">
        <v>45809</v>
      </c>
      <c r="G72" s="41">
        <f t="shared" si="238"/>
        <v>30</v>
      </c>
      <c r="H72" s="42">
        <f t="shared" si="239"/>
        <v>45814</v>
      </c>
      <c r="I72" s="43">
        <f>'Modelling New'!$AQ$1</f>
        <v>11.72</v>
      </c>
      <c r="J72" s="25">
        <f>'Raw Data'!K73/J$1</f>
        <v>3.320378825038675</v>
      </c>
      <c r="K72" s="25">
        <f>'Raw Data'!L73/K$1</f>
        <v>3.4004445636949496</v>
      </c>
      <c r="L72" s="25">
        <f>'Raw Data'!M73/L$1</f>
        <v>3.2584630371731573</v>
      </c>
      <c r="M72" s="25">
        <f>'Raw Data'!N73/M$1</f>
        <v>3.556085595413951</v>
      </c>
      <c r="N72" s="25">
        <f>'Raw Data'!O73/N$1</f>
        <v>3.504273292724883</v>
      </c>
      <c r="O72" s="25">
        <f>'Raw Data'!P73/O$1</f>
        <v>3.4034653465346536</v>
      </c>
      <c r="P72" s="25">
        <f t="shared" ref="P72" si="248">IFERROR(AVERAGEIF(J72:O72,"&gt;"&amp;0,J72:O72),"")</f>
        <v>3.407185110096711</v>
      </c>
      <c r="Q72" s="25">
        <f t="shared" ref="Q72" si="249">MAXA(J72:O72)</f>
        <v>3.556085595413951</v>
      </c>
    </row>
    <row r="73" spans="1:17">
      <c r="A73" s="205">
        <f t="shared" si="236"/>
        <v>2026</v>
      </c>
      <c r="B73" s="206">
        <f t="shared" si="237"/>
        <v>2025</v>
      </c>
      <c r="C73" s="41">
        <f>YEAR(Table12[[#This Row],[Date]])</f>
        <v>2025</v>
      </c>
      <c r="D73" s="41" t="s">
        <v>155</v>
      </c>
      <c r="E73" s="41" t="s">
        <v>155</v>
      </c>
      <c r="F73" s="47">
        <v>45809</v>
      </c>
      <c r="G73" s="41">
        <f t="shared" si="238"/>
        <v>30</v>
      </c>
      <c r="H73" s="42">
        <f t="shared" si="239"/>
        <v>45815</v>
      </c>
      <c r="I73" s="43">
        <f>'Modelling New'!$AQ$1</f>
        <v>11.72</v>
      </c>
      <c r="J73" s="25">
        <f>'Raw Data'!K74/J$1</f>
        <v>4.0513652542479468</v>
      </c>
      <c r="K73" s="25">
        <f>'Raw Data'!L74/K$1</f>
        <v>4.0443972912630679</v>
      </c>
      <c r="L73" s="25">
        <f>'Raw Data'!M74/L$1</f>
        <v>3.8988642150242434</v>
      </c>
      <c r="M73" s="25">
        <f>'Raw Data'!N74/M$1</f>
        <v>4.1475016601390458</v>
      </c>
      <c r="N73" s="25">
        <f>'Raw Data'!O74/N$1</f>
        <v>4.1220629620737537</v>
      </c>
      <c r="O73" s="25">
        <f>'Raw Data'!P74/O$1</f>
        <v>4.1297029702970294</v>
      </c>
      <c r="P73" s="25">
        <f t="shared" ref="P73" si="250">IFERROR(AVERAGEIF(J73:O73,"&gt;"&amp;0,J73:O73),"")</f>
        <v>4.0656490588408483</v>
      </c>
      <c r="Q73" s="25">
        <f t="shared" ref="Q73" si="251">MAXA(J73:O73)</f>
        <v>4.1475016601390458</v>
      </c>
    </row>
    <row r="74" spans="1:17">
      <c r="A74" s="205">
        <f t="shared" si="236"/>
        <v>2026</v>
      </c>
      <c r="B74" s="206">
        <f t="shared" si="237"/>
        <v>2025</v>
      </c>
      <c r="C74" s="41">
        <f>YEAR(Table12[[#This Row],[Date]])</f>
        <v>2025</v>
      </c>
      <c r="D74" s="41" t="s">
        <v>155</v>
      </c>
      <c r="E74" s="41" t="s">
        <v>155</v>
      </c>
      <c r="F74" s="47">
        <v>45809</v>
      </c>
      <c r="G74" s="41">
        <f t="shared" si="238"/>
        <v>30</v>
      </c>
      <c r="H74" s="42">
        <f t="shared" si="239"/>
        <v>45816</v>
      </c>
      <c r="I74" s="43">
        <f>'Modelling New'!$AQ$1</f>
        <v>11.72</v>
      </c>
      <c r="J74" s="25">
        <f>'Raw Data'!K75/J$1</f>
        <v>4.3431561206907396</v>
      </c>
      <c r="K74" s="25">
        <f>'Raw Data'!L75/K$1</f>
        <v>4.3358499019055197</v>
      </c>
      <c r="L74" s="25">
        <f>'Raw Data'!M75/L$1</f>
        <v>4.1036597515885491</v>
      </c>
      <c r="M74" s="25">
        <f>'Raw Data'!N75/M$1</f>
        <v>4.4662483568011497</v>
      </c>
      <c r="N74" s="25">
        <f>'Raw Data'!O75/N$1</f>
        <v>4.5032312676816302</v>
      </c>
      <c r="O74" s="25">
        <f>'Raw Data'!P75/O$1</f>
        <v>4.4549504950495047</v>
      </c>
      <c r="P74" s="25">
        <f t="shared" ref="P74" si="252">IFERROR(AVERAGEIF(J74:O74,"&gt;"&amp;0,J74:O74),"")</f>
        <v>4.3678493156195151</v>
      </c>
      <c r="Q74" s="25">
        <f t="shared" ref="Q74" si="253">MAXA(J74:O74)</f>
        <v>4.5032312676816302</v>
      </c>
    </row>
    <row r="75" spans="1:17">
      <c r="A75" s="205">
        <f t="shared" si="236"/>
        <v>2026</v>
      </c>
      <c r="B75" s="206">
        <f t="shared" si="237"/>
        <v>2025</v>
      </c>
      <c r="C75" s="41">
        <f>YEAR(Table12[[#This Row],[Date]])</f>
        <v>2025</v>
      </c>
      <c r="D75" s="41" t="s">
        <v>155</v>
      </c>
      <c r="E75" s="41" t="s">
        <v>155</v>
      </c>
      <c r="F75" s="47">
        <v>45809</v>
      </c>
      <c r="G75" s="41">
        <f t="shared" si="238"/>
        <v>30</v>
      </c>
      <c r="H75" s="42">
        <f t="shared" si="239"/>
        <v>45817</v>
      </c>
      <c r="I75" s="43">
        <f>'Modelling New'!$AQ$1</f>
        <v>11.72</v>
      </c>
      <c r="J75" s="25">
        <f>'Raw Data'!K76/J$1</f>
        <v>1.7547699002628634</v>
      </c>
      <c r="K75" s="25">
        <f>'Raw Data'!L76/K$1</f>
        <v>1.7659468148217439</v>
      </c>
      <c r="L75" s="25">
        <f>'Raw Data'!M76/L$1</f>
        <v>1.7258175216419067</v>
      </c>
      <c r="M75" s="25">
        <f>'Raw Data'!N76/M$1</f>
        <v>1.7579856076108906</v>
      </c>
      <c r="N75" s="25">
        <f>'Raw Data'!O76/N$1</f>
        <v>1.714762351461929</v>
      </c>
      <c r="O75" s="25">
        <f>'Raw Data'!P76/O$1</f>
        <v>1.7381188118811881</v>
      </c>
      <c r="P75" s="25">
        <f t="shared" ref="P75" si="254">IFERROR(AVERAGEIF(J75:O75,"&gt;"&amp;0,J75:O75),"")</f>
        <v>1.7429001679467537</v>
      </c>
      <c r="Q75" s="25">
        <f t="shared" ref="Q75" si="255">MAXA(J75:O75)</f>
        <v>1.7659468148217439</v>
      </c>
    </row>
    <row r="76" spans="1:17">
      <c r="A76" s="205">
        <f t="shared" si="236"/>
        <v>2026</v>
      </c>
      <c r="B76" s="206">
        <f t="shared" si="237"/>
        <v>2025</v>
      </c>
      <c r="C76" s="41">
        <f>YEAR(Table12[[#This Row],[Date]])</f>
        <v>2025</v>
      </c>
      <c r="D76" s="41" t="s">
        <v>155</v>
      </c>
      <c r="E76" s="41" t="s">
        <v>155</v>
      </c>
      <c r="F76" s="47">
        <v>45809</v>
      </c>
      <c r="G76" s="41">
        <f t="shared" si="238"/>
        <v>30</v>
      </c>
      <c r="H76" s="42">
        <f t="shared" si="239"/>
        <v>45818</v>
      </c>
      <c r="I76" s="43">
        <f>'Modelling New'!$AQ$1</f>
        <v>11.72</v>
      </c>
      <c r="J76" s="25">
        <f>'Raw Data'!K77/J$1</f>
        <v>1.183765359896364</v>
      </c>
      <c r="K76" s="25">
        <f>'Raw Data'!L77/K$1</f>
        <v>1.1628565309754555</v>
      </c>
      <c r="L76" s="25">
        <f>'Raw Data'!M77/L$1</f>
        <v>1.1656740540660215</v>
      </c>
      <c r="M76" s="25">
        <f>'Raw Data'!N77/M$1</f>
        <v>1.1784954396996843</v>
      </c>
      <c r="N76" s="25">
        <f>'Raw Data'!O77/N$1</f>
        <v>1.1633058677642993</v>
      </c>
      <c r="O76" s="25">
        <f>'Raw Data'!P77/O$1</f>
        <v>1.1841584158415841</v>
      </c>
      <c r="P76" s="25">
        <f t="shared" ref="P76" si="256">IFERROR(AVERAGEIF(J76:O76,"&gt;"&amp;0,J76:O76),"")</f>
        <v>1.1730426113739016</v>
      </c>
      <c r="Q76" s="25">
        <f t="shared" ref="Q76" si="257">MAXA(J76:O76)</f>
        <v>1.1841584158415841</v>
      </c>
    </row>
    <row r="77" spans="1:17">
      <c r="A77" s="205">
        <f t="shared" si="236"/>
        <v>2026</v>
      </c>
      <c r="B77" s="206">
        <f t="shared" si="237"/>
        <v>2025</v>
      </c>
      <c r="C77" s="41">
        <f>YEAR(Table12[[#This Row],[Date]])</f>
        <v>2025</v>
      </c>
      <c r="D77" s="41" t="s">
        <v>155</v>
      </c>
      <c r="E77" s="41" t="s">
        <v>155</v>
      </c>
      <c r="F77" s="47">
        <v>45809</v>
      </c>
      <c r="G77" s="41">
        <f t="shared" si="238"/>
        <v>30</v>
      </c>
      <c r="H77" s="42">
        <f t="shared" si="239"/>
        <v>45819</v>
      </c>
      <c r="I77" s="43">
        <f>'Modelling New'!$AQ$1</f>
        <v>11.72</v>
      </c>
      <c r="J77" s="25">
        <f>'Raw Data'!K78/J$1</f>
        <v>2.37809556150876</v>
      </c>
      <c r="K77" s="25">
        <f>'Raw Data'!L78/K$1</f>
        <v>2.3808527450454289</v>
      </c>
      <c r="L77" s="25">
        <f>'Raw Data'!M78/L$1</f>
        <v>2.3562556733898643</v>
      </c>
      <c r="M77" s="25">
        <f>'Raw Data'!N78/M$1</f>
        <v>2.3981894320291643</v>
      </c>
      <c r="N77" s="25">
        <f>'Raw Data'!O78/N$1</f>
        <v>2.3681937325040034</v>
      </c>
      <c r="O77" s="25">
        <f>'Raw Data'!P78/O$1</f>
        <v>2.4059405940594059</v>
      </c>
      <c r="P77" s="25">
        <f t="shared" ref="P77" si="258">IFERROR(AVERAGEIF(J77:O77,"&gt;"&amp;0,J77:O77),"")</f>
        <v>2.3812546230894376</v>
      </c>
      <c r="Q77" s="25">
        <f t="shared" ref="Q77" si="259">MAXA(J77:O77)</f>
        <v>2.4059405940594059</v>
      </c>
    </row>
    <row r="78" spans="1:17">
      <c r="A78" s="205">
        <f t="shared" si="236"/>
        <v>2026</v>
      </c>
      <c r="B78" s="206">
        <f t="shared" si="237"/>
        <v>2025</v>
      </c>
      <c r="C78" s="41">
        <f>YEAR(Table12[[#This Row],[Date]])</f>
        <v>2025</v>
      </c>
      <c r="D78" s="41" t="s">
        <v>155</v>
      </c>
      <c r="E78" s="41" t="s">
        <v>155</v>
      </c>
      <c r="F78" s="47">
        <v>45809</v>
      </c>
      <c r="G78" s="41">
        <f t="shared" si="238"/>
        <v>30</v>
      </c>
      <c r="H78" s="42">
        <f t="shared" si="239"/>
        <v>45820</v>
      </c>
      <c r="I78" s="43">
        <f>'Modelling New'!$AQ$1</f>
        <v>11.72</v>
      </c>
      <c r="J78" s="25">
        <f>'Raw Data'!K79/J$1</f>
        <v>3.5638732722081778</v>
      </c>
      <c r="K78" s="25">
        <f>'Raw Data'!L79/K$1</f>
        <v>3.6126338798890316</v>
      </c>
      <c r="L78" s="25">
        <f>'Raw Data'!M79/L$1</f>
        <v>3.4909336462461531</v>
      </c>
      <c r="M78" s="25">
        <f>'Raw Data'!N79/M$1</f>
        <v>3.6281830625160936</v>
      </c>
      <c r="N78" s="25">
        <f>'Raw Data'!O79/N$1</f>
        <v>3.6047631187487781</v>
      </c>
      <c r="O78" s="25">
        <f>'Raw Data'!P79/O$1</f>
        <v>3.6242574257425741</v>
      </c>
      <c r="P78" s="25">
        <f t="shared" ref="P78" si="260">IFERROR(AVERAGEIF(J78:O78,"&gt;"&amp;0,J78:O78),"")</f>
        <v>3.5874407342251349</v>
      </c>
      <c r="Q78" s="25">
        <f t="shared" ref="Q78" si="261">MAXA(J78:O78)</f>
        <v>3.6281830625160936</v>
      </c>
    </row>
    <row r="79" spans="1:17">
      <c r="A79" s="205">
        <f t="shared" si="236"/>
        <v>2026</v>
      </c>
      <c r="B79" s="206">
        <f t="shared" si="237"/>
        <v>2025</v>
      </c>
      <c r="C79" s="41">
        <f>YEAR(Table12[[#This Row],[Date]])</f>
        <v>2025</v>
      </c>
      <c r="D79" s="41" t="s">
        <v>155</v>
      </c>
      <c r="E79" s="41" t="s">
        <v>155</v>
      </c>
      <c r="F79" s="47">
        <v>45809</v>
      </c>
      <c r="G79" s="41">
        <f t="shared" si="238"/>
        <v>30</v>
      </c>
      <c r="H79" s="42">
        <f t="shared" si="239"/>
        <v>45821</v>
      </c>
      <c r="I79" s="43">
        <f>'Modelling New'!$AQ$1</f>
        <v>11.72</v>
      </c>
      <c r="J79" s="25">
        <f>'Raw Data'!K80/J$1</f>
        <v>2.2991107924889009</v>
      </c>
      <c r="K79" s="25">
        <f>'Raw Data'!L80/K$1</f>
        <v>2.331128566540551</v>
      </c>
      <c r="L79" s="25">
        <f>'Raw Data'!M80/L$1</f>
        <v>2.2527509022073637</v>
      </c>
      <c r="M79" s="25">
        <f>'Raw Data'!N80/M$1</f>
        <v>2.3358495168656574</v>
      </c>
      <c r="N79" s="25">
        <f>'Raw Data'!O80/N$1</f>
        <v>2.3162162362847476</v>
      </c>
      <c r="O79" s="25">
        <f>'Raw Data'!P80/O$1</f>
        <v>2.3272277227722773</v>
      </c>
      <c r="P79" s="25">
        <f t="shared" ref="P79" si="262">IFERROR(AVERAGEIF(J79:O79,"&gt;"&amp;0,J79:O79),"")</f>
        <v>2.3103806228599164</v>
      </c>
      <c r="Q79" s="25">
        <f t="shared" ref="Q79" si="263">MAXA(J79:O79)</f>
        <v>2.3358495168656574</v>
      </c>
    </row>
    <row r="80" spans="1:17">
      <c r="A80" s="205">
        <f t="shared" si="236"/>
        <v>2026</v>
      </c>
      <c r="B80" s="206">
        <f t="shared" si="237"/>
        <v>2025</v>
      </c>
      <c r="C80" s="41">
        <f>YEAR(Table12[[#This Row],[Date]])</f>
        <v>2025</v>
      </c>
      <c r="D80" s="41" t="s">
        <v>155</v>
      </c>
      <c r="E80" s="41" t="s">
        <v>155</v>
      </c>
      <c r="F80" s="47">
        <v>45809</v>
      </c>
      <c r="G80" s="41">
        <f t="shared" si="238"/>
        <v>30</v>
      </c>
      <c r="H80" s="42">
        <f t="shared" si="239"/>
        <v>45822</v>
      </c>
      <c r="I80" s="43">
        <f>'Modelling New'!$AQ$1</f>
        <v>11.72</v>
      </c>
      <c r="J80" s="25">
        <f>'Raw Data'!K81/J$1</f>
        <v>3.3535826132890616</v>
      </c>
      <c r="K80" s="25">
        <f>'Raw Data'!L81/K$1</f>
        <v>3.4221065820535101</v>
      </c>
      <c r="L80" s="25">
        <f>'Raw Data'!M81/L$1</f>
        <v>3.2590165386233312</v>
      </c>
      <c r="M80" s="25">
        <f>'Raw Data'!N81/M$1</f>
        <v>3.4314057650869372</v>
      </c>
      <c r="N80" s="25">
        <f>'Raw Data'!O81/N$1</f>
        <v>3.3879427059484533</v>
      </c>
      <c r="O80" s="25">
        <f>'Raw Data'!P81/O$1</f>
        <v>3.4202970297029704</v>
      </c>
      <c r="P80" s="25">
        <f t="shared" ref="P80" si="264">IFERROR(AVERAGEIF(J80:O80,"&gt;"&amp;0,J80:O80),"")</f>
        <v>3.3790585391173771</v>
      </c>
      <c r="Q80" s="25">
        <f t="shared" ref="Q80" si="265">MAXA(J80:O80)</f>
        <v>3.4314057650869372</v>
      </c>
    </row>
    <row r="81" spans="1:17">
      <c r="A81" s="205">
        <f t="shared" si="236"/>
        <v>2026</v>
      </c>
      <c r="B81" s="206">
        <f t="shared" si="237"/>
        <v>2025</v>
      </c>
      <c r="C81" s="41">
        <f>YEAR(Table12[[#This Row],[Date]])</f>
        <v>2025</v>
      </c>
      <c r="D81" s="41" t="s">
        <v>155</v>
      </c>
      <c r="E81" s="41" t="s">
        <v>155</v>
      </c>
      <c r="F81" s="47">
        <v>45809</v>
      </c>
      <c r="G81" s="41">
        <f t="shared" si="238"/>
        <v>30</v>
      </c>
      <c r="H81" s="42">
        <f t="shared" si="239"/>
        <v>45823</v>
      </c>
      <c r="I81" s="43">
        <f>'Modelling New'!$AQ$1</f>
        <v>11.72</v>
      </c>
      <c r="J81" s="25">
        <f>'Raw Data'!K82/J$1</f>
        <v>1.5374360135330591</v>
      </c>
      <c r="K81" s="25">
        <f>'Raw Data'!L82/K$1</f>
        <v>1.518310559495472</v>
      </c>
      <c r="L81" s="25">
        <f>'Raw Data'!M82/L$1</f>
        <v>1.5082914517236035</v>
      </c>
      <c r="M81" s="25">
        <f>'Raw Data'!N82/M$1</f>
        <v>1.553077016899538</v>
      </c>
      <c r="N81" s="25">
        <f>'Raw Data'!O82/N$1</f>
        <v>1.5449691971456929</v>
      </c>
      <c r="O81" s="25">
        <f>'Raw Data'!P82/O$1</f>
        <v>1.5262376237623763</v>
      </c>
      <c r="P81" s="25">
        <f t="shared" ref="P81" si="266">IFERROR(AVERAGEIF(J81:O81,"&gt;"&amp;0,J81:O81),"")</f>
        <v>1.5313869770932902</v>
      </c>
      <c r="Q81" s="25">
        <f t="shared" ref="Q81" si="267">MAXA(J81:O81)</f>
        <v>1.553077016899538</v>
      </c>
    </row>
    <row r="82" spans="1:17">
      <c r="A82" s="205">
        <f t="shared" si="236"/>
        <v>2026</v>
      </c>
      <c r="B82" s="206">
        <f t="shared" si="237"/>
        <v>2025</v>
      </c>
      <c r="C82" s="41">
        <f>YEAR(Table12[[#This Row],[Date]])</f>
        <v>2025</v>
      </c>
      <c r="D82" s="41" t="s">
        <v>155</v>
      </c>
      <c r="E82" s="41" t="s">
        <v>155</v>
      </c>
      <c r="F82" s="47">
        <v>45809</v>
      </c>
      <c r="G82" s="41">
        <f t="shared" si="238"/>
        <v>30</v>
      </c>
      <c r="H82" s="42">
        <f t="shared" si="239"/>
        <v>45824</v>
      </c>
      <c r="I82" s="43">
        <f>'Modelling New'!$AQ$1</f>
        <v>11.72</v>
      </c>
      <c r="J82" s="25">
        <f>'Raw Data'!K83/J$1</f>
        <v>2.3368423700461585</v>
      </c>
      <c r="K82" s="25">
        <f>'Raw Data'!L83/K$1</f>
        <v>2.3306362479414928</v>
      </c>
      <c r="L82" s="25">
        <f>'Raw Data'!M83/L$1</f>
        <v>2.3009055283724842</v>
      </c>
      <c r="M82" s="25">
        <f>'Raw Data'!N83/M$1</f>
        <v>2.3987315182479776</v>
      </c>
      <c r="N82" s="25">
        <f>'Raw Data'!O83/N$1</f>
        <v>2.3459176626957507</v>
      </c>
      <c r="O82" s="25">
        <f>'Raw Data'!P83/O$1</f>
        <v>2.3683168316831682</v>
      </c>
      <c r="P82" s="25">
        <f t="shared" ref="P82" si="268">IFERROR(AVERAGEIF(J82:O82,"&gt;"&amp;0,J82:O82),"")</f>
        <v>2.3468916931645052</v>
      </c>
      <c r="Q82" s="25">
        <f t="shared" ref="Q82" si="269">MAXA(J82:O82)</f>
        <v>2.3987315182479776</v>
      </c>
    </row>
    <row r="83" spans="1:17">
      <c r="A83" s="205">
        <f t="shared" si="236"/>
        <v>2026</v>
      </c>
      <c r="B83" s="206">
        <f t="shared" si="237"/>
        <v>2025</v>
      </c>
      <c r="C83" s="41">
        <f>YEAR(Table12[[#This Row],[Date]])</f>
        <v>2025</v>
      </c>
      <c r="D83" s="41" t="s">
        <v>155</v>
      </c>
      <c r="E83" s="41" t="s">
        <v>155</v>
      </c>
      <c r="F83" s="47">
        <v>45809</v>
      </c>
      <c r="G83" s="41">
        <f t="shared" si="238"/>
        <v>30</v>
      </c>
      <c r="H83" s="42">
        <f t="shared" si="239"/>
        <v>45825</v>
      </c>
      <c r="I83" s="43">
        <f>'Modelling New'!$AQ$1</f>
        <v>11.72</v>
      </c>
      <c r="J83" s="25">
        <f>'Raw Data'!K84/J$1</f>
        <v>5.128476021582463</v>
      </c>
      <c r="K83" s="25">
        <f>'Raw Data'!L84/K$1</f>
        <v>5.0585736053229491</v>
      </c>
      <c r="L83" s="25">
        <f>'Raw Data'!M84/L$1</f>
        <v>4.8857573006841273</v>
      </c>
      <c r="M83" s="25">
        <f>'Raw Data'!N84/M$1</f>
        <v>5.2896773231782515</v>
      </c>
      <c r="N83" s="25">
        <f>'Raw Data'!O84/N$1</f>
        <v>5.3220005890782902</v>
      </c>
      <c r="O83" s="25">
        <f>'Raw Data'!P84/O$1</f>
        <v>5.3014851485148515</v>
      </c>
      <c r="P83" s="25">
        <f t="shared" ref="P83" si="270">IFERROR(AVERAGEIF(J83:O83,"&gt;"&amp;0,J83:O83),"")</f>
        <v>5.1643283313934889</v>
      </c>
      <c r="Q83" s="25">
        <f t="shared" ref="Q83" si="271">MAXA(J83:O83)</f>
        <v>5.3220005890782902</v>
      </c>
    </row>
    <row r="84" spans="1:17">
      <c r="A84" s="205">
        <f t="shared" si="236"/>
        <v>2026</v>
      </c>
      <c r="B84" s="206">
        <f t="shared" si="237"/>
        <v>2025</v>
      </c>
      <c r="C84" s="41">
        <f>YEAR(Table12[[#This Row],[Date]])</f>
        <v>2025</v>
      </c>
      <c r="D84" s="41" t="s">
        <v>155</v>
      </c>
      <c r="E84" s="41" t="s">
        <v>155</v>
      </c>
      <c r="F84" s="47">
        <v>45809</v>
      </c>
      <c r="G84" s="41">
        <f t="shared" si="238"/>
        <v>30</v>
      </c>
      <c r="H84" s="42">
        <f t="shared" si="239"/>
        <v>45826</v>
      </c>
      <c r="I84" s="43">
        <f>'Modelling New'!$AQ$1</f>
        <v>11.72</v>
      </c>
      <c r="J84" s="25">
        <f>'Raw Data'!K85/J$1</f>
        <v>3.4582248550478565</v>
      </c>
      <c r="K84" s="25">
        <f>'Raw Data'!L85/K$1</f>
        <v>3.4413070074167798</v>
      </c>
      <c r="L84" s="25">
        <f>'Raw Data'!M85/L$1</f>
        <v>3.3702703301082648</v>
      </c>
      <c r="M84" s="25">
        <f>'Raw Data'!N85/M$1</f>
        <v>3.5961999756061203</v>
      </c>
      <c r="N84" s="25">
        <f>'Raw Data'!O85/N$1</f>
        <v>3.5913974768638264</v>
      </c>
      <c r="O84" s="25">
        <f>'Raw Data'!P85/O$1</f>
        <v>3.386138613861386</v>
      </c>
      <c r="P84" s="25">
        <f t="shared" ref="P84" si="272">IFERROR(AVERAGEIF(J84:O84,"&gt;"&amp;0,J84:O84),"")</f>
        <v>3.4739230431507058</v>
      </c>
      <c r="Q84" s="25">
        <f t="shared" ref="Q84" si="273">MAXA(J84:O84)</f>
        <v>3.5961999756061203</v>
      </c>
    </row>
    <row r="85" spans="1:17">
      <c r="A85" s="199">
        <f t="shared" ref="A85" si="274">YEAR(H85)+IF(MONTH(H85)&gt;=4,1,0)</f>
        <v>2026</v>
      </c>
      <c r="B85" s="200">
        <f t="shared" ref="B85" si="275">YEAR(H85)</f>
        <v>2025</v>
      </c>
      <c r="C85" s="181">
        <f>YEAR(Table12[[#This Row],[Date]])</f>
        <v>2025</v>
      </c>
      <c r="D85" s="181" t="s">
        <v>155</v>
      </c>
      <c r="E85" s="181" t="s">
        <v>155</v>
      </c>
      <c r="F85" s="182">
        <v>45809</v>
      </c>
      <c r="G85" s="181">
        <f t="shared" ref="G85" si="276">DAY(EOMONTH(F85,0))</f>
        <v>30</v>
      </c>
      <c r="H85" s="183">
        <f t="shared" si="239"/>
        <v>45827</v>
      </c>
      <c r="I85" s="184">
        <f>'Modelling New'!$AQ$1</f>
        <v>11.72</v>
      </c>
      <c r="J85" s="25">
        <f>'Raw Data'!K86/J$1</f>
        <v>0.34662742582600714</v>
      </c>
      <c r="K85" s="25">
        <f>'Raw Data'!L86/K$1</f>
        <v>0.3313304171661649</v>
      </c>
      <c r="L85" s="25">
        <f>'Raw Data'!M86/L$1</f>
        <v>0.33154736865410589</v>
      </c>
      <c r="M85" s="25">
        <f>'Raw Data'!N86/M$1</f>
        <v>0.36970280123053573</v>
      </c>
      <c r="N85" s="25">
        <f>'Raw Data'!O86/N$1</f>
        <v>0.36928773504347545</v>
      </c>
      <c r="O85" s="25">
        <f>'Raw Data'!P86/O$1</f>
        <v>0.37623762376237624</v>
      </c>
      <c r="P85" s="25">
        <f t="shared" ref="P85" si="277">IFERROR(AVERAGEIF(J85:O85,"&gt;"&amp;0,J85:O85),"")</f>
        <v>0.35412222861377751</v>
      </c>
      <c r="Q85" s="25">
        <f t="shared" ref="Q85" si="278">MAXA(J85:O85)</f>
        <v>0.37623762376237624</v>
      </c>
    </row>
    <row r="86" spans="1:17">
      <c r="A86" s="199">
        <f t="shared" ref="A86" si="279">YEAR(H86)+IF(MONTH(H86)&gt;=4,1,0)</f>
        <v>2026</v>
      </c>
      <c r="B86" s="200">
        <f t="shared" ref="B86" si="280">YEAR(H86)</f>
        <v>2025</v>
      </c>
      <c r="C86" s="181">
        <f>YEAR(Table12[[#This Row],[Date]])</f>
        <v>2025</v>
      </c>
      <c r="D86" s="181" t="s">
        <v>155</v>
      </c>
      <c r="E86" s="181" t="s">
        <v>155</v>
      </c>
      <c r="F86" s="182">
        <v>45809</v>
      </c>
      <c r="G86" s="181">
        <f t="shared" ref="G86" si="281">DAY(EOMONTH(F86,0))</f>
        <v>30</v>
      </c>
      <c r="H86" s="183">
        <f t="shared" si="239"/>
        <v>45828</v>
      </c>
      <c r="I86" s="184">
        <f>'Modelling New'!$AQ$1</f>
        <v>11.72</v>
      </c>
      <c r="J86" s="25">
        <f>'Raw Data'!K87/J$1</f>
        <v>3.7973059653624119</v>
      </c>
      <c r="K86" s="25">
        <f>'Raw Data'!L87/K$1</f>
        <v>4.2728331212260704</v>
      </c>
      <c r="L86" s="25">
        <f>'Raw Data'!M87/L$1</f>
        <v>4.0754311776296852</v>
      </c>
      <c r="M86" s="25">
        <f>'Raw Data'!N87/M$1</f>
        <v>4.278144438873003</v>
      </c>
      <c r="N86" s="25">
        <f>'Raw Data'!O87/N$1</f>
        <v>4.1869110764044439</v>
      </c>
      <c r="O86" s="25">
        <f>'Raw Data'!P87/O$1</f>
        <v>4.2099009900990101</v>
      </c>
      <c r="P86" s="25">
        <f t="shared" ref="P86" si="282">IFERROR(AVERAGEIF(J86:O86,"&gt;"&amp;0,J86:O86),"")</f>
        <v>4.1367544615991036</v>
      </c>
      <c r="Q86" s="25">
        <f t="shared" ref="Q86" si="283">MAXA(J86:O86)</f>
        <v>4.278144438873003</v>
      </c>
    </row>
    <row r="87" spans="1:17">
      <c r="A87" s="199">
        <f t="shared" ref="A87" si="284">YEAR(H87)+IF(MONTH(H87)&gt;=4,1,0)</f>
        <v>2026</v>
      </c>
      <c r="B87" s="200">
        <f t="shared" ref="B87" si="285">YEAR(H87)</f>
        <v>2025</v>
      </c>
      <c r="C87" s="181">
        <f>YEAR(Table12[[#This Row],[Date]])</f>
        <v>2025</v>
      </c>
      <c r="D87" s="181" t="s">
        <v>155</v>
      </c>
      <c r="E87" s="181" t="s">
        <v>155</v>
      </c>
      <c r="F87" s="182">
        <v>45809</v>
      </c>
      <c r="G87" s="181">
        <f t="shared" ref="G87" si="286">DAY(EOMONTH(F87,0))</f>
        <v>30</v>
      </c>
      <c r="H87" s="183">
        <f t="shared" si="239"/>
        <v>45829</v>
      </c>
      <c r="I87" s="184">
        <f>'Modelling New'!$AQ$1</f>
        <v>11.72</v>
      </c>
      <c r="J87" s="25">
        <f>'Raw Data'!K88/J$1</f>
        <v>5.3644241532405141</v>
      </c>
      <c r="K87" s="25">
        <f>'Raw Data'!L88/K$1</f>
        <v>5.5597539391641906</v>
      </c>
      <c r="L87" s="25">
        <f>'Raw Data'!M88/L$1</f>
        <v>5.3119534173179535</v>
      </c>
      <c r="M87" s="25">
        <f>'Raw Data'!N88/M$1</f>
        <v>5.6154711406849263</v>
      </c>
      <c r="N87" s="25">
        <f>'Raw Data'!O88/N$1</f>
        <v>5.5041693377324448</v>
      </c>
      <c r="O87" s="25">
        <f>'Raw Data'!P88/O$1</f>
        <v>5.4410891089108908</v>
      </c>
      <c r="P87" s="25">
        <f t="shared" ref="P87" si="287">IFERROR(AVERAGEIF(J87:O87,"&gt;"&amp;0,J87:O87),"")</f>
        <v>5.4661435161751539</v>
      </c>
      <c r="Q87" s="25">
        <f t="shared" ref="Q87" si="288">MAXA(J87:O87)</f>
        <v>5.6154711406849263</v>
      </c>
    </row>
    <row r="88" spans="1:17">
      <c r="A88" s="199">
        <f t="shared" ref="A88" si="289">YEAR(H88)+IF(MONTH(H88)&gt;=4,1,0)</f>
        <v>2026</v>
      </c>
      <c r="B88" s="200">
        <f t="shared" ref="B88" si="290">YEAR(H88)</f>
        <v>2025</v>
      </c>
      <c r="C88" s="181">
        <f>YEAR(Table12[[#This Row],[Date]])</f>
        <v>2025</v>
      </c>
      <c r="D88" s="181" t="s">
        <v>155</v>
      </c>
      <c r="E88" s="181" t="s">
        <v>155</v>
      </c>
      <c r="F88" s="182">
        <v>45809</v>
      </c>
      <c r="G88" s="181">
        <f t="shared" ref="G88" si="291">DAY(EOMONTH(F88,0))</f>
        <v>30</v>
      </c>
      <c r="H88" s="183">
        <f t="shared" si="239"/>
        <v>45830</v>
      </c>
      <c r="I88" s="184">
        <f>'Modelling New'!$AQ$1</f>
        <v>11.72</v>
      </c>
      <c r="J88" s="25">
        <f>'Raw Data'!K89/J$1</f>
        <v>4.8673735048862392</v>
      </c>
      <c r="K88" s="25">
        <f>'Raw Data'!L89/K$1</f>
        <v>5.1678683343138685</v>
      </c>
      <c r="L88" s="25">
        <f>'Raw Data'!M89/L$1</f>
        <v>4.9488564660039405</v>
      </c>
      <c r="M88" s="25">
        <f>'Raw Data'!N89/M$1</f>
        <v>5.1758392172275007</v>
      </c>
      <c r="N88" s="25">
        <f>'Raw Data'!O89/N$1</f>
        <v>5.0205311110066058</v>
      </c>
      <c r="O88" s="25">
        <f>'Raw Data'!P89/O$1</f>
        <v>5.0995049504950494</v>
      </c>
      <c r="P88" s="25">
        <f t="shared" ref="P88" si="292">IFERROR(AVERAGEIF(J88:O88,"&gt;"&amp;0,J88:O88),"")</f>
        <v>5.0466622639888667</v>
      </c>
      <c r="Q88" s="25">
        <f t="shared" ref="Q88" si="293">MAXA(J88:O88)</f>
        <v>5.1758392172275007</v>
      </c>
    </row>
    <row r="89" spans="1:17">
      <c r="A89" s="199">
        <f t="shared" ref="A89" si="294">YEAR(H89)+IF(MONTH(H89)&gt;=4,1,0)</f>
        <v>2026</v>
      </c>
      <c r="B89" s="200">
        <f t="shared" ref="B89" si="295">YEAR(H89)</f>
        <v>2025</v>
      </c>
      <c r="C89" s="181">
        <f>YEAR(Table12[[#This Row],[Date]])</f>
        <v>2025</v>
      </c>
      <c r="D89" s="181" t="s">
        <v>155</v>
      </c>
      <c r="E89" s="181" t="s">
        <v>155</v>
      </c>
      <c r="F89" s="182">
        <v>45809</v>
      </c>
      <c r="G89" s="181">
        <f t="shared" ref="G89" si="296">DAY(EOMONTH(F89,0))</f>
        <v>30</v>
      </c>
      <c r="H89" s="183">
        <f t="shared" si="239"/>
        <v>45831</v>
      </c>
      <c r="I89" s="184">
        <f>'Modelling New'!$AQ$1</f>
        <v>11.72</v>
      </c>
      <c r="J89" s="25">
        <f>'Raw Data'!K90/J$1</f>
        <v>3.6906513728005637</v>
      </c>
      <c r="K89" s="25">
        <f>'Raw Data'!L90/K$1</f>
        <v>3.715036148493136</v>
      </c>
      <c r="L89" s="25">
        <f>'Raw Data'!M90/L$1</f>
        <v>3.666947107401421</v>
      </c>
      <c r="M89" s="25">
        <f>'Raw Data'!N90/M$1</f>
        <v>3.8005664800986598</v>
      </c>
      <c r="N89" s="25">
        <f>'Raw Data'!O90/N$1</f>
        <v>3.7012927545845389</v>
      </c>
      <c r="O89" s="25">
        <f>'Raw Data'!P90/O$1</f>
        <v>3.7653465346534651</v>
      </c>
      <c r="P89" s="25">
        <f t="shared" ref="P89" si="297">IFERROR(AVERAGEIF(J89:O89,"&gt;"&amp;0,J89:O89),"")</f>
        <v>3.7233067330052969</v>
      </c>
      <c r="Q89" s="25">
        <f t="shared" ref="Q89" si="298">MAXA(J89:O89)</f>
        <v>3.8005664800986598</v>
      </c>
    </row>
    <row r="90" spans="1:17">
      <c r="A90" s="199">
        <f t="shared" ref="A90" si="299">YEAR(H90)+IF(MONTH(H90)&gt;=4,1,0)</f>
        <v>2026</v>
      </c>
      <c r="B90" s="200">
        <f t="shared" ref="B90" si="300">YEAR(H90)</f>
        <v>2025</v>
      </c>
      <c r="C90" s="181">
        <f>YEAR(Table12[[#This Row],[Date]])</f>
        <v>2025</v>
      </c>
      <c r="D90" s="181" t="s">
        <v>155</v>
      </c>
      <c r="E90" s="181" t="s">
        <v>155</v>
      </c>
      <c r="F90" s="182">
        <v>45809</v>
      </c>
      <c r="G90" s="181">
        <f t="shared" ref="G90" si="301">DAY(EOMONTH(F90,0))</f>
        <v>30</v>
      </c>
      <c r="H90" s="183">
        <f t="shared" si="239"/>
        <v>45832</v>
      </c>
      <c r="I90" s="184">
        <f>'Modelling New'!$AQ$1</f>
        <v>11.72</v>
      </c>
      <c r="J90" s="25">
        <f>'Raw Data'!K91/J$1</f>
        <v>3.261517564049353</v>
      </c>
      <c r="K90" s="25">
        <f>'Raw Data'!L91/K$1</f>
        <v>3.3369354644164426</v>
      </c>
      <c r="L90" s="25">
        <f>'Raw Data'!M91/L$1</f>
        <v>3.2429649965682907</v>
      </c>
      <c r="M90" s="25">
        <f>'Raw Data'!N91/M$1</f>
        <v>3.3294935559500742</v>
      </c>
      <c r="N90" s="25">
        <f>'Raw Data'!O91/N$1</f>
        <v>3.2532962395519043</v>
      </c>
      <c r="O90" s="25">
        <f>'Raw Data'!P91/O$1</f>
        <v>3.2900990099009899</v>
      </c>
      <c r="P90" s="25">
        <f t="shared" ref="P90" si="302">IFERROR(AVERAGEIF(J90:O90,"&gt;"&amp;0,J90:O90),"")</f>
        <v>3.2857178050728435</v>
      </c>
      <c r="Q90" s="25">
        <f t="shared" ref="Q90" si="303">MAXA(J90:O90)</f>
        <v>3.3369354644164426</v>
      </c>
    </row>
    <row r="91" spans="1:17">
      <c r="A91" s="199">
        <f t="shared" ref="A91" si="304">YEAR(H91)+IF(MONTH(H91)&gt;=4,1,0)</f>
        <v>2026</v>
      </c>
      <c r="B91" s="200">
        <f t="shared" ref="B91" si="305">YEAR(H91)</f>
        <v>2025</v>
      </c>
      <c r="C91" s="181">
        <f>YEAR(Table12[[#This Row],[Date]])</f>
        <v>2025</v>
      </c>
      <c r="D91" s="181" t="s">
        <v>155</v>
      </c>
      <c r="E91" s="181" t="s">
        <v>155</v>
      </c>
      <c r="F91" s="182">
        <v>45809</v>
      </c>
      <c r="G91" s="181">
        <f t="shared" ref="G91" si="306">DAY(EOMONTH(F91,0))</f>
        <v>30</v>
      </c>
      <c r="H91" s="183">
        <f t="shared" si="239"/>
        <v>45833</v>
      </c>
      <c r="I91" s="184">
        <f>'Modelling New'!$AQ$1</f>
        <v>11.72</v>
      </c>
      <c r="J91" s="25">
        <f>'Raw Data'!K92/J$1</f>
        <v>3.6086480775761238</v>
      </c>
      <c r="K91" s="25">
        <f>'Raw Data'!L92/K$1</f>
        <v>3.5890025871342384</v>
      </c>
      <c r="L91" s="25">
        <f>'Raw Data'!M92/L$1</f>
        <v>3.5230367303562335</v>
      </c>
      <c r="M91" s="25">
        <f>'Raw Data'!N92/M$1</f>
        <v>3.664502839176571</v>
      </c>
      <c r="N91" s="25">
        <f>'Raw Data'!O92/N$1</f>
        <v>3.6384247353479151</v>
      </c>
      <c r="O91" s="25">
        <f>'Raw Data'!P92/O$1</f>
        <v>3.6188118811881189</v>
      </c>
      <c r="P91" s="25">
        <f t="shared" ref="P91" si="307">IFERROR(AVERAGEIF(J91:O91,"&gt;"&amp;0,J91:O91),"")</f>
        <v>3.6070711417965335</v>
      </c>
      <c r="Q91" s="25">
        <f t="shared" ref="Q91" si="308">MAXA(J91:O91)</f>
        <v>3.664502839176571</v>
      </c>
    </row>
    <row r="92" spans="1:17">
      <c r="A92" s="199">
        <f t="shared" ref="A92" si="309">YEAR(H92)+IF(MONTH(H92)&gt;=4,1,0)</f>
        <v>2026</v>
      </c>
      <c r="B92" s="200">
        <f t="shared" ref="B92" si="310">YEAR(H92)</f>
        <v>2025</v>
      </c>
      <c r="C92" s="181">
        <f>YEAR(Table12[[#This Row],[Date]])</f>
        <v>2025</v>
      </c>
      <c r="D92" s="181" t="s">
        <v>155</v>
      </c>
      <c r="E92" s="181" t="s">
        <v>155</v>
      </c>
      <c r="F92" s="182">
        <v>45809</v>
      </c>
      <c r="G92" s="181">
        <f t="shared" ref="G92" si="311">DAY(EOMONTH(F92,0))</f>
        <v>30</v>
      </c>
      <c r="H92" s="183">
        <f t="shared" si="239"/>
        <v>45834</v>
      </c>
      <c r="I92" s="184">
        <f>'Modelling New'!$AQ$1</f>
        <v>11.72</v>
      </c>
      <c r="J92" s="25">
        <f>'Raw Data'!K93/J$1</f>
        <v>2.9586587681897649</v>
      </c>
      <c r="K92" s="25">
        <f>'Raw Data'!L93/K$1</f>
        <v>2.9553885501463419</v>
      </c>
      <c r="L92" s="25">
        <f>'Raw Data'!M93/L$1</f>
        <v>2.8975800916598402</v>
      </c>
      <c r="M92" s="25">
        <f>'Raw Data'!N93/M$1</f>
        <v>2.9982788762552683</v>
      </c>
      <c r="N92" s="25">
        <f>'Raw Data'!O93/N$1</f>
        <v>2.9463814999715363</v>
      </c>
      <c r="O92" s="25">
        <f>'Raw Data'!P93/O$1</f>
        <v>2.9940594059405941</v>
      </c>
      <c r="P92" s="25">
        <f t="shared" ref="P92" si="312">IFERROR(AVERAGEIF(J92:O92,"&gt;"&amp;0,J92:O92),"")</f>
        <v>2.9583911986938909</v>
      </c>
      <c r="Q92" s="25">
        <f t="shared" ref="Q92" si="313">MAXA(J92:O92)</f>
        <v>2.9982788762552683</v>
      </c>
    </row>
    <row r="93" spans="1:17">
      <c r="A93" s="199">
        <f t="shared" ref="A93" si="314">YEAR(H93)+IF(MONTH(H93)&gt;=4,1,0)</f>
        <v>2026</v>
      </c>
      <c r="B93" s="200">
        <f t="shared" ref="B93" si="315">YEAR(H93)</f>
        <v>2025</v>
      </c>
      <c r="C93" s="181">
        <f>YEAR(Table12[[#This Row],[Date]])</f>
        <v>2025</v>
      </c>
      <c r="D93" s="181" t="s">
        <v>155</v>
      </c>
      <c r="E93" s="181" t="s">
        <v>155</v>
      </c>
      <c r="F93" s="182">
        <v>45809</v>
      </c>
      <c r="G93" s="181">
        <f t="shared" ref="G93" si="316">DAY(EOMONTH(F93,0))</f>
        <v>30</v>
      </c>
      <c r="H93" s="183">
        <f t="shared" si="239"/>
        <v>45835</v>
      </c>
      <c r="I93" s="184">
        <f>'Modelling New'!$AQ$1</f>
        <v>11.72</v>
      </c>
      <c r="J93" s="25">
        <f>'Raw Data'!K94/J$1</f>
        <v>4.6243821454175</v>
      </c>
      <c r="K93" s="25">
        <f>'Raw Data'!L94/K$1</f>
        <v>4.6469952565102979</v>
      </c>
      <c r="L93" s="25">
        <f>'Raw Data'!M94/L$1</f>
        <v>4.4180485752872674</v>
      </c>
      <c r="M93" s="25">
        <f>'Raw Data'!N94/M$1</f>
        <v>4.7454227594898972</v>
      </c>
      <c r="N93" s="25">
        <f>'Raw Data'!O94/N$1</f>
        <v>4.6759945646389669</v>
      </c>
      <c r="O93" s="25">
        <f>'Raw Data'!P94/O$1</f>
        <v>4.6757425742574261</v>
      </c>
      <c r="P93" s="25">
        <f t="shared" ref="P93" si="317">IFERROR(AVERAGEIF(J93:O93,"&gt;"&amp;0,J93:O93),"")</f>
        <v>4.6310976459335587</v>
      </c>
      <c r="Q93" s="25">
        <f t="shared" ref="Q93" si="318">MAXA(J93:O93)</f>
        <v>4.7454227594898972</v>
      </c>
    </row>
    <row r="94" spans="1:17">
      <c r="A94" s="199">
        <f t="shared" ref="A94" si="319">YEAR(H94)+IF(MONTH(H94)&gt;=4,1,0)</f>
        <v>2026</v>
      </c>
      <c r="B94" s="200">
        <f t="shared" ref="B94" si="320">YEAR(H94)</f>
        <v>2025</v>
      </c>
      <c r="C94" s="181">
        <f>YEAR(Table12[[#This Row],[Date]])</f>
        <v>2025</v>
      </c>
      <c r="D94" s="181" t="s">
        <v>155</v>
      </c>
      <c r="E94" s="181" t="s">
        <v>155</v>
      </c>
      <c r="F94" s="182">
        <v>45809</v>
      </c>
      <c r="G94" s="181">
        <f t="shared" ref="G94" si="321">DAY(EOMONTH(F94,0))</f>
        <v>30</v>
      </c>
      <c r="H94" s="183">
        <f t="shared" si="239"/>
        <v>45836</v>
      </c>
      <c r="I94" s="184">
        <f>'Modelling New'!$AQ$1</f>
        <v>11.72</v>
      </c>
      <c r="J94" s="25">
        <f>'Raw Data'!K95/J$1</f>
        <v>4.238010791231182</v>
      </c>
      <c r="K94" s="25">
        <f>'Raw Data'!L95/K$1</f>
        <v>4.1965237383720506</v>
      </c>
      <c r="L94" s="25">
        <f>'Raw Data'!M95/L$1</f>
        <v>4.1036597515885491</v>
      </c>
      <c r="M94" s="25">
        <f>'Raw Data'!N95/M$1</f>
        <v>4.3312688883166865</v>
      </c>
      <c r="N94" s="25">
        <f>'Raw Data'!O95/N$1</f>
        <v>4.310667019783625</v>
      </c>
      <c r="O94" s="25">
        <f>'Raw Data'!P95/O$1</f>
        <v>4.3039603960396038</v>
      </c>
      <c r="P94" s="25">
        <f t="shared" ref="P94" si="322">IFERROR(AVERAGEIF(J94:O94,"&gt;"&amp;0,J94:O94),"")</f>
        <v>4.247348430888616</v>
      </c>
      <c r="Q94" s="25">
        <f t="shared" ref="Q94" si="323">MAXA(J94:O94)</f>
        <v>4.3312688883166865</v>
      </c>
    </row>
    <row r="95" spans="1:17">
      <c r="A95" s="199">
        <f t="shared" ref="A95" si="324">YEAR(H95)+IF(MONTH(H95)&gt;=4,1,0)</f>
        <v>2026</v>
      </c>
      <c r="B95" s="200">
        <f t="shared" ref="B95" si="325">YEAR(H95)</f>
        <v>2025</v>
      </c>
      <c r="C95" s="181">
        <f>YEAR(Table12[[#This Row],[Date]])</f>
        <v>2025</v>
      </c>
      <c r="D95" s="181" t="s">
        <v>155</v>
      </c>
      <c r="E95" s="181" t="s">
        <v>155</v>
      </c>
      <c r="F95" s="182">
        <v>45809</v>
      </c>
      <c r="G95" s="181">
        <f t="shared" ref="G95" si="326">DAY(EOMONTH(F95,0))</f>
        <v>30</v>
      </c>
      <c r="H95" s="183">
        <f t="shared" si="239"/>
        <v>45837</v>
      </c>
      <c r="I95" s="184">
        <f>'Modelling New'!$AQ$1</f>
        <v>11.72</v>
      </c>
      <c r="J95" s="25">
        <f>'Raw Data'!K96/J$1</f>
        <v>3.1010325875058169</v>
      </c>
      <c r="K95" s="25">
        <f>'Raw Data'!L96/K$1</f>
        <v>3.0927454392835783</v>
      </c>
      <c r="L95" s="25">
        <f>'Raw Data'!M96/L$1</f>
        <v>3.0558815064095466</v>
      </c>
      <c r="M95" s="25">
        <f>'Raw Data'!N96/M$1</f>
        <v>3.1885511390586676</v>
      </c>
      <c r="N95" s="25">
        <f>'Raw Data'!O96/N$1</f>
        <v>3.0780578237269847</v>
      </c>
      <c r="O95" s="25">
        <f>'Raw Data'!P96/O$1</f>
        <v>3.1480198019801979</v>
      </c>
      <c r="P95" s="25">
        <f t="shared" ref="P95" si="327">IFERROR(AVERAGEIF(J95:O95,"&gt;"&amp;0,J95:O95),"")</f>
        <v>3.1107147163274651</v>
      </c>
      <c r="Q95" s="25">
        <f t="shared" ref="Q95" si="328">MAXA(J95:O95)</f>
        <v>3.1885511390586676</v>
      </c>
    </row>
    <row r="96" spans="1:17">
      <c r="A96" s="199">
        <f t="shared" ref="A96" si="329">YEAR(H96)+IF(MONTH(H96)&gt;=4,1,0)</f>
        <v>2026</v>
      </c>
      <c r="B96" s="200">
        <f t="shared" ref="B96" si="330">YEAR(H96)</f>
        <v>2025</v>
      </c>
      <c r="C96" s="181">
        <f>YEAR(Table12[[#This Row],[Date]])</f>
        <v>2025</v>
      </c>
      <c r="D96" s="181" t="s">
        <v>155</v>
      </c>
      <c r="E96" s="181" t="s">
        <v>155</v>
      </c>
      <c r="F96" s="182">
        <v>45809</v>
      </c>
      <c r="G96" s="181">
        <f t="shared" ref="G96" si="331">DAY(EOMONTH(F96,0))</f>
        <v>30</v>
      </c>
      <c r="H96" s="183">
        <f t="shared" si="239"/>
        <v>45838</v>
      </c>
      <c r="I96" s="184">
        <f>'Modelling New'!$AQ$1</f>
        <v>11.72</v>
      </c>
      <c r="J96" s="25">
        <f>'Raw Data'!K97/J$1</f>
        <v>2.7272384258385842</v>
      </c>
      <c r="K96" s="25">
        <f>'Raw Data'!L97/K$1</f>
        <v>2.8431399095610734</v>
      </c>
      <c r="L96" s="25">
        <f>'Raw Data'!M97/L$1</f>
        <v>2.8250714016870724</v>
      </c>
      <c r="M96" s="25">
        <f>'Raw Data'!N97/M$1</f>
        <v>2.8914878911490876</v>
      </c>
      <c r="N96" s="25">
        <f>'Raw Data'!O97/N$1</f>
        <v>2.8310409607421394</v>
      </c>
      <c r="O96" s="25">
        <f>'Raw Data'!P97/O$1</f>
        <v>2.9029702970297029</v>
      </c>
      <c r="P96" s="25">
        <f t="shared" ref="P96" si="332">IFERROR(AVERAGEIF(J96:O96,"&gt;"&amp;0,J96:O96),"")</f>
        <v>2.8368248143346104</v>
      </c>
      <c r="Q96" s="25">
        <f t="shared" ref="Q96" si="333">MAXA(J96:O96)</f>
        <v>2.9029702970297029</v>
      </c>
    </row>
    <row r="97" spans="1:17">
      <c r="A97" s="199">
        <f t="shared" ref="A97" si="334">YEAR(H97)+IF(MONTH(H97)&gt;=4,1,0)</f>
        <v>2026</v>
      </c>
      <c r="B97" s="200">
        <f t="shared" ref="B97" si="335">YEAR(H97)</f>
        <v>2025</v>
      </c>
      <c r="C97" s="181">
        <f>YEAR(Table12[[#This Row],[Date]])</f>
        <v>2025</v>
      </c>
      <c r="D97" s="181" t="s">
        <v>155</v>
      </c>
      <c r="E97" s="181" t="s">
        <v>155</v>
      </c>
      <c r="F97" s="182">
        <v>45839</v>
      </c>
      <c r="G97" s="181">
        <f t="shared" ref="G97" si="336">DAY(EOMONTH(F97,0))</f>
        <v>31</v>
      </c>
      <c r="H97" s="183">
        <f t="shared" si="239"/>
        <v>45839</v>
      </c>
      <c r="I97" s="184">
        <f>'Modelling New'!$AQ$1</f>
        <v>11.72</v>
      </c>
      <c r="J97" s="25">
        <f>'Raw Data'!K98/J$1</f>
        <v>2.0068168383453449</v>
      </c>
      <c r="K97" s="25">
        <f>'Raw Data'!L98/K$1</f>
        <v>2.0332758141103433</v>
      </c>
      <c r="L97" s="25">
        <f>'Raw Data'!M98/L$1</f>
        <v>2.0191732902340203</v>
      </c>
      <c r="M97" s="25">
        <f>'Raw Data'!N98/M$1</f>
        <v>2.0171028202035535</v>
      </c>
      <c r="N97" s="25">
        <f>'Raw Data'!O98/N$1</f>
        <v>1.9716796899171083</v>
      </c>
      <c r="O97" s="25">
        <f>'Raw Data'!P98/O$1</f>
        <v>1.9935643564356436</v>
      </c>
      <c r="P97" s="25">
        <f t="shared" ref="P97" si="337">IFERROR(AVERAGEIF(J97:O97,"&gt;"&amp;0,J97:O97),"")</f>
        <v>2.006935468207669</v>
      </c>
      <c r="Q97" s="25">
        <f t="shared" ref="Q97" si="338">MAXA(J97:O97)</f>
        <v>2.0332758141103433</v>
      </c>
    </row>
    <row r="98" spans="1:17">
      <c r="A98" s="199">
        <f t="shared" ref="A98" si="339">YEAR(H98)+IF(MONTH(H98)&gt;=4,1,0)</f>
        <v>2026</v>
      </c>
      <c r="B98" s="200">
        <f t="shared" ref="B98" si="340">YEAR(H98)</f>
        <v>2025</v>
      </c>
      <c r="C98" s="181">
        <f>YEAR(Table12[[#This Row],[Date]])</f>
        <v>2025</v>
      </c>
      <c r="D98" s="181" t="s">
        <v>155</v>
      </c>
      <c r="E98" s="181" t="s">
        <v>155</v>
      </c>
      <c r="F98" s="182">
        <v>45839</v>
      </c>
      <c r="G98" s="181">
        <f t="shared" ref="G98" si="341">DAY(EOMONTH(F98,0))</f>
        <v>31</v>
      </c>
      <c r="H98" s="183">
        <f t="shared" si="239"/>
        <v>45840</v>
      </c>
      <c r="I98" s="184">
        <f>'Modelling New'!$AQ$1</f>
        <v>11.72</v>
      </c>
      <c r="J98" s="25">
        <f>'Raw Data'!K99/J$1</f>
        <v>1.594788011420091</v>
      </c>
      <c r="K98" s="25">
        <f>'Raw Data'!L99/K$1</f>
        <v>1.6133280491137034</v>
      </c>
      <c r="L98" s="25">
        <f>'Raw Data'!M99/L$1</f>
        <v>1.6018331968029755</v>
      </c>
      <c r="M98" s="25">
        <f>'Raw Data'!N99/M$1</f>
        <v>1.5980701730610254</v>
      </c>
      <c r="N98" s="25">
        <f>'Raw Data'!O99/N$1</f>
        <v>1.5880362654416478</v>
      </c>
      <c r="O98" s="25">
        <f>'Raw Data'!P99/O$1</f>
        <v>1.6004950495049506</v>
      </c>
      <c r="P98" s="25">
        <f t="shared" ref="P98" si="342">IFERROR(AVERAGEIF(J98:O98,"&gt;"&amp;0,J98:O98),"")</f>
        <v>1.5994251242240656</v>
      </c>
      <c r="Q98" s="25">
        <f t="shared" ref="Q98" si="343">MAXA(J98:O98)</f>
        <v>1.6133280491137034</v>
      </c>
    </row>
    <row r="99" spans="1:17">
      <c r="A99" s="199">
        <f t="shared" ref="A99" si="344">YEAR(H99)+IF(MONTH(H99)&gt;=4,1,0)</f>
        <v>2026</v>
      </c>
      <c r="B99" s="200">
        <f t="shared" ref="B99" si="345">YEAR(H99)</f>
        <v>2025</v>
      </c>
      <c r="C99" s="181">
        <f>YEAR(Table12[[#This Row],[Date]])</f>
        <v>2025</v>
      </c>
      <c r="D99" s="181" t="s">
        <v>155</v>
      </c>
      <c r="E99" s="181" t="s">
        <v>155</v>
      </c>
      <c r="F99" s="182">
        <v>45839</v>
      </c>
      <c r="G99" s="181">
        <f t="shared" ref="G99" si="346">DAY(EOMONTH(F99,0))</f>
        <v>31</v>
      </c>
      <c r="H99" s="183">
        <f t="shared" si="239"/>
        <v>45841</v>
      </c>
      <c r="I99" s="184">
        <f>'Modelling New'!$AQ$1</f>
        <v>11.72</v>
      </c>
      <c r="J99" s="25">
        <f>'Raw Data'!K100/J$1</f>
        <v>2.4515463658202217</v>
      </c>
      <c r="K99" s="25">
        <f>'Raw Data'!L100/K$1</f>
        <v>2.4571621278994491</v>
      </c>
      <c r="L99" s="25">
        <f>'Raw Data'!M100/L$1</f>
        <v>2.4387273894657602</v>
      </c>
      <c r="M99" s="25">
        <f>'Raw Data'!N100/M$1</f>
        <v>2.4404721570965862</v>
      </c>
      <c r="N99" s="25">
        <f>'Raw Data'!O100/N$1</f>
        <v>2.403340420423691</v>
      </c>
      <c r="O99" s="25">
        <f>'Raw Data'!P100/O$1</f>
        <v>2.4529702970297032</v>
      </c>
      <c r="P99" s="25">
        <f t="shared" ref="P99" si="347">IFERROR(AVERAGEIF(J99:O99,"&gt;"&amp;0,J99:O99),"")</f>
        <v>2.4407031262892347</v>
      </c>
      <c r="Q99" s="25">
        <f t="shared" ref="Q99" si="348">MAXA(J99:O99)</f>
        <v>2.4571621278994491</v>
      </c>
    </row>
    <row r="100" spans="1:17">
      <c r="A100" s="199">
        <f t="shared" ref="A100" si="349">YEAR(H100)+IF(MONTH(H100)&gt;=4,1,0)</f>
        <v>2026</v>
      </c>
      <c r="B100" s="200">
        <f t="shared" ref="B100" si="350">YEAR(H100)</f>
        <v>2025</v>
      </c>
      <c r="C100" s="181">
        <f>YEAR(Table12[[#This Row],[Date]])</f>
        <v>2025</v>
      </c>
      <c r="D100" s="181" t="s">
        <v>155</v>
      </c>
      <c r="E100" s="181" t="s">
        <v>155</v>
      </c>
      <c r="F100" s="182">
        <v>45839</v>
      </c>
      <c r="G100" s="181">
        <f t="shared" ref="G100" si="351">DAY(EOMONTH(F100,0))</f>
        <v>31</v>
      </c>
      <c r="H100" s="183">
        <f t="shared" si="239"/>
        <v>45842</v>
      </c>
      <c r="I100" s="184">
        <f>'Modelling New'!$AQ$1</f>
        <v>11.72</v>
      </c>
      <c r="J100" s="25">
        <f>'Raw Data'!K101/J$1</f>
        <v>3.9260964167578516</v>
      </c>
      <c r="K100" s="25">
        <f>'Raw Data'!L101/K$1</f>
        <v>3.9178714113051121</v>
      </c>
      <c r="L100" s="25">
        <f>'Raw Data'!M101/L$1</f>
        <v>3.8933292005225053</v>
      </c>
      <c r="M100" s="25">
        <f>'Raw Data'!N101/M$1</f>
        <v>3.9837916220574883</v>
      </c>
      <c r="N100" s="25">
        <f>'Raw Data'!O101/N$1</f>
        <v>3.9710807111511528</v>
      </c>
      <c r="O100" s="25">
        <f>'Raw Data'!P101/O$1</f>
        <v>4.0415841584158416</v>
      </c>
      <c r="P100" s="25">
        <f t="shared" ref="P100" si="352">IFERROR(AVERAGEIF(J100:O100,"&gt;"&amp;0,J100:O100),"")</f>
        <v>3.9556255867016579</v>
      </c>
      <c r="Q100" s="25">
        <f t="shared" ref="Q100" si="353">MAXA(J100:O100)</f>
        <v>4.0415841584158416</v>
      </c>
    </row>
    <row r="101" spans="1:17">
      <c r="A101" s="199">
        <f t="shared" ref="A101" si="354">YEAR(H101)+IF(MONTH(H101)&gt;=4,1,0)</f>
        <v>2026</v>
      </c>
      <c r="B101" s="200">
        <f t="shared" ref="B101" si="355">YEAR(H101)</f>
        <v>2025</v>
      </c>
      <c r="C101" s="181">
        <f>YEAR(Table12[[#This Row],[Date]])</f>
        <v>2025</v>
      </c>
      <c r="D101" s="181" t="s">
        <v>155</v>
      </c>
      <c r="E101" s="181" t="s">
        <v>155</v>
      </c>
      <c r="F101" s="182">
        <v>45839</v>
      </c>
      <c r="G101" s="181">
        <f t="shared" ref="G101" si="356">DAY(EOMONTH(F101,0))</f>
        <v>31</v>
      </c>
      <c r="H101" s="183">
        <f t="shared" si="239"/>
        <v>45843</v>
      </c>
      <c r="I101" s="184">
        <f>'Modelling New'!$AQ$1</f>
        <v>11.72</v>
      </c>
      <c r="J101" s="25">
        <f>'Raw Data'!K102/J$1</f>
        <v>4.0815505162937535</v>
      </c>
      <c r="K101" s="25">
        <f>'Raw Data'!L102/K$1</f>
        <v>4.2039085173579229</v>
      </c>
      <c r="L101" s="25">
        <f>'Raw Data'!M102/L$1</f>
        <v>4.1468328647021053</v>
      </c>
      <c r="M101" s="25">
        <f>'Raw Data'!N102/M$1</f>
        <v>4.2570030763392923</v>
      </c>
      <c r="N101" s="25">
        <f>'Raw Data'!O102/N$1</f>
        <v>4.2042369084775295</v>
      </c>
      <c r="O101" s="25">
        <f>'Raw Data'!P102/O$1</f>
        <v>4.2846534653465342</v>
      </c>
      <c r="P101" s="25">
        <f t="shared" ref="P101" si="357">IFERROR(AVERAGEIF(J101:O101,"&gt;"&amp;0,J101:O101),"")</f>
        <v>4.1963642247528563</v>
      </c>
      <c r="Q101" s="25">
        <f t="shared" ref="Q101" si="358">MAXA(J101:O101)</f>
        <v>4.2846534653465342</v>
      </c>
    </row>
    <row r="102" spans="1:17">
      <c r="A102" s="199">
        <f t="shared" ref="A102" si="359">YEAR(H102)+IF(MONTH(H102)&gt;=4,1,0)</f>
        <v>2026</v>
      </c>
      <c r="B102" s="200">
        <f t="shared" ref="B102" si="360">YEAR(H102)</f>
        <v>2025</v>
      </c>
      <c r="C102" s="181">
        <f>YEAR(Table12[[#This Row],[Date]])</f>
        <v>2025</v>
      </c>
      <c r="D102" s="181" t="s">
        <v>155</v>
      </c>
      <c r="E102" s="181" t="s">
        <v>155</v>
      </c>
      <c r="F102" s="182">
        <v>45839</v>
      </c>
      <c r="G102" s="181">
        <f t="shared" ref="G102" si="361">DAY(EOMONTH(F102,0))</f>
        <v>31</v>
      </c>
      <c r="H102" s="183">
        <f t="shared" si="239"/>
        <v>45844</v>
      </c>
      <c r="I102" s="184">
        <f>'Modelling New'!$AQ$1</f>
        <v>11.72</v>
      </c>
      <c r="J102" s="25">
        <f>'Raw Data'!K103/J$1</f>
        <v>4.3501993485014276</v>
      </c>
      <c r="K102" s="25">
        <f>'Raw Data'!L103/K$1</f>
        <v>4.3786816200235821</v>
      </c>
      <c r="L102" s="25">
        <f>'Raw Data'!M103/L$1</f>
        <v>4.2824407199946863</v>
      </c>
      <c r="M102" s="25">
        <f>'Raw Data'!N103/M$1</f>
        <v>4.4131239073574653</v>
      </c>
      <c r="N102" s="25">
        <f>'Raw Data'!O103/N$1</f>
        <v>4.3695748488321149</v>
      </c>
      <c r="O102" s="25">
        <f>'Raw Data'!P103/O$1</f>
        <v>4.389108910891089</v>
      </c>
      <c r="P102" s="25">
        <f t="shared" ref="P102" si="362">IFERROR(AVERAGEIF(J102:O102,"&gt;"&amp;0,J102:O102),"")</f>
        <v>4.3638548926000613</v>
      </c>
      <c r="Q102" s="25">
        <f t="shared" ref="Q102" si="363">MAXA(J102:O102)</f>
        <v>4.4131239073574653</v>
      </c>
    </row>
    <row r="103" spans="1:17">
      <c r="A103" s="199">
        <f t="shared" ref="A103" si="364">YEAR(H103)+IF(MONTH(H103)&gt;=4,1,0)</f>
        <v>2026</v>
      </c>
      <c r="B103" s="200">
        <f t="shared" ref="B103" si="365">YEAR(H103)</f>
        <v>2025</v>
      </c>
      <c r="C103" s="181">
        <f>YEAR(Table12[[#This Row],[Date]])</f>
        <v>2025</v>
      </c>
      <c r="D103" s="181" t="s">
        <v>155</v>
      </c>
      <c r="E103" s="181" t="s">
        <v>155</v>
      </c>
      <c r="F103" s="182">
        <v>45839</v>
      </c>
      <c r="G103" s="181">
        <f t="shared" ref="G103" si="366">DAY(EOMONTH(F103,0))</f>
        <v>31</v>
      </c>
      <c r="H103" s="183">
        <f t="shared" si="239"/>
        <v>45845</v>
      </c>
      <c r="I103" s="184">
        <f>'Modelling New'!$AQ$1</f>
        <v>11.72</v>
      </c>
      <c r="J103" s="25">
        <f>'Raw Data'!K104/J$1</f>
        <v>1.8775232992491417</v>
      </c>
      <c r="K103" s="25">
        <f>'Raw Data'!L104/K$1</f>
        <v>1.8855802343928851</v>
      </c>
      <c r="L103" s="25">
        <f>'Raw Data'!M104/L$1</f>
        <v>1.8807979276905704</v>
      </c>
      <c r="M103" s="25">
        <f>'Raw Data'!N104/M$1</f>
        <v>1.8636924202794456</v>
      </c>
      <c r="N103" s="25">
        <f>'Raw Data'!O104/N$1</f>
        <v>1.832578009558909</v>
      </c>
      <c r="O103" s="25">
        <f>'Raw Data'!P104/O$1</f>
        <v>1.8767326732673266</v>
      </c>
      <c r="P103" s="25">
        <f t="shared" ref="P103" si="367">IFERROR(AVERAGEIF(J103:O103,"&gt;"&amp;0,J103:O103),"")</f>
        <v>1.8694840940730462</v>
      </c>
      <c r="Q103" s="25">
        <f t="shared" ref="Q103" si="368">MAXA(J103:O103)</f>
        <v>1.8855802343928851</v>
      </c>
    </row>
    <row r="104" spans="1:17">
      <c r="A104" s="199">
        <f t="shared" ref="A104" si="369">YEAR(H104)+IF(MONTH(H104)&gt;=4,1,0)</f>
        <v>2026</v>
      </c>
      <c r="B104" s="200">
        <f t="shared" ref="B104" si="370">YEAR(H104)</f>
        <v>2025</v>
      </c>
      <c r="C104" s="181">
        <f>YEAR(Table12[[#This Row],[Date]])</f>
        <v>2025</v>
      </c>
      <c r="D104" s="181" t="s">
        <v>155</v>
      </c>
      <c r="E104" s="181" t="s">
        <v>155</v>
      </c>
      <c r="F104" s="182">
        <v>45839</v>
      </c>
      <c r="G104" s="181">
        <f t="shared" ref="G104" si="371">DAY(EOMONTH(F104,0))</f>
        <v>31</v>
      </c>
      <c r="H104" s="183">
        <f t="shared" si="239"/>
        <v>45846</v>
      </c>
      <c r="I104" s="184">
        <f>'Modelling New'!$AQ$1</f>
        <v>11.72</v>
      </c>
      <c r="J104" s="25">
        <f>'Raw Data'!K105/J$1</f>
        <v>2.7559144247821004</v>
      </c>
      <c r="K104" s="25">
        <f>'Raw Data'!L105/K$1</f>
        <v>2.7451685083484927</v>
      </c>
      <c r="L104" s="25">
        <f>'Raw Data'!M105/L$1</f>
        <v>2.7121571058516172</v>
      </c>
      <c r="M104" s="25">
        <f>'Raw Data'!N105/M$1</f>
        <v>2.7500033880388677</v>
      </c>
      <c r="N104" s="25">
        <f>'Raw Data'!O105/N$1</f>
        <v>2.6840189000076728</v>
      </c>
      <c r="O104" s="25">
        <f>'Raw Data'!P105/O$1</f>
        <v>2.7618811881188119</v>
      </c>
      <c r="P104" s="25">
        <f t="shared" ref="P104" si="372">IFERROR(AVERAGEIF(J104:O104,"&gt;"&amp;0,J104:O104),"")</f>
        <v>2.7348572525245936</v>
      </c>
      <c r="Q104" s="25">
        <f t="shared" ref="Q104" si="373">MAXA(J104:O104)</f>
        <v>2.7618811881188119</v>
      </c>
    </row>
    <row r="105" spans="1:17">
      <c r="A105" s="199">
        <f t="shared" ref="A105" si="374">YEAR(H105)+IF(MONTH(H105)&gt;=4,1,0)</f>
        <v>2026</v>
      </c>
      <c r="B105" s="200">
        <f t="shared" ref="B105" si="375">YEAR(H105)</f>
        <v>2025</v>
      </c>
      <c r="C105" s="181">
        <f>YEAR(Table12[[#This Row],[Date]])</f>
        <v>2025</v>
      </c>
      <c r="D105" s="181" t="s">
        <v>155</v>
      </c>
      <c r="E105" s="181" t="s">
        <v>155</v>
      </c>
      <c r="F105" s="182">
        <v>45839</v>
      </c>
      <c r="G105" s="181">
        <f t="shared" ref="G105" si="376">DAY(EOMONTH(F105,0))</f>
        <v>31</v>
      </c>
      <c r="H105" s="183">
        <f t="shared" si="239"/>
        <v>45847</v>
      </c>
      <c r="I105" s="184">
        <f>'Modelling New'!$AQ$1</f>
        <v>11.72</v>
      </c>
      <c r="J105" s="25">
        <f>'Raw Data'!K106/J$1</f>
        <v>3.0250663446905381</v>
      </c>
      <c r="K105" s="25">
        <f>'Raw Data'!L106/K$1</f>
        <v>2.9770505685049025</v>
      </c>
      <c r="L105" s="25">
        <f>'Raw Data'!M106/L$1</f>
        <v>2.950162729426351</v>
      </c>
      <c r="M105" s="25">
        <f>'Raw Data'!N106/M$1</f>
        <v>3.0514033256989528</v>
      </c>
      <c r="N105" s="25">
        <f>'Raw Data'!O106/N$1</f>
        <v>2.9528168090272535</v>
      </c>
      <c r="O105" s="25">
        <f>'Raw Data'!P106/O$1</f>
        <v>3.033168316831683</v>
      </c>
      <c r="P105" s="25">
        <f t="shared" ref="P105" si="377">IFERROR(AVERAGEIF(J105:O105,"&gt;"&amp;0,J105:O105),"")</f>
        <v>2.9982780156966133</v>
      </c>
      <c r="Q105" s="25">
        <f t="shared" ref="Q105" si="378">MAXA(J105:O105)</f>
        <v>3.0514033256989528</v>
      </c>
    </row>
    <row r="106" spans="1:17">
      <c r="A106" s="199">
        <f t="shared" ref="A106" si="379">YEAR(H106)+IF(MONTH(H106)&gt;=4,1,0)</f>
        <v>2026</v>
      </c>
      <c r="B106" s="200">
        <f t="shared" ref="B106" si="380">YEAR(H106)</f>
        <v>2025</v>
      </c>
      <c r="C106" s="181">
        <f>YEAR(Table12[[#This Row],[Date]])</f>
        <v>2025</v>
      </c>
      <c r="D106" s="181" t="s">
        <v>155</v>
      </c>
      <c r="E106" s="181" t="s">
        <v>155</v>
      </c>
      <c r="F106" s="182">
        <v>45839</v>
      </c>
      <c r="G106" s="181">
        <f t="shared" ref="G106" si="381">DAY(EOMONTH(F106,0))</f>
        <v>31</v>
      </c>
      <c r="H106" s="183">
        <f t="shared" si="239"/>
        <v>45848</v>
      </c>
      <c r="I106" s="184">
        <f>'Modelling New'!$AQ$1</f>
        <v>11.72</v>
      </c>
      <c r="J106" s="25">
        <f>'Raw Data'!K107/J$1</f>
        <v>4.0292293954143554</v>
      </c>
      <c r="K106" s="25">
        <f>'Raw Data'!L107/K$1</f>
        <v>3.9912268825647832</v>
      </c>
      <c r="L106" s="25">
        <f>'Raw Data'!M107/L$1</f>
        <v>3.9259857860827596</v>
      </c>
      <c r="M106" s="25">
        <f>'Raw Data'!N107/M$1</f>
        <v>4.1225656940736428</v>
      </c>
      <c r="N106" s="25">
        <f>'Raw Data'!O107/N$1</f>
        <v>4.0671153232133976</v>
      </c>
      <c r="O106" s="25">
        <f>'Raw Data'!P107/O$1</f>
        <v>4.0965346534653468</v>
      </c>
      <c r="P106" s="25">
        <f t="shared" ref="P106" si="382">IFERROR(AVERAGEIF(J106:O106,"&gt;"&amp;0,J106:O106),"")</f>
        <v>4.038776289135714</v>
      </c>
      <c r="Q106" s="25">
        <f t="shared" ref="Q106" si="383">MAXA(J106:O106)</f>
        <v>4.1225656940736428</v>
      </c>
    </row>
    <row r="107" spans="1:17">
      <c r="A107" s="199">
        <f t="shared" ref="A107" si="384">YEAR(H107)+IF(MONTH(H107)&gt;=4,1,0)</f>
        <v>2026</v>
      </c>
      <c r="B107" s="200">
        <f t="shared" ref="B107" si="385">YEAR(H107)</f>
        <v>2025</v>
      </c>
      <c r="C107" s="181">
        <f>YEAR(Table12[[#This Row],[Date]])</f>
        <v>2025</v>
      </c>
      <c r="D107" s="181" t="s">
        <v>155</v>
      </c>
      <c r="E107" s="181" t="s">
        <v>155</v>
      </c>
      <c r="F107" s="182">
        <v>45839</v>
      </c>
      <c r="G107" s="181">
        <f t="shared" ref="G107" si="386">DAY(EOMONTH(F107,0))</f>
        <v>31</v>
      </c>
      <c r="H107" s="183">
        <f t="shared" si="239"/>
        <v>45849</v>
      </c>
      <c r="I107" s="184">
        <f>'Modelling New'!$AQ$1</f>
        <v>11.72</v>
      </c>
      <c r="J107" s="25">
        <f>'Raw Data'!K108/J$1</f>
        <v>4.4679218704800716</v>
      </c>
      <c r="K107" s="25">
        <f>'Raw Data'!L108/K$1</f>
        <v>4.3909895850000371</v>
      </c>
      <c r="L107" s="25">
        <f>'Raw Data'!M108/L$1</f>
        <v>4.3095622910532025</v>
      </c>
      <c r="M107" s="25">
        <f>'Raw Data'!N108/M$1</f>
        <v>4.5817127214083406</v>
      </c>
      <c r="N107" s="25">
        <f>'Raw Data'!O108/N$1</f>
        <v>4.6339175438900453</v>
      </c>
      <c r="O107" s="25">
        <f>'Raw Data'!P108/O$1</f>
        <v>4.6405940594059407</v>
      </c>
      <c r="P107" s="25">
        <f t="shared" ref="P107" si="387">IFERROR(AVERAGEIF(J107:O107,"&gt;"&amp;0,J107:O107),"")</f>
        <v>4.5041163452062731</v>
      </c>
      <c r="Q107" s="25">
        <f t="shared" ref="Q107" si="388">MAXA(J107:O107)</f>
        <v>4.6405940594059407</v>
      </c>
    </row>
    <row r="108" spans="1:17">
      <c r="A108" s="199">
        <f t="shared" ref="A108" si="389">YEAR(H108)+IF(MONTH(H108)&gt;=4,1,0)</f>
        <v>2026</v>
      </c>
      <c r="B108" s="200">
        <f t="shared" ref="B108" si="390">YEAR(H108)</f>
        <v>2025</v>
      </c>
      <c r="C108" s="181">
        <f>YEAR(Table12[[#This Row],[Date]])</f>
        <v>2025</v>
      </c>
      <c r="D108" s="181" t="s">
        <v>155</v>
      </c>
      <c r="E108" s="181" t="s">
        <v>155</v>
      </c>
      <c r="F108" s="182">
        <v>45839</v>
      </c>
      <c r="G108" s="181">
        <f t="shared" ref="G108" si="391">DAY(EOMONTH(F108,0))</f>
        <v>31</v>
      </c>
      <c r="H108" s="183">
        <f t="shared" si="239"/>
        <v>45850</v>
      </c>
      <c r="I108" s="184">
        <f>'Modelling New'!$AQ$1</f>
        <v>11.72</v>
      </c>
      <c r="J108" s="25">
        <f>'Raw Data'!K109/J$1</f>
        <v>4.6520519689594888</v>
      </c>
      <c r="K108" s="25">
        <f>'Raw Data'!L109/K$1</f>
        <v>4.6017019453969441</v>
      </c>
      <c r="L108" s="25">
        <f>'Raw Data'!M109/L$1</f>
        <v>4.4933247725109036</v>
      </c>
      <c r="M108" s="25">
        <f>'Raw Data'!N109/M$1</f>
        <v>4.825109433655423</v>
      </c>
      <c r="N108" s="25">
        <f>'Raw Data'!O109/N$1</f>
        <v>4.8131161499030988</v>
      </c>
      <c r="O108" s="25">
        <f>'Raw Data'!P109/O$1</f>
        <v>4.8148514851485151</v>
      </c>
      <c r="P108" s="25">
        <f t="shared" ref="P108" si="392">IFERROR(AVERAGEIF(J108:O108,"&gt;"&amp;0,J108:O108),"")</f>
        <v>4.7000259592623959</v>
      </c>
      <c r="Q108" s="25">
        <f t="shared" ref="Q108" si="393">MAXA(J108:O108)</f>
        <v>4.825109433655423</v>
      </c>
    </row>
    <row r="109" spans="1:17">
      <c r="A109" s="199">
        <f t="shared" ref="A109" si="394">YEAR(H109)+IF(MONTH(H109)&gt;=4,1,0)</f>
        <v>2026</v>
      </c>
      <c r="B109" s="200">
        <f t="shared" ref="B109" si="395">YEAR(H109)</f>
        <v>2025</v>
      </c>
      <c r="C109" s="181">
        <f>YEAR(Table12[[#This Row],[Date]])</f>
        <v>2025</v>
      </c>
      <c r="D109" s="181" t="s">
        <v>155</v>
      </c>
      <c r="E109" s="181" t="s">
        <v>155</v>
      </c>
      <c r="F109" s="182">
        <v>45839</v>
      </c>
      <c r="G109" s="181">
        <f t="shared" ref="G109" si="396">DAY(EOMONTH(F109,0))</f>
        <v>31</v>
      </c>
      <c r="H109" s="183">
        <f t="shared" si="239"/>
        <v>45851</v>
      </c>
      <c r="I109" s="184">
        <f>'Modelling New'!$AQ$1</f>
        <v>11.72</v>
      </c>
      <c r="J109" s="25">
        <f>'Raw Data'!K110/J$1</f>
        <v>4.4689280458815981</v>
      </c>
      <c r="K109" s="25">
        <f>'Raw Data'!L110/K$1</f>
        <v>4.4436676750992641</v>
      </c>
      <c r="L109" s="25">
        <f>'Raw Data'!M110/L$1</f>
        <v>4.3372373635618926</v>
      </c>
      <c r="M109" s="25">
        <f>'Raw Data'!N110/M$1</f>
        <v>4.5757497730013963</v>
      </c>
      <c r="N109" s="25">
        <f>'Raw Data'!O110/N$1</f>
        <v>4.5151118382460318</v>
      </c>
      <c r="O109" s="25">
        <f>'Raw Data'!P110/O$1</f>
        <v>4.5559405940594058</v>
      </c>
      <c r="P109" s="25">
        <f t="shared" ref="P109" si="397">IFERROR(AVERAGEIF(J109:O109,"&gt;"&amp;0,J109:O109),"")</f>
        <v>4.4827725483082643</v>
      </c>
      <c r="Q109" s="25">
        <f t="shared" ref="Q109" si="398">MAXA(J109:O109)</f>
        <v>4.5757497730013963</v>
      </c>
    </row>
    <row r="110" spans="1:17">
      <c r="A110" s="199">
        <f t="shared" ref="A110" si="399">YEAR(H110)+IF(MONTH(H110)&gt;=4,1,0)</f>
        <v>2026</v>
      </c>
      <c r="B110" s="200">
        <f t="shared" ref="B110" si="400">YEAR(H110)</f>
        <v>2025</v>
      </c>
      <c r="C110" s="181">
        <f>YEAR(Table12[[#This Row],[Date]])</f>
        <v>2025</v>
      </c>
      <c r="D110" s="181" t="s">
        <v>155</v>
      </c>
      <c r="E110" s="181" t="s">
        <v>155</v>
      </c>
      <c r="F110" s="182">
        <v>45839</v>
      </c>
      <c r="G110" s="181">
        <f t="shared" ref="G110" si="401">DAY(EOMONTH(F110,0))</f>
        <v>31</v>
      </c>
      <c r="H110" s="183">
        <f t="shared" si="239"/>
        <v>45852</v>
      </c>
      <c r="I110" s="184">
        <f>'Modelling New'!$AQ$1</f>
        <v>11.72</v>
      </c>
      <c r="J110" s="25">
        <f>'Raw Data'!K111/J$1</f>
        <v>4.7924134374724874</v>
      </c>
      <c r="K110" s="25">
        <f>'Raw Data'!L111/K$1</f>
        <v>4.7425050647275881</v>
      </c>
      <c r="L110" s="25">
        <f>'Raw Data'!M111/L$1</f>
        <v>4.6361281466557438</v>
      </c>
      <c r="M110" s="25">
        <f>'Raw Data'!N111/M$1</f>
        <v>4.9449104880131189</v>
      </c>
      <c r="N110" s="25">
        <f>'Raw Data'!O111/N$1</f>
        <v>4.8641035985753218</v>
      </c>
      <c r="O110" s="25">
        <f>'Raw Data'!P111/O$1</f>
        <v>4.973762376237624</v>
      </c>
      <c r="P110" s="25">
        <f t="shared" ref="P110" si="402">IFERROR(AVERAGEIF(J110:O110,"&gt;"&amp;0,J110:O110),"")</f>
        <v>4.8256371852803133</v>
      </c>
      <c r="Q110" s="25">
        <f t="shared" ref="Q110" si="403">MAXA(J110:O110)</f>
        <v>4.973762376237624</v>
      </c>
    </row>
    <row r="111" spans="1:17">
      <c r="A111" s="199">
        <f t="shared" ref="A111" si="404">YEAR(H111)+IF(MONTH(H111)&gt;=4,1,0)</f>
        <v>2026</v>
      </c>
      <c r="B111" s="200">
        <f t="shared" ref="B111" si="405">YEAR(H111)</f>
        <v>2025</v>
      </c>
      <c r="C111" s="181">
        <f>YEAR(Table12[[#This Row],[Date]])</f>
        <v>2025</v>
      </c>
      <c r="D111" s="181" t="s">
        <v>155</v>
      </c>
      <c r="E111" s="181" t="s">
        <v>155</v>
      </c>
      <c r="F111" s="182">
        <v>45839</v>
      </c>
      <c r="G111" s="181">
        <f t="shared" ref="G111" si="406">DAY(EOMONTH(F111,0))</f>
        <v>31</v>
      </c>
      <c r="H111" s="183">
        <f t="shared" si="239"/>
        <v>45853</v>
      </c>
      <c r="I111" s="184">
        <f>'Modelling New'!$AQ$1</f>
        <v>11.72</v>
      </c>
      <c r="J111" s="25">
        <f>'Raw Data'!K112/J$1</f>
        <v>3.4552063288432757</v>
      </c>
      <c r="K111" s="25">
        <f>'Raw Data'!L112/K$1</f>
        <v>3.5087546554877527</v>
      </c>
      <c r="L111" s="25">
        <f>'Raw Data'!M112/L$1</f>
        <v>3.4045874200190402</v>
      </c>
      <c r="M111" s="25">
        <f>'Raw Data'!N112/M$1</f>
        <v>3.5934895445120549</v>
      </c>
      <c r="N111" s="25">
        <f>'Raw Data'!O112/N$1</f>
        <v>3.4691266048051959</v>
      </c>
      <c r="O111" s="25">
        <f>'Raw Data'!P112/O$1</f>
        <v>3.5633663366336634</v>
      </c>
      <c r="P111" s="25">
        <f t="shared" ref="P111" si="407">IFERROR(AVERAGEIF(J111:O111,"&gt;"&amp;0,J111:O111),"")</f>
        <v>3.4990884817168304</v>
      </c>
      <c r="Q111" s="25">
        <f t="shared" ref="Q111" si="408">MAXA(J111:O111)</f>
        <v>3.5934895445120549</v>
      </c>
    </row>
    <row r="112" spans="1:17">
      <c r="A112" s="199">
        <f t="shared" ref="A112" si="409">YEAR(H112)+IF(MONTH(H112)&gt;=4,1,0)</f>
        <v>2026</v>
      </c>
      <c r="B112" s="200">
        <f t="shared" ref="B112" si="410">YEAR(H112)</f>
        <v>2025</v>
      </c>
      <c r="C112" s="181">
        <f>YEAR(Table12[[#This Row],[Date]])</f>
        <v>2025</v>
      </c>
      <c r="D112" s="181" t="s">
        <v>155</v>
      </c>
      <c r="E112" s="181" t="s">
        <v>155</v>
      </c>
      <c r="F112" s="182">
        <v>45839</v>
      </c>
      <c r="G112" s="181">
        <f t="shared" ref="G112" si="411">DAY(EOMONTH(F112,0))</f>
        <v>31</v>
      </c>
      <c r="H112" s="183">
        <f t="shared" si="239"/>
        <v>45854</v>
      </c>
      <c r="I112" s="184">
        <f>'Modelling New'!$AQ$1</f>
        <v>11.72</v>
      </c>
      <c r="J112" s="25">
        <f>'Raw Data'!K113/J$1</f>
        <v>4.0880906564036774</v>
      </c>
      <c r="K112" s="25">
        <f>'Raw Data'!L113/K$1</f>
        <v>4.112337257933099</v>
      </c>
      <c r="L112" s="25">
        <f>'Raw Data'!M113/L$1</f>
        <v>4.0942502269355945</v>
      </c>
      <c r="M112" s="25">
        <f>'Raw Data'!N113/M$1</f>
        <v>4.2293566791798236</v>
      </c>
      <c r="N112" s="25">
        <f>'Raw Data'!O113/N$1</f>
        <v>4.1111724390563857</v>
      </c>
      <c r="O112" s="25">
        <f>'Raw Data'!P113/O$1</f>
        <v>4.1717821782178222</v>
      </c>
      <c r="P112" s="25">
        <f t="shared" ref="P112" si="412">IFERROR(AVERAGEIF(J112:O112,"&gt;"&amp;0,J112:O112),"")</f>
        <v>4.1344982396210668</v>
      </c>
      <c r="Q112" s="25">
        <f t="shared" ref="Q112" si="413">MAXA(J112:O112)</f>
        <v>4.2293566791798236</v>
      </c>
    </row>
    <row r="113" spans="1:17">
      <c r="A113" s="199">
        <f t="shared" ref="A113" si="414">YEAR(H113)+IF(MONTH(H113)&gt;=4,1,0)</f>
        <v>2026</v>
      </c>
      <c r="B113" s="200">
        <f t="shared" ref="B113" si="415">YEAR(H113)</f>
        <v>2025</v>
      </c>
      <c r="C113" s="181">
        <f>YEAR(Table12[[#This Row],[Date]])</f>
        <v>2025</v>
      </c>
      <c r="D113" s="181" t="s">
        <v>155</v>
      </c>
      <c r="E113" s="181" t="s">
        <v>155</v>
      </c>
      <c r="F113" s="182">
        <v>45839</v>
      </c>
      <c r="G113" s="181">
        <f t="shared" ref="G113" si="416">DAY(EOMONTH(F113,0))</f>
        <v>31</v>
      </c>
      <c r="H113" s="183">
        <f t="shared" si="239"/>
        <v>45855</v>
      </c>
      <c r="I113" s="184">
        <f>'Modelling New'!$AQ$1</f>
        <v>11.72</v>
      </c>
      <c r="J113" s="25">
        <f>'Raw Data'!K114/J$1</f>
        <v>3.7661145279150792</v>
      </c>
      <c r="K113" s="25">
        <f>'Raw Data'!L114/K$1</f>
        <v>3.7071590509082051</v>
      </c>
      <c r="L113" s="25">
        <f>'Raw Data'!M114/L$1</f>
        <v>3.7189762437177585</v>
      </c>
      <c r="M113" s="25">
        <f>'Raw Data'!N114/M$1</f>
        <v>3.8124923769125481</v>
      </c>
      <c r="N113" s="25">
        <f>'Raw Data'!O114/N$1</f>
        <v>3.7918821051380993</v>
      </c>
      <c r="O113" s="25">
        <f>'Raw Data'!P114/O$1</f>
        <v>3.8217821782178216</v>
      </c>
      <c r="P113" s="25">
        <f t="shared" ref="P113" si="417">IFERROR(AVERAGEIF(J113:O113,"&gt;"&amp;0,J113:O113),"")</f>
        <v>3.7697344138015851</v>
      </c>
      <c r="Q113" s="25">
        <f t="shared" ref="Q113" si="418">MAXA(J113:O113)</f>
        <v>3.8217821782178216</v>
      </c>
    </row>
    <row r="114" spans="1:17">
      <c r="A114" s="199">
        <f t="shared" ref="A114" si="419">YEAR(H114)+IF(MONTH(H114)&gt;=4,1,0)</f>
        <v>2026</v>
      </c>
      <c r="B114" s="200">
        <f t="shared" ref="B114" si="420">YEAR(H114)</f>
        <v>2025</v>
      </c>
      <c r="C114" s="181">
        <f>YEAR(Table12[[#This Row],[Date]])</f>
        <v>2025</v>
      </c>
      <c r="D114" s="181" t="s">
        <v>155</v>
      </c>
      <c r="E114" s="181" t="s">
        <v>155</v>
      </c>
      <c r="F114" s="182">
        <v>45839</v>
      </c>
      <c r="G114" s="181">
        <f t="shared" ref="G114" si="421">DAY(EOMONTH(F114,0))</f>
        <v>31</v>
      </c>
      <c r="H114" s="183">
        <f t="shared" si="239"/>
        <v>45856</v>
      </c>
      <c r="I114" s="184">
        <f>'Modelling New'!$AQ$1</f>
        <v>11.72</v>
      </c>
      <c r="J114" s="25">
        <f>'Raw Data'!K115/J$1</f>
        <v>3.3420115961715027</v>
      </c>
      <c r="K114" s="25">
        <f>'Raw Data'!L115/K$1</f>
        <v>3.3320122784258608</v>
      </c>
      <c r="L114" s="25">
        <f>'Raw Data'!M115/L$1</f>
        <v>3.3254367126441871</v>
      </c>
      <c r="M114" s="25">
        <f>'Raw Data'!N115/M$1</f>
        <v>3.3967122470828985</v>
      </c>
      <c r="N114" s="25">
        <f>'Raw Data'!O115/N$1</f>
        <v>3.3869526584014196</v>
      </c>
      <c r="O114" s="25">
        <f>'Raw Data'!P115/O$1</f>
        <v>3.386138613861386</v>
      </c>
      <c r="P114" s="25">
        <f t="shared" ref="P114" si="422">IFERROR(AVERAGEIF(J114:O114,"&gt;"&amp;0,J114:O114),"")</f>
        <v>3.3615440177645426</v>
      </c>
      <c r="Q114" s="25">
        <f t="shared" ref="Q114" si="423">MAXA(J114:O114)</f>
        <v>3.3967122470828985</v>
      </c>
    </row>
    <row r="115" spans="1:17">
      <c r="A115" s="199">
        <f t="shared" ref="A115" si="424">YEAR(H115)+IF(MONTH(H115)&gt;=4,1,0)</f>
        <v>2026</v>
      </c>
      <c r="B115" s="200">
        <f t="shared" ref="B115" si="425">YEAR(H115)</f>
        <v>2025</v>
      </c>
      <c r="C115" s="181">
        <f>YEAR(Table12[[#This Row],[Date]])</f>
        <v>2025</v>
      </c>
      <c r="D115" s="181" t="s">
        <v>155</v>
      </c>
      <c r="E115" s="181" t="s">
        <v>155</v>
      </c>
      <c r="F115" s="182">
        <v>45839</v>
      </c>
      <c r="G115" s="181">
        <f t="shared" ref="G115" si="426">DAY(EOMONTH(F115,0))</f>
        <v>31</v>
      </c>
      <c r="H115" s="183">
        <f t="shared" si="239"/>
        <v>45857</v>
      </c>
      <c r="I115" s="184">
        <f>'Modelling New'!$AQ$1</f>
        <v>11.72</v>
      </c>
      <c r="J115" s="25">
        <f>'Raw Data'!K116/J$1</f>
        <v>2.5828522557194784</v>
      </c>
      <c r="K115" s="25">
        <f>'Raw Data'!L116/K$1</f>
        <v>2.4709470486730782</v>
      </c>
      <c r="L115" s="25">
        <f>'Raw Data'!M116/L$1</f>
        <v>2.4841145083800118</v>
      </c>
      <c r="M115" s="25">
        <f>'Raw Data'!N116/M$1</f>
        <v>2.5911721259266289</v>
      </c>
      <c r="N115" s="25">
        <f>'Raw Data'!O116/N$1</f>
        <v>2.7241158256625275</v>
      </c>
      <c r="O115" s="25">
        <f>'Raw Data'!P116/O$1</f>
        <v>2.7430693069306931</v>
      </c>
      <c r="P115" s="25">
        <f t="shared" ref="P115" si="427">IFERROR(AVERAGEIF(J115:O115,"&gt;"&amp;0,J115:O115),"")</f>
        <v>2.5993785118820698</v>
      </c>
      <c r="Q115" s="25">
        <f t="shared" ref="Q115" si="428">MAXA(J115:O115)</f>
        <v>2.7430693069306931</v>
      </c>
    </row>
    <row r="116" spans="1:17">
      <c r="A116" s="199">
        <f t="shared" ref="A116" si="429">YEAR(H116)+IF(MONTH(H116)&gt;=4,1,0)</f>
        <v>2026</v>
      </c>
      <c r="B116" s="200">
        <f t="shared" ref="B116" si="430">YEAR(H116)</f>
        <v>2025</v>
      </c>
      <c r="C116" s="181">
        <f>YEAR(Table12[[#This Row],[Date]])</f>
        <v>2025</v>
      </c>
      <c r="D116" s="181" t="s">
        <v>155</v>
      </c>
      <c r="E116" s="181" t="s">
        <v>155</v>
      </c>
      <c r="F116" s="182">
        <v>45839</v>
      </c>
      <c r="G116" s="181">
        <f t="shared" ref="G116" si="431">DAY(EOMONTH(F116,0))</f>
        <v>31</v>
      </c>
      <c r="H116" s="183">
        <f t="shared" si="239"/>
        <v>45858</v>
      </c>
      <c r="I116" s="184">
        <f>'Modelling New'!$AQ$1</f>
        <v>11.72</v>
      </c>
      <c r="J116" s="25">
        <f>'Raw Data'!K117/J$1</f>
        <v>4.7436139304984346</v>
      </c>
      <c r="K116" s="25">
        <f>'Raw Data'!L117/K$1</f>
        <v>4.7946908362277565</v>
      </c>
      <c r="L116" s="25">
        <f>'Raw Data'!M117/L$1</f>
        <v>4.6815152655699954</v>
      </c>
      <c r="M116" s="25">
        <f>'Raw Data'!N117/M$1</f>
        <v>4.9237691254794074</v>
      </c>
      <c r="N116" s="25">
        <f>'Raw Data'!O117/N$1</f>
        <v>4.8482628378227863</v>
      </c>
      <c r="O116" s="25">
        <f>'Raw Data'!P117/O$1</f>
        <v>4.8663366336633667</v>
      </c>
      <c r="P116" s="25">
        <f t="shared" ref="P116" si="432">IFERROR(AVERAGEIF(J116:O116,"&gt;"&amp;0,J116:O116),"")</f>
        <v>4.8096981048769578</v>
      </c>
      <c r="Q116" s="25">
        <f t="shared" ref="Q116" si="433">MAXA(J116:O116)</f>
        <v>4.9237691254794074</v>
      </c>
    </row>
    <row r="117" spans="1:17">
      <c r="A117" s="199">
        <f t="shared" ref="A117" si="434">YEAR(H117)+IF(MONTH(H117)&gt;=4,1,0)</f>
        <v>2026</v>
      </c>
      <c r="B117" s="200">
        <f t="shared" ref="B117" si="435">YEAR(H117)</f>
        <v>2025</v>
      </c>
      <c r="C117" s="181">
        <f>YEAR(Table12[[#This Row],[Date]])</f>
        <v>2025</v>
      </c>
      <c r="D117" s="181" t="s">
        <v>155</v>
      </c>
      <c r="E117" s="181" t="s">
        <v>155</v>
      </c>
      <c r="F117" s="182">
        <v>45839</v>
      </c>
      <c r="G117" s="181">
        <f t="shared" ref="G117" si="436">DAY(EOMONTH(F117,0))</f>
        <v>31</v>
      </c>
      <c r="H117" s="183">
        <f t="shared" si="239"/>
        <v>45859</v>
      </c>
      <c r="I117" s="184">
        <f>'Modelling New'!$AQ$1</f>
        <v>11.72</v>
      </c>
      <c r="J117" s="25">
        <f>'Raw Data'!K118/J$1</f>
        <v>4.1972606874693437</v>
      </c>
      <c r="K117" s="25">
        <f>'Raw Data'!L118/K$1</f>
        <v>4.1763386758106646</v>
      </c>
      <c r="L117" s="25">
        <f>'Raw Data'!M118/L$1</f>
        <v>4.1025527486882014</v>
      </c>
      <c r="M117" s="25">
        <f>'Raw Data'!N118/M$1</f>
        <v>4.2868178183740122</v>
      </c>
      <c r="N117" s="25">
        <f>'Raw Data'!O118/N$1</f>
        <v>4.1893861952720277</v>
      </c>
      <c r="O117" s="25">
        <f>'Raw Data'!P118/O$1</f>
        <v>4.2346534653465344</v>
      </c>
      <c r="P117" s="25">
        <f t="shared" ref="P117" si="437">IFERROR(AVERAGEIF(J117:O117,"&gt;"&amp;0,J117:O117),"")</f>
        <v>4.1978349318267973</v>
      </c>
      <c r="Q117" s="25">
        <f t="shared" ref="Q117" si="438">MAXA(J117:O117)</f>
        <v>4.2868178183740122</v>
      </c>
    </row>
    <row r="118" spans="1:17">
      <c r="A118" s="199">
        <f t="shared" ref="A118" si="439">YEAR(H118)+IF(MONTH(H118)&gt;=4,1,0)</f>
        <v>2026</v>
      </c>
      <c r="B118" s="200">
        <f t="shared" ref="B118" si="440">YEAR(H118)</f>
        <v>2025</v>
      </c>
      <c r="C118" s="181">
        <f>YEAR(Table12[[#This Row],[Date]])</f>
        <v>2025</v>
      </c>
      <c r="D118" s="181" t="s">
        <v>155</v>
      </c>
      <c r="E118" s="181" t="s">
        <v>155</v>
      </c>
      <c r="F118" s="182">
        <v>45839</v>
      </c>
      <c r="G118" s="181">
        <f t="shared" ref="G118" si="441">DAY(EOMONTH(F118,0))</f>
        <v>31</v>
      </c>
      <c r="H118" s="183">
        <f t="shared" si="239"/>
        <v>45860</v>
      </c>
      <c r="I118" s="184">
        <f>'Modelling New'!$AQ$1</f>
        <v>11.72</v>
      </c>
      <c r="J118" s="25">
        <f>'Raw Data'!K119/J$1</f>
        <v>3.1201499201348275</v>
      </c>
      <c r="K118" s="25">
        <f>'Raw Data'!L119/K$1</f>
        <v>3.4147218030676374</v>
      </c>
      <c r="L118" s="25">
        <f>'Raw Data'!M119/L$1</f>
        <v>3.3044036575375828</v>
      </c>
      <c r="M118" s="25">
        <f>'Raw Data'!N119/M$1</f>
        <v>3.5213920774099123</v>
      </c>
      <c r="N118" s="25">
        <f>'Raw Data'!O119/N$1</f>
        <v>3.4136839421713225</v>
      </c>
      <c r="O118" s="25">
        <f>'Raw Data'!P119/O$1</f>
        <v>3.5108910891089109</v>
      </c>
      <c r="P118" s="25">
        <f t="shared" ref="P118" si="442">IFERROR(AVERAGEIF(J118:O118,"&gt;"&amp;0,J118:O118),"")</f>
        <v>3.3808737482383653</v>
      </c>
      <c r="Q118" s="25">
        <f t="shared" ref="Q118" si="443">MAXA(J118:O118)</f>
        <v>3.5213920774099123</v>
      </c>
    </row>
    <row r="119" spans="1:17">
      <c r="A119" s="199">
        <f t="shared" ref="A119" si="444">YEAR(H119)+IF(MONTH(H119)&gt;=4,1,0)</f>
        <v>2026</v>
      </c>
      <c r="B119" s="200">
        <f t="shared" ref="B119" si="445">YEAR(H119)</f>
        <v>2025</v>
      </c>
      <c r="C119" s="181">
        <f>YEAR(Table12[[#This Row],[Date]])</f>
        <v>2025</v>
      </c>
      <c r="D119" s="181" t="s">
        <v>155</v>
      </c>
      <c r="E119" s="181" t="s">
        <v>155</v>
      </c>
      <c r="F119" s="182">
        <v>45839</v>
      </c>
      <c r="G119" s="181">
        <f t="shared" ref="G119" si="446">DAY(EOMONTH(F119,0))</f>
        <v>31</v>
      </c>
      <c r="H119" s="183">
        <f t="shared" si="239"/>
        <v>45861</v>
      </c>
      <c r="I119" s="184">
        <f>'Modelling New'!$AQ$1</f>
        <v>11.72</v>
      </c>
      <c r="J119" s="25">
        <f>'Raw Data'!K120/J$1</f>
        <v>1.8262083537712712</v>
      </c>
      <c r="K119" s="25">
        <f>'Raw Data'!L120/K$1</f>
        <v>1.8525948882559859</v>
      </c>
      <c r="L119" s="25">
        <f>'Raw Data'!M120/L$1</f>
        <v>1.8204662696216263</v>
      </c>
      <c r="M119" s="25">
        <f>'Raw Data'!N120/M$1</f>
        <v>1.8279147298377807</v>
      </c>
      <c r="N119" s="25">
        <f>'Raw Data'!O120/N$1</f>
        <v>1.7474339205140326</v>
      </c>
      <c r="O119" s="25">
        <f>'Raw Data'!P120/O$1</f>
        <v>1.8237623762376238</v>
      </c>
      <c r="P119" s="25">
        <f t="shared" ref="P119" si="447">IFERROR(AVERAGEIF(J119:O119,"&gt;"&amp;0,J119:O119),"")</f>
        <v>1.8163967563730534</v>
      </c>
      <c r="Q119" s="25">
        <f t="shared" ref="Q119" si="448">MAXA(J119:O119)</f>
        <v>1.8525948882559859</v>
      </c>
    </row>
    <row r="120" spans="1:17">
      <c r="A120" s="199">
        <f t="shared" ref="A120" si="449">YEAR(H120)+IF(MONTH(H120)&gt;=4,1,0)</f>
        <v>2026</v>
      </c>
      <c r="B120" s="200">
        <f t="shared" ref="B120" si="450">YEAR(H120)</f>
        <v>2025</v>
      </c>
      <c r="C120" s="181">
        <f>YEAR(Table12[[#This Row],[Date]])</f>
        <v>2025</v>
      </c>
      <c r="D120" s="181" t="s">
        <v>155</v>
      </c>
      <c r="E120" s="181" t="s">
        <v>155</v>
      </c>
      <c r="F120" s="182">
        <v>45839</v>
      </c>
      <c r="G120" s="181">
        <f t="shared" ref="G120" si="451">DAY(EOMONTH(F120,0))</f>
        <v>31</v>
      </c>
      <c r="H120" s="183">
        <f t="shared" si="239"/>
        <v>45862</v>
      </c>
      <c r="I120" s="184">
        <f>'Modelling New'!$AQ$1</f>
        <v>11.72</v>
      </c>
      <c r="J120" s="25">
        <f>'Raw Data'!K121/J$1</f>
        <v>1.5545409953590161</v>
      </c>
      <c r="K120" s="25">
        <f>'Raw Data'!L121/K$1</f>
        <v>1.5350493918634505</v>
      </c>
      <c r="L120" s="25">
        <f>'Raw Data'!M121/L$1</f>
        <v>1.5415015387340314</v>
      </c>
      <c r="M120" s="25">
        <f>'Raw Data'!N121/M$1</f>
        <v>1.5395248614292103</v>
      </c>
      <c r="N120" s="25">
        <f>'Raw Data'!O121/N$1</f>
        <v>1.4860613680972028</v>
      </c>
      <c r="O120" s="25">
        <f>'Raw Data'!P121/O$1</f>
        <v>1.5554455445544555</v>
      </c>
      <c r="P120" s="25">
        <f t="shared" ref="P120" si="452">IFERROR(AVERAGEIF(J120:O120,"&gt;"&amp;0,J120:O120),"")</f>
        <v>1.5353539500062279</v>
      </c>
      <c r="Q120" s="25">
        <f t="shared" ref="Q120" si="453">MAXA(J120:O120)</f>
        <v>1.5554455445544555</v>
      </c>
    </row>
    <row r="121" spans="1:17">
      <c r="A121" s="199">
        <f t="shared" ref="A121" si="454">YEAR(H121)+IF(MONTH(H121)&gt;=4,1,0)</f>
        <v>2026</v>
      </c>
      <c r="B121" s="200">
        <f t="shared" ref="B121" si="455">YEAR(H121)</f>
        <v>2025</v>
      </c>
      <c r="C121" s="181">
        <f>YEAR(Table12[[#This Row],[Date]])</f>
        <v>2025</v>
      </c>
      <c r="D121" s="181" t="s">
        <v>155</v>
      </c>
      <c r="E121" s="181" t="s">
        <v>155</v>
      </c>
      <c r="F121" s="182">
        <v>45839</v>
      </c>
      <c r="G121" s="181">
        <f t="shared" ref="G121" si="456">DAY(EOMONTH(F121,0))</f>
        <v>31</v>
      </c>
      <c r="H121" s="183">
        <f t="shared" si="239"/>
        <v>45863</v>
      </c>
      <c r="I121" s="184">
        <f>'Modelling New'!$AQ$1</f>
        <v>11.72</v>
      </c>
      <c r="J121" s="25">
        <f>'Raw Data'!K122/J$1</f>
        <v>1.5872416959086393</v>
      </c>
      <c r="K121" s="25">
        <f>'Raw Data'!L122/K$1</f>
        <v>1.589204437759852</v>
      </c>
      <c r="L121" s="25">
        <f>'Raw Data'!M122/L$1</f>
        <v>1.5863351561981092</v>
      </c>
      <c r="M121" s="25">
        <f>'Raw Data'!N122/M$1</f>
        <v>1.5698816896827441</v>
      </c>
      <c r="N121" s="25">
        <f>'Raw Data'!O122/N$1</f>
        <v>1.5043772477173216</v>
      </c>
      <c r="O121" s="25">
        <f>'Raw Data'!P122/O$1</f>
        <v>1.5861386138613862</v>
      </c>
      <c r="P121" s="25">
        <f t="shared" ref="P121" si="457">IFERROR(AVERAGEIF(J121:O121,"&gt;"&amp;0,J121:O121),"")</f>
        <v>1.5705298068546754</v>
      </c>
      <c r="Q121" s="25">
        <f t="shared" ref="Q121" si="458">MAXA(J121:O121)</f>
        <v>1.589204437759852</v>
      </c>
    </row>
    <row r="122" spans="1:17">
      <c r="A122" s="199">
        <f t="shared" ref="A122" si="459">YEAR(H122)+IF(MONTH(H122)&gt;=4,1,0)</f>
        <v>2026</v>
      </c>
      <c r="B122" s="200">
        <f t="shared" ref="B122" si="460">YEAR(H122)</f>
        <v>2025</v>
      </c>
      <c r="C122" s="181">
        <f>YEAR(Table12[[#This Row],[Date]])</f>
        <v>2025</v>
      </c>
      <c r="D122" s="181" t="s">
        <v>155</v>
      </c>
      <c r="E122" s="181" t="s">
        <v>155</v>
      </c>
      <c r="F122" s="182">
        <v>45839</v>
      </c>
      <c r="G122" s="181">
        <f t="shared" ref="G122" si="461">DAY(EOMONTH(F122,0))</f>
        <v>31</v>
      </c>
      <c r="H122" s="183">
        <f t="shared" si="239"/>
        <v>45864</v>
      </c>
      <c r="I122" s="184">
        <f>'Modelling New'!$AQ$1</f>
        <v>11.72</v>
      </c>
      <c r="J122" s="25">
        <f>'Raw Data'!K123/J$1</f>
        <v>1.03233596196657</v>
      </c>
      <c r="K122" s="25">
        <f>'Raw Data'!L123/K$1</f>
        <v>1.0289458720316267</v>
      </c>
      <c r="L122" s="25">
        <f>'Raw Data'!M123/L$1</f>
        <v>1.0278521929727455</v>
      </c>
      <c r="M122" s="25">
        <f>'Raw Data'!N123/M$1</f>
        <v>1.028337557088455</v>
      </c>
      <c r="N122" s="25">
        <f>'Raw Data'!O123/N$1</f>
        <v>0.97816697646904494</v>
      </c>
      <c r="O122" s="25">
        <f>'Raw Data'!P123/O$1</f>
        <v>1.0326732673267327</v>
      </c>
      <c r="P122" s="25">
        <f t="shared" ref="P122" si="462">IFERROR(AVERAGEIF(J122:O122,"&gt;"&amp;0,J122:O122),"")</f>
        <v>1.0213853046425292</v>
      </c>
      <c r="Q122" s="25">
        <f t="shared" ref="Q122" si="463">MAXA(J122:O122)</f>
        <v>1.0326732673267327</v>
      </c>
    </row>
    <row r="123" spans="1:17">
      <c r="A123" s="199">
        <f t="shared" ref="A123" si="464">YEAR(H123)+IF(MONTH(H123)&gt;=4,1,0)</f>
        <v>2026</v>
      </c>
      <c r="B123" s="200">
        <f t="shared" ref="B123" si="465">YEAR(H123)</f>
        <v>2025</v>
      </c>
      <c r="C123" s="181">
        <f>YEAR(Table12[[#This Row],[Date]])</f>
        <v>2025</v>
      </c>
      <c r="D123" s="181" t="s">
        <v>155</v>
      </c>
      <c r="E123" s="181" t="s">
        <v>155</v>
      </c>
      <c r="F123" s="182">
        <v>45839</v>
      </c>
      <c r="G123" s="181">
        <f t="shared" ref="G123" si="466">DAY(EOMONTH(F123,0))</f>
        <v>31</v>
      </c>
      <c r="H123" s="183">
        <f t="shared" si="239"/>
        <v>45865</v>
      </c>
      <c r="I123" s="184">
        <f>'Modelling New'!$AQ$1</f>
        <v>11.72</v>
      </c>
      <c r="J123" s="25">
        <f>'Raw Data'!K124/J$1</f>
        <v>3.4054006464676956</v>
      </c>
      <c r="K123" s="25">
        <f>'Raw Data'!L124/K$1</f>
        <v>3.38124413833168</v>
      </c>
      <c r="L123" s="25">
        <f>'Raw Data'!M124/L$1</f>
        <v>3.3381672459981844</v>
      </c>
      <c r="M123" s="25">
        <f>'Raw Data'!N124/M$1</f>
        <v>3.4400791445879468</v>
      </c>
      <c r="N123" s="25">
        <f>'Raw Data'!O124/N$1</f>
        <v>3.3567562082168996</v>
      </c>
      <c r="O123" s="25">
        <f>'Raw Data'!P124/O$1</f>
        <v>3.4608910891089111</v>
      </c>
      <c r="P123" s="25">
        <f t="shared" ref="P123" si="467">IFERROR(AVERAGEIF(J123:O123,"&gt;"&amp;0,J123:O123),"")</f>
        <v>3.3970897454518867</v>
      </c>
      <c r="Q123" s="25">
        <f t="shared" ref="Q123" si="468">MAXA(J123:O123)</f>
        <v>3.4608910891089111</v>
      </c>
    </row>
    <row r="124" spans="1:17">
      <c r="A124" s="199">
        <f t="shared" ref="A124" si="469">YEAR(H124)+IF(MONTH(H124)&gt;=4,1,0)</f>
        <v>2026</v>
      </c>
      <c r="B124" s="200">
        <f t="shared" ref="B124" si="470">YEAR(H124)</f>
        <v>2025</v>
      </c>
      <c r="C124" s="181">
        <f>YEAR(Table12[[#This Row],[Date]])</f>
        <v>2025</v>
      </c>
      <c r="D124" s="181" t="s">
        <v>155</v>
      </c>
      <c r="E124" s="181" t="s">
        <v>155</v>
      </c>
      <c r="F124" s="182">
        <v>45839</v>
      </c>
      <c r="G124" s="181">
        <f t="shared" ref="G124" si="471">DAY(EOMONTH(F124,0))</f>
        <v>31</v>
      </c>
      <c r="H124" s="183">
        <f t="shared" si="239"/>
        <v>45866</v>
      </c>
      <c r="I124" s="184">
        <f>'Modelling New'!$AQ$1</f>
        <v>11.72</v>
      </c>
      <c r="J124" s="25">
        <f>'Raw Data'!K125/J$1</f>
        <v>3.3887987523425021</v>
      </c>
      <c r="K124" s="25">
        <f>'Raw Data'!L125/K$1</f>
        <v>3.413737165869521</v>
      </c>
      <c r="L124" s="25">
        <f>'Raw Data'!M125/L$1</f>
        <v>3.3558792924037459</v>
      </c>
      <c r="M124" s="25">
        <f>'Raw Data'!N125/M$1</f>
        <v>3.5322338017861741</v>
      </c>
      <c r="N124" s="25">
        <f>'Raw Data'!O125/N$1</f>
        <v>3.443880392355843</v>
      </c>
      <c r="O124" s="25">
        <f>'Raw Data'!P125/O$1</f>
        <v>3.5138613861386139</v>
      </c>
      <c r="P124" s="25">
        <f t="shared" ref="P124" si="472">IFERROR(AVERAGEIF(J124:O124,"&gt;"&amp;0,J124:O124),"")</f>
        <v>3.4413984651493998</v>
      </c>
      <c r="Q124" s="25">
        <f t="shared" ref="Q124" si="473">MAXA(J124:O124)</f>
        <v>3.5322338017861741</v>
      </c>
    </row>
    <row r="125" spans="1:17">
      <c r="A125" s="199">
        <f t="shared" ref="A125" si="474">YEAR(H125)+IF(MONTH(H125)&gt;=4,1,0)</f>
        <v>2026</v>
      </c>
      <c r="B125" s="200">
        <f t="shared" ref="B125" si="475">YEAR(H125)</f>
        <v>2025</v>
      </c>
      <c r="C125" s="181">
        <f>YEAR(Table12[[#This Row],[Date]])</f>
        <v>2025</v>
      </c>
      <c r="D125" s="181" t="s">
        <v>155</v>
      </c>
      <c r="E125" s="181" t="s">
        <v>155</v>
      </c>
      <c r="F125" s="182">
        <v>45839</v>
      </c>
      <c r="G125" s="181">
        <f t="shared" ref="G125" si="476">DAY(EOMONTH(F125,0))</f>
        <v>31</v>
      </c>
      <c r="H125" s="183">
        <f t="shared" si="239"/>
        <v>45867</v>
      </c>
      <c r="I125" s="184">
        <f>'Modelling New'!$AQ$1</f>
        <v>11.72</v>
      </c>
      <c r="J125" s="25">
        <f>'Raw Data'!K126/J$1</f>
        <v>3.1971223383516332</v>
      </c>
      <c r="K125" s="25">
        <f>'Raw Data'!L126/K$1</f>
        <v>3.20400944267073</v>
      </c>
      <c r="L125" s="25">
        <f>'Raw Data'!M126/L$1</f>
        <v>3.1571722717913522</v>
      </c>
      <c r="M125" s="25">
        <f>'Raw Data'!N126/M$1</f>
        <v>3.2411335022835384</v>
      </c>
      <c r="N125" s="25">
        <f>'Raw Data'!O126/N$1</f>
        <v>3.1166696780612888</v>
      </c>
      <c r="O125" s="25">
        <f>'Raw Data'!P126/O$1</f>
        <v>3.2410891089108911</v>
      </c>
      <c r="P125" s="25">
        <f t="shared" ref="P125" si="477">IFERROR(AVERAGEIF(J125:O125,"&gt;"&amp;0,J125:O125),"")</f>
        <v>3.1928660570115723</v>
      </c>
      <c r="Q125" s="25">
        <f t="shared" ref="Q125" si="478">MAXA(J125:O125)</f>
        <v>3.2411335022835384</v>
      </c>
    </row>
    <row r="126" spans="1:17">
      <c r="A126" s="199">
        <f t="shared" ref="A126" si="479">YEAR(H126)+IF(MONTH(H126)&gt;=4,1,0)</f>
        <v>2026</v>
      </c>
      <c r="B126" s="200">
        <f t="shared" ref="B126" si="480">YEAR(H126)</f>
        <v>2025</v>
      </c>
      <c r="C126" s="181">
        <f>YEAR(Table12[[#This Row],[Date]])</f>
        <v>2025</v>
      </c>
      <c r="D126" s="181" t="s">
        <v>155</v>
      </c>
      <c r="E126" s="181" t="s">
        <v>155</v>
      </c>
      <c r="F126" s="182">
        <v>45839</v>
      </c>
      <c r="G126" s="181">
        <f t="shared" ref="G126" si="481">DAY(EOMONTH(F126,0))</f>
        <v>31</v>
      </c>
      <c r="H126" s="183">
        <f t="shared" si="239"/>
        <v>45868</v>
      </c>
      <c r="I126" s="184">
        <f>'Modelling New'!$AQ$1</f>
        <v>11.72</v>
      </c>
      <c r="J126" s="25">
        <f>'Raw Data'!K127/J$1</f>
        <v>2.5753059402080267</v>
      </c>
      <c r="K126" s="25">
        <f>'Raw Data'!L127/K$1</f>
        <v>2.5408562897393421</v>
      </c>
      <c r="L126" s="25">
        <f>'Raw Data'!M127/L$1</f>
        <v>2.4824540040294907</v>
      </c>
      <c r="M126" s="25">
        <f>'Raw Data'!N127/M$1</f>
        <v>2.6003875916464514</v>
      </c>
      <c r="N126" s="25">
        <f>'Raw Data'!O127/N$1</f>
        <v>2.5513525287051912</v>
      </c>
      <c r="O126" s="25">
        <f>'Raw Data'!P127/O$1</f>
        <v>2.605940594059406</v>
      </c>
      <c r="P126" s="25">
        <f t="shared" ref="P126" si="482">IFERROR(AVERAGEIF(J126:O126,"&gt;"&amp;0,J126:O126),"")</f>
        <v>2.5593828247313182</v>
      </c>
      <c r="Q126" s="25">
        <f t="shared" ref="Q126" si="483">MAXA(J126:O126)</f>
        <v>2.605940594059406</v>
      </c>
    </row>
    <row r="127" spans="1:17">
      <c r="A127" s="199">
        <f t="shared" ref="A127" si="484">YEAR(H127)+IF(MONTH(H127)&gt;=4,1,0)</f>
        <v>2026</v>
      </c>
      <c r="B127" s="200">
        <f t="shared" ref="B127" si="485">YEAR(H127)</f>
        <v>2025</v>
      </c>
      <c r="C127" s="181">
        <f>YEAR(Table12[[#This Row],[Date]])</f>
        <v>2025</v>
      </c>
      <c r="D127" s="181" t="s">
        <v>155</v>
      </c>
      <c r="E127" s="181" t="s">
        <v>155</v>
      </c>
      <c r="F127" s="182">
        <v>45839</v>
      </c>
      <c r="G127" s="181">
        <f t="shared" ref="G127" si="486">DAY(EOMONTH(F127,0))</f>
        <v>31</v>
      </c>
      <c r="H127" s="183">
        <f t="shared" si="239"/>
        <v>45869</v>
      </c>
      <c r="I127" s="184">
        <f>'Modelling New'!$AQ$1</f>
        <v>11.72</v>
      </c>
      <c r="J127" s="25">
        <f>'Raw Data'!K128/J$1</f>
        <v>3.7464941075853049</v>
      </c>
      <c r="K127" s="25">
        <f>'Raw Data'!L128/K$1</f>
        <v>3.8715934629936419</v>
      </c>
      <c r="L127" s="25">
        <f>'Raw Data'!M128/L$1</f>
        <v>3.8545840990103395</v>
      </c>
      <c r="M127" s="25">
        <f>'Raw Data'!N128/M$1</f>
        <v>3.9810811909634229</v>
      </c>
      <c r="N127" s="25">
        <f>'Raw Data'!O128/N$1</f>
        <v>3.8824714556916597</v>
      </c>
      <c r="O127" s="25">
        <f>'Raw Data'!P128/O$1</f>
        <v>3.968811881188119</v>
      </c>
      <c r="P127" s="25">
        <f t="shared" ref="P127" si="487">IFERROR(AVERAGEIF(J127:O127,"&gt;"&amp;0,J127:O127),"")</f>
        <v>3.8841726995720816</v>
      </c>
      <c r="Q127" s="25">
        <f t="shared" ref="Q127" si="488">MAXA(J127:O127)</f>
        <v>3.9810811909634229</v>
      </c>
    </row>
    <row r="128" spans="1:17">
      <c r="A128" s="199">
        <f t="shared" ref="A128" si="489">YEAR(H128)+IF(MONTH(H128)&gt;=4,1,0)</f>
        <v>2026</v>
      </c>
      <c r="B128" s="200">
        <f t="shared" ref="B128" si="490">YEAR(H128)</f>
        <v>2025</v>
      </c>
      <c r="C128" s="181">
        <f>YEAR(Table12[[#This Row],[Date]])</f>
        <v>2025</v>
      </c>
      <c r="D128" s="181" t="s">
        <v>155</v>
      </c>
      <c r="E128" s="181" t="s">
        <v>155</v>
      </c>
      <c r="F128" s="182">
        <v>45839</v>
      </c>
      <c r="G128" s="181">
        <f t="shared" ref="G128" si="491">DAY(EOMONTH(F128,0))</f>
        <v>31</v>
      </c>
      <c r="H128" s="183">
        <f t="shared" si="239"/>
        <v>45870</v>
      </c>
      <c r="I128" s="184">
        <f>'Modelling New'!$AQ$1</f>
        <v>11.72</v>
      </c>
      <c r="J128" s="25">
        <f>'Raw Data'!K129/J$1</f>
        <v>4.2681960532769878</v>
      </c>
      <c r="K128" s="25">
        <f>'Raw Data'!L129/K$1</f>
        <v>4.2876026791978159</v>
      </c>
      <c r="L128" s="25">
        <f>'Raw Data'!M129/L$1</f>
        <v>4.2387141054309563</v>
      </c>
      <c r="M128" s="25">
        <f>'Raw Data'!N129/M$1</f>
        <v>4.4152922522327183</v>
      </c>
      <c r="N128" s="25">
        <f>'Raw Data'!O129/N$1</f>
        <v>4.2784904745050385</v>
      </c>
      <c r="O128" s="25">
        <f>'Raw Data'!P129/O$1</f>
        <v>4.3806930693069308</v>
      </c>
      <c r="P128" s="25">
        <f t="shared" ref="P128" si="492">IFERROR(AVERAGEIF(J128:O128,"&gt;"&amp;0,J128:O128),"")</f>
        <v>4.3114981056584076</v>
      </c>
      <c r="Q128" s="25">
        <f t="shared" ref="Q128" si="493">MAXA(J128:O128)</f>
        <v>4.4152922522327183</v>
      </c>
    </row>
    <row r="129" spans="1:17">
      <c r="A129" s="199">
        <f t="shared" ref="A129" si="494">YEAR(H129)+IF(MONTH(H129)&gt;=4,1,0)</f>
        <v>2026</v>
      </c>
      <c r="B129" s="200">
        <f t="shared" ref="B129" si="495">YEAR(H129)</f>
        <v>2025</v>
      </c>
      <c r="C129" s="181">
        <f>YEAR(Table12[[#This Row],[Date]])</f>
        <v>2025</v>
      </c>
      <c r="D129" s="181" t="s">
        <v>155</v>
      </c>
      <c r="E129" s="181" t="s">
        <v>155</v>
      </c>
      <c r="F129" s="182">
        <v>45839</v>
      </c>
      <c r="G129" s="181">
        <f t="shared" ref="G129" si="496">DAY(EOMONTH(F129,0))</f>
        <v>31</v>
      </c>
      <c r="H129" s="183">
        <f t="shared" si="239"/>
        <v>45871</v>
      </c>
      <c r="I129" s="184">
        <f>'Modelling New'!$AQ$1</f>
        <v>11.72</v>
      </c>
      <c r="J129" s="25">
        <f>'Raw Data'!K130/J$1</f>
        <v>4.3647888918235678</v>
      </c>
      <c r="K129" s="25">
        <f>'Raw Data'!L130/K$1</f>
        <v>4.3934511779953285</v>
      </c>
      <c r="L129" s="25">
        <f>'Raw Data'!M130/L$1</f>
        <v>4.2995992649500741</v>
      </c>
      <c r="M129" s="25">
        <f>'Raw Data'!N130/M$1</f>
        <v>4.5209990649012726</v>
      </c>
      <c r="N129" s="25">
        <f>'Raw Data'!O130/N$1</f>
        <v>4.4116518695810365</v>
      </c>
      <c r="O129" s="25">
        <f>'Raw Data'!P130/O$1</f>
        <v>4.4326732673267326</v>
      </c>
      <c r="P129" s="25">
        <f t="shared" ref="P129" si="497">IFERROR(AVERAGEIF(J129:O129,"&gt;"&amp;0,J129:O129),"")</f>
        <v>4.4038605894296685</v>
      </c>
      <c r="Q129" s="25">
        <f t="shared" ref="Q129" si="498">MAXA(J129:O129)</f>
        <v>4.5209990649012726</v>
      </c>
    </row>
    <row r="130" spans="1:17">
      <c r="A130" s="199">
        <f t="shared" ref="A130" si="499">YEAR(H130)+IF(MONTH(H130)&gt;=4,1,0)</f>
        <v>2026</v>
      </c>
      <c r="B130" s="200">
        <f t="shared" ref="B130" si="500">YEAR(H130)</f>
        <v>2025</v>
      </c>
      <c r="C130" s="181">
        <f>YEAR(Table12[[#This Row],[Date]])</f>
        <v>2025</v>
      </c>
      <c r="D130" s="181" t="s">
        <v>155</v>
      </c>
      <c r="E130" s="181" t="s">
        <v>155</v>
      </c>
      <c r="F130" s="182">
        <v>45839</v>
      </c>
      <c r="G130" s="181">
        <f t="shared" ref="G130" si="501">DAY(EOMONTH(F130,0))</f>
        <v>31</v>
      </c>
      <c r="H130" s="183">
        <f t="shared" si="239"/>
        <v>45872</v>
      </c>
      <c r="I130" s="184">
        <f>'Modelling New'!$AQ$1</f>
        <v>11.72</v>
      </c>
      <c r="J130" s="25">
        <f>'Raw Data'!K131/J$1</f>
        <v>3.6061326390723063</v>
      </c>
      <c r="K130" s="25">
        <f>'Raw Data'!L131/K$1</f>
        <v>3.6608811025967345</v>
      </c>
      <c r="L130" s="25">
        <f>'Raw Data'!M131/L$1</f>
        <v>3.5806008811743086</v>
      </c>
      <c r="M130" s="25">
        <f>'Raw Data'!N131/M$1</f>
        <v>3.7002805296182362</v>
      </c>
      <c r="N130" s="25">
        <f>'Raw Data'!O131/N$1</f>
        <v>3.5706064783761238</v>
      </c>
      <c r="O130" s="25">
        <f>'Raw Data'!P131/O$1</f>
        <v>3.6336633663366338</v>
      </c>
      <c r="P130" s="25">
        <f t="shared" ref="P130" si="502">IFERROR(AVERAGEIF(J130:O130,"&gt;"&amp;0,J130:O130),"")</f>
        <v>3.6253608328623907</v>
      </c>
      <c r="Q130" s="25">
        <f t="shared" ref="Q130" si="503">MAXA(J130:O130)</f>
        <v>3.7002805296182362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9"/>
  <sheetViews>
    <sheetView zoomScale="106" zoomScaleNormal="106" workbookViewId="0">
      <pane xSplit="1" ySplit="1" topLeftCell="B114" activePane="bottomRight" state="frozen"/>
      <selection pane="topRight" activeCell="B1" sqref="B1"/>
      <selection pane="bottomLeft" activeCell="A2" sqref="A2"/>
      <selection pane="bottomRight" activeCell="A130" sqref="A130"/>
    </sheetView>
  </sheetViews>
  <sheetFormatPr defaultColWidth="9" defaultRowHeight="14.5"/>
  <cols>
    <col min="1" max="2" width="11.26953125" customWidth="1"/>
    <col min="3" max="3" width="12.26953125" customWidth="1"/>
    <col min="4" max="4" width="14.26953125" customWidth="1"/>
    <col min="5" max="5" width="13" customWidth="1"/>
    <col min="6" max="6" width="10.7265625" customWidth="1"/>
    <col min="7" max="7" width="9" customWidth="1"/>
    <col min="8" max="8" width="15" customWidth="1"/>
    <col min="9" max="9" width="18.453125" style="2" customWidth="1"/>
    <col min="10" max="10" width="9.54296875" customWidth="1"/>
    <col min="11" max="15" width="8.7265625" customWidth="1"/>
    <col min="16" max="16" width="8.54296875" customWidth="1"/>
    <col min="17" max="21" width="9.54296875" customWidth="1"/>
  </cols>
  <sheetData>
    <row r="1" spans="1:21" ht="24">
      <c r="A1" s="186" t="s">
        <v>125</v>
      </c>
      <c r="B1" s="186" t="s">
        <v>209</v>
      </c>
      <c r="C1" s="186" t="s">
        <v>126</v>
      </c>
      <c r="D1" s="186" t="s">
        <v>127</v>
      </c>
      <c r="E1" s="186" t="s">
        <v>128</v>
      </c>
      <c r="F1" s="186" t="s">
        <v>84</v>
      </c>
      <c r="G1" s="186" t="s">
        <v>63</v>
      </c>
      <c r="H1" s="187" t="s">
        <v>34</v>
      </c>
      <c r="I1" s="187" t="s">
        <v>129</v>
      </c>
      <c r="J1" s="186" t="s">
        <v>212</v>
      </c>
      <c r="K1" s="186" t="s">
        <v>213</v>
      </c>
      <c r="L1" s="186" t="s">
        <v>214</v>
      </c>
      <c r="M1" s="186" t="s">
        <v>215</v>
      </c>
      <c r="N1" s="186" t="s">
        <v>216</v>
      </c>
      <c r="O1" s="186" t="s">
        <v>217</v>
      </c>
      <c r="P1" s="186" t="s">
        <v>218</v>
      </c>
      <c r="Q1" s="186" t="s">
        <v>219</v>
      </c>
      <c r="R1" s="186" t="s">
        <v>220</v>
      </c>
      <c r="S1" s="186" t="s">
        <v>221</v>
      </c>
      <c r="T1" s="186" t="s">
        <v>222</v>
      </c>
      <c r="U1" s="188" t="s">
        <v>223</v>
      </c>
    </row>
    <row r="2" spans="1:21">
      <c r="A2" s="189" t="s">
        <v>156</v>
      </c>
      <c r="B2" s="189">
        <v>4</v>
      </c>
      <c r="C2" s="189" t="str">
        <f>TEXT(Table5[[#This Row],[Date]],"yyyy")</f>
        <v>2025</v>
      </c>
      <c r="D2" s="15" t="s">
        <v>224</v>
      </c>
      <c r="E2" s="15" t="s">
        <v>224</v>
      </c>
      <c r="F2" s="190" t="str">
        <f>TEXT(Table5[[#This Row],[Date]],"mmm-yy")</f>
        <v>Mar-25</v>
      </c>
      <c r="G2" s="189">
        <f t="shared" ref="G2" si="0">DAY(EOMONTH(F2,0))</f>
        <v>31</v>
      </c>
      <c r="H2" s="191">
        <v>45745</v>
      </c>
      <c r="I2" s="189">
        <v>11.72</v>
      </c>
      <c r="J2" s="192">
        <f>IFERROR(Inv_SY!J3/Inv_SY!$P3-1,"")</f>
        <v>2.8655648617277318E-3</v>
      </c>
      <c r="K2" s="192">
        <f>IFERROR(Inv_SY!K3/Inv_SY!$P3-1,"")</f>
        <v>-1.4452112828702846E-2</v>
      </c>
      <c r="L2" s="192">
        <f>IFERROR(Inv_SY!L3/Inv_SY!$P3-1,"")</f>
        <v>-1.5087319817184919E-2</v>
      </c>
      <c r="M2" s="192">
        <f>IFERROR(Inv_SY!M3/Inv_SY!$P3-1,"")</f>
        <v>2.7426097753809664E-2</v>
      </c>
      <c r="N2" s="192">
        <f>IFERROR(Inv_SY!N3/Inv_SY!$P3-1,"")</f>
        <v>1.2785299774931147E-3</v>
      </c>
      <c r="O2" s="192">
        <f>IFERROR(Inv_SY!O3/Inv_SY!$P3-1,"")</f>
        <v>-2.0307599471438564E-3</v>
      </c>
      <c r="P2" s="192">
        <f>IFERROR(Inv_SY!P3/Inv_SY!$P3-1,"")</f>
        <v>0</v>
      </c>
      <c r="Q2" s="192">
        <f>IFERROR(Inv_SY!Q3/Inv_SY!$P3-1,"")</f>
        <v>2.7426097753809664E-2</v>
      </c>
      <c r="R2" s="192">
        <f>IFERROR(Inv_SY!L3/Inv_SY!$Q3-1,"")</f>
        <v>-4.1378565002328282E-2</v>
      </c>
      <c r="S2" s="192">
        <f>IFERROR(Inv_SY!M3/Inv_SY!$Q3-1,"")</f>
        <v>0</v>
      </c>
      <c r="T2" s="192">
        <f>IFERROR(Inv_SY!N3/Inv_SY!$Q3-1,"")</f>
        <v>-2.5449584971105166E-2</v>
      </c>
      <c r="U2" s="193">
        <f>IFERROR(Inv_SY!O3/Inv_SY!$Q3-1,"")</f>
        <v>-2.8670536757196441E-2</v>
      </c>
    </row>
    <row r="3" spans="1:21">
      <c r="A3" s="143">
        <f t="shared" ref="A3" si="1">YEAR(H3)+IF(MONTH(H3)&gt;=4,1,0)</f>
        <v>2025</v>
      </c>
      <c r="B3" s="116">
        <f t="shared" ref="B3" si="2">YEAR(H3)</f>
        <v>2025</v>
      </c>
      <c r="C3" s="189" t="str">
        <f>TEXT(Table5[[#This Row],[Date]],"yyyy")</f>
        <v>2025</v>
      </c>
      <c r="D3" s="15" t="s">
        <v>224</v>
      </c>
      <c r="E3" s="15" t="s">
        <v>224</v>
      </c>
      <c r="F3" s="190" t="str">
        <f>TEXT(Table5[[#This Row],[Date]],"mmm-yy")</f>
        <v>Mar-25</v>
      </c>
      <c r="G3" s="189">
        <f t="shared" ref="G3" si="3">DAY(EOMONTH(F3,0))</f>
        <v>31</v>
      </c>
      <c r="H3" s="191">
        <f t="shared" ref="H3:H66" si="4">H2+1</f>
        <v>45746</v>
      </c>
      <c r="I3" s="189">
        <v>11.72</v>
      </c>
      <c r="J3" s="192">
        <f>IFERROR(Inv_SY!J4/Inv_SY!$P4-1,"")</f>
        <v>-5.8440763983665933E-3</v>
      </c>
      <c r="K3" s="192">
        <f>IFERROR(Inv_SY!K4/Inv_SY!$P4-1,"")</f>
        <v>-1.842229874586665E-2</v>
      </c>
      <c r="L3" s="192">
        <f>IFERROR(Inv_SY!L4/Inv_SY!$P4-1,"")</f>
        <v>-8.2909646417727023E-3</v>
      </c>
      <c r="M3" s="192">
        <f>IFERROR(Inv_SY!M4/Inv_SY!$P4-1,"")</f>
        <v>2.4965293809900757E-2</v>
      </c>
      <c r="N3" s="192">
        <f>IFERROR(Inv_SY!N4/Inv_SY!$P4-1,"")</f>
        <v>8.5774394609126059E-3</v>
      </c>
      <c r="O3" s="192">
        <f>IFERROR(Inv_SY!O4/Inv_SY!$P4-1,"")</f>
        <v>-9.853934848068624E-4</v>
      </c>
      <c r="P3" s="192">
        <f>IFERROR(Inv_SY!P4/Inv_SY!$P4-1,"")</f>
        <v>0</v>
      </c>
      <c r="Q3" s="192">
        <f>IFERROR(Inv_SY!Q4/Inv_SY!$P4-1,"")</f>
        <v>2.4965293809900757E-2</v>
      </c>
      <c r="R3" s="192">
        <f>IFERROR(Inv_SY!L4/Inv_SY!$Q4-1,"")</f>
        <v>-3.2446228816252476E-2</v>
      </c>
      <c r="S3" s="192">
        <f>IFERROR(Inv_SY!M4/Inv_SY!$Q4-1,"")</f>
        <v>0</v>
      </c>
      <c r="T3" s="192">
        <f>IFERROR(Inv_SY!N4/Inv_SY!$Q4-1,"")</f>
        <v>-1.59886919566542E-2</v>
      </c>
      <c r="U3" s="193">
        <f>IFERROR(Inv_SY!O4/Inv_SY!$Q4-1,"")</f>
        <v>-2.5318600982328188E-2</v>
      </c>
    </row>
    <row r="4" spans="1:21">
      <c r="A4" s="143">
        <f t="shared" ref="A4:A40" si="5">YEAR(H4)+IF(MONTH(H4)&gt;=4,1,0)</f>
        <v>2025</v>
      </c>
      <c r="B4" s="116">
        <f t="shared" ref="B4:B40" si="6">YEAR(H4)</f>
        <v>2025</v>
      </c>
      <c r="C4" s="189" t="str">
        <f>TEXT(Table5[[#This Row],[Date]],"yyyy")</f>
        <v>2025</v>
      </c>
      <c r="D4" s="15" t="s">
        <v>224</v>
      </c>
      <c r="E4" s="15" t="s">
        <v>224</v>
      </c>
      <c r="F4" s="190" t="str">
        <f>TEXT(Table5[[#This Row],[Date]],"mmm-yy")</f>
        <v>Mar-25</v>
      </c>
      <c r="G4" s="189">
        <f t="shared" ref="G4" si="7">DAY(EOMONTH(F4,0))</f>
        <v>31</v>
      </c>
      <c r="H4" s="191">
        <f t="shared" si="4"/>
        <v>45747</v>
      </c>
      <c r="I4" s="189">
        <v>11.72</v>
      </c>
      <c r="J4" s="192">
        <f>IFERROR(Inv_SY!J5/Inv_SY!$P5-1,"")</f>
        <v>-9.7634645630365613E-3</v>
      </c>
      <c r="K4" s="192">
        <f>IFERROR(Inv_SY!K5/Inv_SY!$P5-1,"")</f>
        <v>-1.0423860126928197E-2</v>
      </c>
      <c r="L4" s="192">
        <f>IFERROR(Inv_SY!L5/Inv_SY!$P5-1,"")</f>
        <v>-1.1474193742893601E-2</v>
      </c>
      <c r="M4" s="192">
        <f>IFERROR(Inv_SY!M5/Inv_SY!$P5-1,"")</f>
        <v>2.1659123880791942E-2</v>
      </c>
      <c r="N4" s="192">
        <f>IFERROR(Inv_SY!N5/Inv_SY!$P5-1,"")</f>
        <v>8.8145252636362414E-3</v>
      </c>
      <c r="O4" s="192">
        <f>IFERROR(Inv_SY!O5/Inv_SY!$P5-1,"")</f>
        <v>1.1878692884295106E-3</v>
      </c>
      <c r="P4" s="192">
        <f>IFERROR(Inv_SY!P5/Inv_SY!$P5-1,"")</f>
        <v>0</v>
      </c>
      <c r="Q4" s="192">
        <f>IFERROR(Inv_SY!Q5/Inv_SY!$P5-1,"")</f>
        <v>2.1659123880791942E-2</v>
      </c>
      <c r="R4" s="192">
        <f>IFERROR(Inv_SY!L5/Inv_SY!$Q5-1,"")</f>
        <v>-3.2430892896867514E-2</v>
      </c>
      <c r="S4" s="192">
        <f>IFERROR(Inv_SY!M5/Inv_SY!$Q5-1,"")</f>
        <v>0</v>
      </c>
      <c r="T4" s="192">
        <f>IFERROR(Inv_SY!N5/Inv_SY!$Q5-1,"")</f>
        <v>-1.2572293749372299E-2</v>
      </c>
      <c r="U4" s="193">
        <f>IFERROR(Inv_SY!O5/Inv_SY!$Q5-1,"")</f>
        <v>-2.0037264987760151E-2</v>
      </c>
    </row>
    <row r="5" spans="1:21">
      <c r="A5" s="143">
        <f t="shared" si="5"/>
        <v>2026</v>
      </c>
      <c r="B5" s="116">
        <f t="shared" si="6"/>
        <v>2025</v>
      </c>
      <c r="C5" s="189" t="str">
        <f>TEXT(Table5[[#This Row],[Date]],"yyyy")</f>
        <v>2025</v>
      </c>
      <c r="D5" s="15" t="s">
        <v>224</v>
      </c>
      <c r="E5" s="15" t="s">
        <v>224</v>
      </c>
      <c r="F5" s="190" t="str">
        <f>TEXT(Table5[[#This Row],[Date]],"mmm-yy")</f>
        <v>Apr-25</v>
      </c>
      <c r="G5" s="189">
        <f t="shared" ref="G5" si="8">DAY(EOMONTH(F5,0))</f>
        <v>30</v>
      </c>
      <c r="H5" s="191">
        <f t="shared" si="4"/>
        <v>45748</v>
      </c>
      <c r="I5" s="189">
        <v>11.72</v>
      </c>
      <c r="J5" s="192">
        <f>IFERROR(Inv_SY!J6/Inv_SY!$P6-1,"")</f>
        <v>-1.8972607212268788E-2</v>
      </c>
      <c r="K5" s="192">
        <f>IFERROR(Inv_SY!K6/Inv_SY!$P6-1,"")</f>
        <v>-1.0151998294045006E-2</v>
      </c>
      <c r="L5" s="192">
        <f>IFERROR(Inv_SY!L6/Inv_SY!$P6-1,"")</f>
        <v>-7.1849840036884993E-3</v>
      </c>
      <c r="M5" s="192">
        <f>IFERROR(Inv_SY!M6/Inv_SY!$P6-1,"")</f>
        <v>1.870865913188946E-2</v>
      </c>
      <c r="N5" s="192">
        <f>IFERROR(Inv_SY!N6/Inv_SY!$P6-1,"")</f>
        <v>2.1079972269462788E-2</v>
      </c>
      <c r="O5" s="192">
        <f>IFERROR(Inv_SY!O6/Inv_SY!$P6-1,"")</f>
        <v>-3.4790418913501764E-3</v>
      </c>
      <c r="P5" s="192">
        <f>IFERROR(Inv_SY!P6/Inv_SY!$P6-1,"")</f>
        <v>0</v>
      </c>
      <c r="Q5" s="192">
        <f>IFERROR(Inv_SY!Q6/Inv_SY!$P6-1,"")</f>
        <v>2.1079972269462788E-2</v>
      </c>
      <c r="R5" s="192">
        <f>IFERROR(Inv_SY!L6/Inv_SY!$Q6-1,"")</f>
        <v>-2.7681432444835341E-2</v>
      </c>
      <c r="S5" s="192">
        <f>IFERROR(Inv_SY!M6/Inv_SY!$Q6-1,"")</f>
        <v>-2.3223578974945758E-3</v>
      </c>
      <c r="T5" s="192">
        <f>IFERROR(Inv_SY!N6/Inv_SY!$Q6-1,"")</f>
        <v>0</v>
      </c>
      <c r="U5" s="193">
        <f>IFERROR(Inv_SY!O6/Inv_SY!$Q6-1,"")</f>
        <v>-2.4051998695291177E-2</v>
      </c>
    </row>
    <row r="6" spans="1:21">
      <c r="A6" s="143">
        <f t="shared" si="5"/>
        <v>2026</v>
      </c>
      <c r="B6" s="116">
        <f t="shared" si="6"/>
        <v>2025</v>
      </c>
      <c r="C6" s="189" t="str">
        <f>TEXT(Table5[[#This Row],[Date]],"yyyy")</f>
        <v>2025</v>
      </c>
      <c r="D6" s="15" t="s">
        <v>224</v>
      </c>
      <c r="E6" s="15" t="s">
        <v>224</v>
      </c>
      <c r="F6" s="190" t="str">
        <f>TEXT(Table5[[#This Row],[Date]],"mmm-yy")</f>
        <v>Apr-25</v>
      </c>
      <c r="G6" s="189">
        <f t="shared" ref="G6" si="9">DAY(EOMONTH(F6,0))</f>
        <v>30</v>
      </c>
      <c r="H6" s="191">
        <f t="shared" si="4"/>
        <v>45749</v>
      </c>
      <c r="I6" s="189">
        <v>11.72</v>
      </c>
      <c r="J6" s="192">
        <f>IFERROR(Inv_SY!J7/Inv_SY!$P7-1,"")</f>
        <v>-3.6272607155786174E-2</v>
      </c>
      <c r="K6" s="192">
        <f>IFERROR(Inv_SY!K7/Inv_SY!$P7-1,"")</f>
        <v>-1.9160367562832126E-2</v>
      </c>
      <c r="L6" s="192">
        <f>IFERROR(Inv_SY!L7/Inv_SY!$P7-1,"")</f>
        <v>-7.3270220666210584E-4</v>
      </c>
      <c r="M6" s="192">
        <f>IFERROR(Inv_SY!M7/Inv_SY!$P7-1,"")</f>
        <v>3.1048198150327666E-2</v>
      </c>
      <c r="N6" s="192">
        <f>IFERROR(Inv_SY!N7/Inv_SY!$P7-1,"")</f>
        <v>2.5257420978194167E-2</v>
      </c>
      <c r="O6" s="192">
        <f>IFERROR(Inv_SY!O7/Inv_SY!$P7-1,"")</f>
        <v>-1.3994220324109463E-4</v>
      </c>
      <c r="P6" s="192">
        <f>IFERROR(Inv_SY!P7/Inv_SY!$P7-1,"")</f>
        <v>0</v>
      </c>
      <c r="Q6" s="192">
        <f>IFERROR(Inv_SY!Q7/Inv_SY!$P7-1,"")</f>
        <v>3.1048198150327666E-2</v>
      </c>
      <c r="R6" s="192">
        <f>IFERROR(Inv_SY!L7/Inv_SY!$Q7-1,"")</f>
        <v>-3.0823874590929723E-2</v>
      </c>
      <c r="S6" s="192">
        <f>IFERROR(Inv_SY!M7/Inv_SY!$Q7-1,"")</f>
        <v>0</v>
      </c>
      <c r="T6" s="192">
        <f>IFERROR(Inv_SY!N7/Inv_SY!$Q7-1,"")</f>
        <v>-5.6163981300990651E-3</v>
      </c>
      <c r="U6" s="193">
        <f>IFERROR(Inv_SY!O7/Inv_SY!$Q7-1,"")</f>
        <v>-3.0248964509631548E-2</v>
      </c>
    </row>
    <row r="7" spans="1:21">
      <c r="A7" s="143">
        <f t="shared" si="5"/>
        <v>2026</v>
      </c>
      <c r="B7" s="116">
        <f t="shared" si="6"/>
        <v>2025</v>
      </c>
      <c r="C7" s="189" t="str">
        <f>TEXT(Table5[[#This Row],[Date]],"yyyy")</f>
        <v>2025</v>
      </c>
      <c r="D7" s="15" t="s">
        <v>224</v>
      </c>
      <c r="E7" s="15" t="s">
        <v>224</v>
      </c>
      <c r="F7" s="190" t="str">
        <f>TEXT(Table5[[#This Row],[Date]],"mmm-yy")</f>
        <v>Apr-25</v>
      </c>
      <c r="G7" s="189">
        <f t="shared" ref="G7" si="10">DAY(EOMONTH(F7,0))</f>
        <v>30</v>
      </c>
      <c r="H7" s="191">
        <f t="shared" si="4"/>
        <v>45750</v>
      </c>
      <c r="I7" s="189">
        <v>11.72</v>
      </c>
      <c r="J7" s="192">
        <f>IFERROR(Inv_SY!J8/Inv_SY!$P8-1,"")</f>
        <v>-1.283160681672102E-2</v>
      </c>
      <c r="K7" s="192">
        <f>IFERROR(Inv_SY!K8/Inv_SY!$P8-1,"")</f>
        <v>-1.8342743558164343E-2</v>
      </c>
      <c r="L7" s="192">
        <f>IFERROR(Inv_SY!L8/Inv_SY!$P8-1,"")</f>
        <v>-6.2419180038227884E-3</v>
      </c>
      <c r="M7" s="192">
        <f>IFERROR(Inv_SY!M8/Inv_SY!$P8-1,"")</f>
        <v>8.3708315869308603E-3</v>
      </c>
      <c r="N7" s="192">
        <f>IFERROR(Inv_SY!N8/Inv_SY!$P8-1,"")</f>
        <v>1.2796169894216947E-2</v>
      </c>
      <c r="O7" s="192">
        <f>IFERROR(Inv_SY!O8/Inv_SY!$P8-1,"")</f>
        <v>1.6249266897560899E-2</v>
      </c>
      <c r="P7" s="192">
        <f>IFERROR(Inv_SY!P8/Inv_SY!$P8-1,"")</f>
        <v>0</v>
      </c>
      <c r="Q7" s="192">
        <f>IFERROR(Inv_SY!Q8/Inv_SY!$P8-1,"")</f>
        <v>1.6249266897560899E-2</v>
      </c>
      <c r="R7" s="192">
        <f>IFERROR(Inv_SY!L8/Inv_SY!$Q8-1,"")</f>
        <v>-2.2131563223701467E-2</v>
      </c>
      <c r="S7" s="192">
        <f>IFERROR(Inv_SY!M8/Inv_SY!$Q8-1,"")</f>
        <v>-7.7524634627108568E-3</v>
      </c>
      <c r="T7" s="192">
        <f>IFERROR(Inv_SY!N8/Inv_SY!$Q8-1,"")</f>
        <v>-3.3978838812702694E-3</v>
      </c>
      <c r="U7" s="193">
        <f>IFERROR(Inv_SY!O8/Inv_SY!$Q8-1,"")</f>
        <v>0</v>
      </c>
    </row>
    <row r="8" spans="1:21">
      <c r="A8" s="143">
        <f t="shared" si="5"/>
        <v>2026</v>
      </c>
      <c r="B8" s="116">
        <f t="shared" si="6"/>
        <v>2025</v>
      </c>
      <c r="C8" s="189" t="str">
        <f>TEXT(Table5[[#This Row],[Date]],"yyyy")</f>
        <v>2025</v>
      </c>
      <c r="D8" s="15" t="s">
        <v>224</v>
      </c>
      <c r="E8" s="15" t="s">
        <v>224</v>
      </c>
      <c r="F8" s="190" t="str">
        <f>TEXT(Table5[[#This Row],[Date]],"mmm-yy")</f>
        <v>Apr-25</v>
      </c>
      <c r="G8" s="189">
        <f t="shared" ref="G8" si="11">DAY(EOMONTH(F8,0))</f>
        <v>30</v>
      </c>
      <c r="H8" s="191">
        <f t="shared" si="4"/>
        <v>45751</v>
      </c>
      <c r="I8" s="189">
        <v>11.72</v>
      </c>
      <c r="J8" s="192">
        <f>IFERROR(Inv_SY!J9/Inv_SY!$P9-1,"")</f>
        <v>-2.286352412058823E-2</v>
      </c>
      <c r="K8" s="192">
        <f>IFERROR(Inv_SY!K9/Inv_SY!$P9-1,"")</f>
        <v>-1.8187433853946611E-2</v>
      </c>
      <c r="L8" s="192">
        <f>IFERROR(Inv_SY!L9/Inv_SY!$P9-1,"")</f>
        <v>-1.3532005493802512E-2</v>
      </c>
      <c r="M8" s="192">
        <f>IFERROR(Inv_SY!M9/Inv_SY!$P9-1,"")</f>
        <v>1.5341557561257435E-2</v>
      </c>
      <c r="N8" s="192">
        <f>IFERROR(Inv_SY!N9/Inv_SY!$P9-1,"")</f>
        <v>2.5366723226270649E-2</v>
      </c>
      <c r="O8" s="192">
        <f>IFERROR(Inv_SY!O9/Inv_SY!$P9-1,"")</f>
        <v>1.3874682680809158E-2</v>
      </c>
      <c r="P8" s="192">
        <f>IFERROR(Inv_SY!P9/Inv_SY!$P9-1,"")</f>
        <v>0</v>
      </c>
      <c r="Q8" s="192">
        <f>IFERROR(Inv_SY!Q9/Inv_SY!$P9-1,"")</f>
        <v>2.5366723226270649E-2</v>
      </c>
      <c r="R8" s="192">
        <f>IFERROR(Inv_SY!L9/Inv_SY!$Q9-1,"")</f>
        <v>-3.7936406398756506E-2</v>
      </c>
      <c r="S8" s="192">
        <f>IFERROR(Inv_SY!M9/Inv_SY!$Q9-1,"")</f>
        <v>-9.7771513722128001E-3</v>
      </c>
      <c r="T8" s="192">
        <f>IFERROR(Inv_SY!N9/Inv_SY!$Q9-1,"")</f>
        <v>0</v>
      </c>
      <c r="U8" s="193">
        <f>IFERROR(Inv_SY!O9/Inv_SY!$Q9-1,"")</f>
        <v>-1.1207736983410488E-2</v>
      </c>
    </row>
    <row r="9" spans="1:21">
      <c r="A9" s="143">
        <f t="shared" si="5"/>
        <v>2026</v>
      </c>
      <c r="B9" s="116">
        <f t="shared" si="6"/>
        <v>2025</v>
      </c>
      <c r="C9" s="189" t="str">
        <f>TEXT(Table5[[#This Row],[Date]],"yyyy")</f>
        <v>2025</v>
      </c>
      <c r="D9" s="15" t="s">
        <v>224</v>
      </c>
      <c r="E9" s="15" t="s">
        <v>224</v>
      </c>
      <c r="F9" s="190" t="str">
        <f>TEXT(Table5[[#This Row],[Date]],"mmm-yy")</f>
        <v>Apr-25</v>
      </c>
      <c r="G9" s="189">
        <f t="shared" ref="G9" si="12">DAY(EOMONTH(F9,0))</f>
        <v>30</v>
      </c>
      <c r="H9" s="191">
        <f t="shared" si="4"/>
        <v>45752</v>
      </c>
      <c r="I9" s="189">
        <v>11.72</v>
      </c>
      <c r="J9" s="192">
        <f>IFERROR(Inv_SY!J10/Inv_SY!$P10-1,"")</f>
        <v>1.7988168046174646E-3</v>
      </c>
      <c r="K9" s="192">
        <f>IFERROR(Inv_SY!K10/Inv_SY!$P10-1,"")</f>
        <v>-2.5951196100918672E-2</v>
      </c>
      <c r="L9" s="192">
        <f>IFERROR(Inv_SY!L10/Inv_SY!$P10-1,"")</f>
        <v>-1.9339848084747313E-2</v>
      </c>
      <c r="M9" s="192">
        <f>IFERROR(Inv_SY!M10/Inv_SY!$P10-1,"")</f>
        <v>1.2782648077032333E-2</v>
      </c>
      <c r="N9" s="192">
        <f>IFERROR(Inv_SY!N10/Inv_SY!$P10-1,"")</f>
        <v>1.6938637789690514E-2</v>
      </c>
      <c r="O9" s="192">
        <f>IFERROR(Inv_SY!O10/Inv_SY!$P10-1,"")</f>
        <v>1.3770941514325008E-2</v>
      </c>
      <c r="P9" s="192">
        <f>IFERROR(Inv_SY!P10/Inv_SY!$P10-1,"")</f>
        <v>0</v>
      </c>
      <c r="Q9" s="192">
        <f>IFERROR(Inv_SY!Q10/Inv_SY!$P10-1,"")</f>
        <v>1.6938637789690514E-2</v>
      </c>
      <c r="R9" s="192">
        <f>IFERROR(Inv_SY!L10/Inv_SY!$Q10-1,"")</f>
        <v>-3.5674213296968404E-2</v>
      </c>
      <c r="S9" s="192">
        <f>IFERROR(Inv_SY!M10/Inv_SY!$Q10-1,"")</f>
        <v>-4.0867654725866842E-3</v>
      </c>
      <c r="T9" s="192">
        <f>IFERROR(Inv_SY!N10/Inv_SY!$Q10-1,"")</f>
        <v>0</v>
      </c>
      <c r="U9" s="193">
        <f>IFERROR(Inv_SY!O10/Inv_SY!$Q10-1,"")</f>
        <v>-3.1149335443193538E-3</v>
      </c>
    </row>
    <row r="10" spans="1:21">
      <c r="A10" s="143">
        <f t="shared" si="5"/>
        <v>2026</v>
      </c>
      <c r="B10" s="116">
        <f t="shared" si="6"/>
        <v>2025</v>
      </c>
      <c r="C10" s="189" t="str">
        <f>TEXT(Table5[[#This Row],[Date]],"yyyy")</f>
        <v>2025</v>
      </c>
      <c r="D10" s="15" t="s">
        <v>224</v>
      </c>
      <c r="E10" s="15" t="s">
        <v>224</v>
      </c>
      <c r="F10" s="190" t="str">
        <f>TEXT(Table5[[#This Row],[Date]],"mmm-yy")</f>
        <v>Apr-25</v>
      </c>
      <c r="G10" s="189">
        <f t="shared" ref="G10" si="13">DAY(EOMONTH(F10,0))</f>
        <v>30</v>
      </c>
      <c r="H10" s="191">
        <f t="shared" si="4"/>
        <v>45753</v>
      </c>
      <c r="I10" s="189">
        <v>11.72</v>
      </c>
      <c r="J10" s="192">
        <f>IFERROR(Inv_SY!J11/Inv_SY!$P11-1,"")</f>
        <v>-1.9392864674227517E-2</v>
      </c>
      <c r="K10" s="192">
        <f>IFERROR(Inv_SY!K11/Inv_SY!$P11-1,"")</f>
        <v>-7.8607252306106545E-3</v>
      </c>
      <c r="L10" s="192">
        <f>IFERROR(Inv_SY!L11/Inv_SY!$P11-1,"")</f>
        <v>-2.3256865842858021E-2</v>
      </c>
      <c r="M10" s="192">
        <f>IFERROR(Inv_SY!M11/Inv_SY!$P11-1,"")</f>
        <v>2.1634673333554622E-2</v>
      </c>
      <c r="N10" s="192">
        <f>IFERROR(Inv_SY!N11/Inv_SY!$P11-1,"")</f>
        <v>1.5915093653752432E-2</v>
      </c>
      <c r="O10" s="192">
        <f>IFERROR(Inv_SY!O11/Inv_SY!$P11-1,"")</f>
        <v>1.2960688760388361E-2</v>
      </c>
      <c r="P10" s="192">
        <f>IFERROR(Inv_SY!P11/Inv_SY!$P11-1,"")</f>
        <v>0</v>
      </c>
      <c r="Q10" s="192">
        <f>IFERROR(Inv_SY!Q11/Inv_SY!$P11-1,"")</f>
        <v>2.1634673333554622E-2</v>
      </c>
      <c r="R10" s="192">
        <f>IFERROR(Inv_SY!L11/Inv_SY!$Q11-1,"")</f>
        <v>-4.3940892324976999E-2</v>
      </c>
      <c r="S10" s="192">
        <f>IFERROR(Inv_SY!M11/Inv_SY!$Q11-1,"")</f>
        <v>0</v>
      </c>
      <c r="T10" s="192">
        <f>IFERROR(Inv_SY!N11/Inv_SY!$Q11-1,"")</f>
        <v>-5.5984588513813272E-3</v>
      </c>
      <c r="U10" s="193">
        <f>IFERROR(Inv_SY!O11/Inv_SY!$Q11-1,"")</f>
        <v>-8.4902997123847967E-3</v>
      </c>
    </row>
    <row r="11" spans="1:21">
      <c r="A11" s="143">
        <f t="shared" si="5"/>
        <v>2026</v>
      </c>
      <c r="B11" s="116">
        <f t="shared" si="6"/>
        <v>2025</v>
      </c>
      <c r="C11" s="189" t="str">
        <f>TEXT(Table5[[#This Row],[Date]],"yyyy")</f>
        <v>2025</v>
      </c>
      <c r="D11" s="15" t="s">
        <v>224</v>
      </c>
      <c r="E11" s="15" t="s">
        <v>224</v>
      </c>
      <c r="F11" s="190" t="str">
        <f>TEXT(Table5[[#This Row],[Date]],"mmm-yy")</f>
        <v>Apr-25</v>
      </c>
      <c r="G11" s="189">
        <f t="shared" ref="G11" si="14">DAY(EOMONTH(F11,0))</f>
        <v>30</v>
      </c>
      <c r="H11" s="191">
        <f t="shared" si="4"/>
        <v>45754</v>
      </c>
      <c r="I11" s="189">
        <v>11.72</v>
      </c>
      <c r="J11" s="192">
        <f>IFERROR(Inv_SY!J12/Inv_SY!$P12-1,"")</f>
        <v>-1.2149031649275166E-2</v>
      </c>
      <c r="K11" s="192">
        <f>IFERROR(Inv_SY!K12/Inv_SY!$P12-1,"")</f>
        <v>-2.4096566875591363E-2</v>
      </c>
      <c r="L11" s="192">
        <f>IFERROR(Inv_SY!L12/Inv_SY!$P12-1,"")</f>
        <v>-2.0383317443759541E-2</v>
      </c>
      <c r="M11" s="192">
        <f>IFERROR(Inv_SY!M12/Inv_SY!$P12-1,"")</f>
        <v>2.3168164811045999E-2</v>
      </c>
      <c r="N11" s="192">
        <f>IFERROR(Inv_SY!N12/Inv_SY!$P12-1,"")</f>
        <v>1.4951471602104638E-2</v>
      </c>
      <c r="O11" s="192">
        <f>IFERROR(Inv_SY!O12/Inv_SY!$P12-1,"")</f>
        <v>1.8509279555475988E-2</v>
      </c>
      <c r="P11" s="192">
        <f>IFERROR(Inv_SY!P12/Inv_SY!$P12-1,"")</f>
        <v>0</v>
      </c>
      <c r="Q11" s="192">
        <f>IFERROR(Inv_SY!Q12/Inv_SY!$P12-1,"")</f>
        <v>2.3168164811045999E-2</v>
      </c>
      <c r="R11" s="192">
        <f>IFERROR(Inv_SY!L12/Inv_SY!$Q12-1,"")</f>
        <v>-4.2565321862656269E-2</v>
      </c>
      <c r="S11" s="192">
        <f>IFERROR(Inv_SY!M12/Inv_SY!$Q12-1,"")</f>
        <v>0</v>
      </c>
      <c r="T11" s="192">
        <f>IFERROR(Inv_SY!N12/Inv_SY!$Q12-1,"")</f>
        <v>-8.0306380627652718E-3</v>
      </c>
      <c r="U11" s="193">
        <f>IFERROR(Inv_SY!O12/Inv_SY!$Q12-1,"")</f>
        <v>-4.5533915301502192E-3</v>
      </c>
    </row>
    <row r="12" spans="1:21">
      <c r="A12" s="143">
        <f t="shared" si="5"/>
        <v>2026</v>
      </c>
      <c r="B12" s="116">
        <f t="shared" si="6"/>
        <v>2025</v>
      </c>
      <c r="C12" s="189" t="str">
        <f>TEXT(Table5[[#This Row],[Date]],"yyyy")</f>
        <v>2025</v>
      </c>
      <c r="D12" s="15" t="s">
        <v>224</v>
      </c>
      <c r="E12" s="15" t="s">
        <v>224</v>
      </c>
      <c r="F12" s="190" t="str">
        <f>TEXT(Table5[[#This Row],[Date]],"mmm-yy")</f>
        <v>Apr-25</v>
      </c>
      <c r="G12" s="189">
        <f t="shared" ref="G12" si="15">DAY(EOMONTH(F12,0))</f>
        <v>30</v>
      </c>
      <c r="H12" s="191">
        <f t="shared" si="4"/>
        <v>45755</v>
      </c>
      <c r="I12" s="189">
        <v>11.72</v>
      </c>
      <c r="J12" s="192">
        <f>IFERROR(Inv_SY!J13/Inv_SY!$P13-1,"")</f>
        <v>-1.6609575358138229E-2</v>
      </c>
      <c r="K12" s="192">
        <f>IFERROR(Inv_SY!K13/Inv_SY!$P13-1,"")</f>
        <v>-2.0855376824013283E-2</v>
      </c>
      <c r="L12" s="192">
        <f>IFERROR(Inv_SY!L13/Inv_SY!$P13-1,"")</f>
        <v>-1.2898699996388707E-2</v>
      </c>
      <c r="M12" s="192">
        <f>IFERROR(Inv_SY!M13/Inv_SY!$P13-1,"")</f>
        <v>3.2106380719730376E-2</v>
      </c>
      <c r="N12" s="192">
        <f>IFERROR(Inv_SY!N13/Inv_SY!$P13-1,"")</f>
        <v>3.0676078943105978E-3</v>
      </c>
      <c r="O12" s="192">
        <f>IFERROR(Inv_SY!O13/Inv_SY!$P13-1,"")</f>
        <v>1.5189663564499911E-2</v>
      </c>
      <c r="P12" s="192">
        <f>IFERROR(Inv_SY!P13/Inv_SY!$P13-1,"")</f>
        <v>0</v>
      </c>
      <c r="Q12" s="192">
        <f>IFERROR(Inv_SY!Q13/Inv_SY!$P13-1,"")</f>
        <v>3.2106380719730376E-2</v>
      </c>
      <c r="R12" s="192">
        <f>IFERROR(Inv_SY!L13/Inv_SY!$Q13-1,"")</f>
        <v>-4.3605079434481664E-2</v>
      </c>
      <c r="S12" s="192">
        <f>IFERROR(Inv_SY!M13/Inv_SY!$Q13-1,"")</f>
        <v>0</v>
      </c>
      <c r="T12" s="192">
        <f>IFERROR(Inv_SY!N13/Inv_SY!$Q13-1,"")</f>
        <v>-2.8135445500462875E-2</v>
      </c>
      <c r="U12" s="193">
        <f>IFERROR(Inv_SY!O13/Inv_SY!$Q13-1,"")</f>
        <v>-1.6390478221279814E-2</v>
      </c>
    </row>
    <row r="13" spans="1:21">
      <c r="A13" s="143">
        <f t="shared" si="5"/>
        <v>2026</v>
      </c>
      <c r="B13" s="116">
        <f t="shared" si="6"/>
        <v>2025</v>
      </c>
      <c r="C13" s="189" t="str">
        <f>TEXT(Table5[[#This Row],[Date]],"yyyy")</f>
        <v>2025</v>
      </c>
      <c r="D13" s="15" t="s">
        <v>224</v>
      </c>
      <c r="E13" s="15" t="s">
        <v>224</v>
      </c>
      <c r="F13" s="190" t="str">
        <f>TEXT(Table5[[#This Row],[Date]],"mmm-yy")</f>
        <v>Apr-25</v>
      </c>
      <c r="G13" s="189">
        <f t="shared" ref="G13" si="16">DAY(EOMONTH(F13,0))</f>
        <v>30</v>
      </c>
      <c r="H13" s="191">
        <f t="shared" si="4"/>
        <v>45756</v>
      </c>
      <c r="I13" s="189">
        <v>11.72</v>
      </c>
      <c r="J13" s="192">
        <f>IFERROR(Inv_SY!J14/Inv_SY!$P14-1,"")</f>
        <v>-1.5391045608925014E-2</v>
      </c>
      <c r="K13" s="192">
        <f>IFERROR(Inv_SY!K14/Inv_SY!$P14-1,"")</f>
        <v>-1.9762729661564782E-2</v>
      </c>
      <c r="L13" s="192">
        <f>IFERROR(Inv_SY!L14/Inv_SY!$P14-1,"")</f>
        <v>-9.3170156860700182E-4</v>
      </c>
      <c r="M13" s="192">
        <f>IFERROR(Inv_SY!M14/Inv_SY!$P14-1,"")</f>
        <v>2.9436772397345434E-2</v>
      </c>
      <c r="N13" s="192">
        <f>IFERROR(Inv_SY!N14/Inv_SY!$P14-1,"")</f>
        <v>6.3722543050312996E-3</v>
      </c>
      <c r="O13" s="192">
        <f>IFERROR(Inv_SY!O14/Inv_SY!$P14-1,"")</f>
        <v>2.7645013671939722E-4</v>
      </c>
      <c r="P13" s="192">
        <f>IFERROR(Inv_SY!P14/Inv_SY!$P14-1,"")</f>
        <v>0</v>
      </c>
      <c r="Q13" s="192">
        <f>IFERROR(Inv_SY!Q14/Inv_SY!$P14-1,"")</f>
        <v>2.9436772397345434E-2</v>
      </c>
      <c r="R13" s="192">
        <f>IFERROR(Inv_SY!L14/Inv_SY!$Q14-1,"")</f>
        <v>-2.9500086630119715E-2</v>
      </c>
      <c r="S13" s="192">
        <f>IFERROR(Inv_SY!M14/Inv_SY!$Q14-1,"")</f>
        <v>0</v>
      </c>
      <c r="T13" s="192">
        <f>IFERROR(Inv_SY!N14/Inv_SY!$Q14-1,"")</f>
        <v>-2.240498757257503E-2</v>
      </c>
      <c r="U13" s="193">
        <f>IFERROR(Inv_SY!O14/Inv_SY!$Q14-1,"")</f>
        <v>-2.832648205553967E-2</v>
      </c>
    </row>
    <row r="14" spans="1:21">
      <c r="A14" s="143">
        <f t="shared" si="5"/>
        <v>2026</v>
      </c>
      <c r="B14" s="116">
        <f t="shared" si="6"/>
        <v>2025</v>
      </c>
      <c r="C14" s="189" t="str">
        <f>TEXT(Table5[[#This Row],[Date]],"yyyy")</f>
        <v>2025</v>
      </c>
      <c r="D14" s="189" t="s">
        <v>224</v>
      </c>
      <c r="E14" s="189" t="s">
        <v>224</v>
      </c>
      <c r="F14" s="190" t="str">
        <f>TEXT(Table5[[#This Row],[Date]],"mmm-yy")</f>
        <v>Apr-25</v>
      </c>
      <c r="G14" s="189">
        <f t="shared" ref="G14" si="17">DAY(EOMONTH(F14,0))</f>
        <v>30</v>
      </c>
      <c r="H14" s="191">
        <f t="shared" si="4"/>
        <v>45757</v>
      </c>
      <c r="I14" s="189">
        <v>11.72</v>
      </c>
      <c r="J14" s="192">
        <f>IFERROR(Inv_SY!J15/Inv_SY!$P15-1,"")</f>
        <v>-1.6962392054074571E-2</v>
      </c>
      <c r="K14" s="192">
        <f>IFERROR(Inv_SY!K15/Inv_SY!$P15-1,"")</f>
        <v>-2.0194713857592528E-2</v>
      </c>
      <c r="L14" s="192">
        <f>IFERROR(Inv_SY!L15/Inv_SY!$P15-1,"")</f>
        <v>-3.6806664565831593E-3</v>
      </c>
      <c r="M14" s="192">
        <f>IFERROR(Inv_SY!M15/Inv_SY!$P15-1,"")</f>
        <v>2.5412005153030437E-2</v>
      </c>
      <c r="N14" s="192">
        <f>IFERROR(Inv_SY!N15/Inv_SY!$P15-1,"")</f>
        <v>3.5452550229206903E-3</v>
      </c>
      <c r="O14" s="192">
        <f>IFERROR(Inv_SY!O15/Inv_SY!$P15-1,"")</f>
        <v>1.1880512192298465E-2</v>
      </c>
      <c r="P14" s="192">
        <f>IFERROR(Inv_SY!P15/Inv_SY!$P15-1,"")</f>
        <v>0</v>
      </c>
      <c r="Q14" s="192">
        <f>IFERROR(Inv_SY!Q15/Inv_SY!$P15-1,"")</f>
        <v>2.5412005153030437E-2</v>
      </c>
      <c r="R14" s="192">
        <f>IFERROR(Inv_SY!L15/Inv_SY!$Q15-1,"")</f>
        <v>-2.8371690075221778E-2</v>
      </c>
      <c r="S14" s="192">
        <f>IFERROR(Inv_SY!M15/Inv_SY!$Q15-1,"")</f>
        <v>0</v>
      </c>
      <c r="T14" s="192">
        <f>IFERROR(Inv_SY!N15/Inv_SY!$Q15-1,"")</f>
        <v>-2.1324843107182301E-2</v>
      </c>
      <c r="U14" s="193">
        <f>IFERROR(Inv_SY!O15/Inv_SY!$Q15-1,"")</f>
        <v>-1.3196152271215622E-2</v>
      </c>
    </row>
    <row r="15" spans="1:21">
      <c r="A15" s="143">
        <f t="shared" si="5"/>
        <v>2026</v>
      </c>
      <c r="B15" s="116">
        <f t="shared" si="6"/>
        <v>2025</v>
      </c>
      <c r="C15" s="189" t="str">
        <f>TEXT(Table5[[#This Row],[Date]],"yyyy")</f>
        <v>2025</v>
      </c>
      <c r="D15" s="189" t="s">
        <v>224</v>
      </c>
      <c r="E15" s="189" t="s">
        <v>224</v>
      </c>
      <c r="F15" s="190" t="str">
        <f>TEXT(Table5[[#This Row],[Date]],"mmm-yy")</f>
        <v>Apr-25</v>
      </c>
      <c r="G15" s="189">
        <f t="shared" ref="G15" si="18">DAY(EOMONTH(F15,0))</f>
        <v>30</v>
      </c>
      <c r="H15" s="191">
        <f t="shared" si="4"/>
        <v>45758</v>
      </c>
      <c r="I15" s="189">
        <v>11.72</v>
      </c>
      <c r="J15" s="192">
        <f>IFERROR(Inv_SY!J16/Inv_SY!$P16-1,"")</f>
        <v>-3.1518997752306599E-2</v>
      </c>
      <c r="K15" s="192">
        <f>IFERROR(Inv_SY!K16/Inv_SY!$P16-1,"")</f>
        <v>-3.407121223679499E-2</v>
      </c>
      <c r="L15" s="192">
        <f>IFERROR(Inv_SY!L16/Inv_SY!$P16-1,"")</f>
        <v>-7.2671094808489656E-3</v>
      </c>
      <c r="M15" s="192">
        <f>IFERROR(Inv_SY!M16/Inv_SY!$P16-1,"")</f>
        <v>2.9420459381920283E-2</v>
      </c>
      <c r="N15" s="192">
        <f>IFERROR(Inv_SY!N16/Inv_SY!$P16-1,"")</f>
        <v>2.6827087281193096E-2</v>
      </c>
      <c r="O15" s="192">
        <f>IFERROR(Inv_SY!O16/Inv_SY!$P16-1,"")</f>
        <v>1.6609772806837508E-2</v>
      </c>
      <c r="P15" s="192">
        <f>IFERROR(Inv_SY!P16/Inv_SY!$P16-1,"")</f>
        <v>0</v>
      </c>
      <c r="Q15" s="192">
        <f>IFERROR(Inv_SY!Q16/Inv_SY!$P16-1,"")</f>
        <v>2.9420459381920283E-2</v>
      </c>
      <c r="R15" s="192">
        <f>IFERROR(Inv_SY!L16/Inv_SY!$Q16-1,"")</f>
        <v>-3.5639051592968207E-2</v>
      </c>
      <c r="S15" s="192">
        <f>IFERROR(Inv_SY!M16/Inv_SY!$Q16-1,"")</f>
        <v>0</v>
      </c>
      <c r="T15" s="192">
        <f>IFERROR(Inv_SY!N16/Inv_SY!$Q16-1,"")</f>
        <v>-2.519254476722077E-3</v>
      </c>
      <c r="U15" s="193">
        <f>IFERROR(Inv_SY!O16/Inv_SY!$Q16-1,"")</f>
        <v>-1.2444561848687585E-2</v>
      </c>
    </row>
    <row r="16" spans="1:21">
      <c r="A16" s="143">
        <f t="shared" si="5"/>
        <v>2026</v>
      </c>
      <c r="B16" s="116">
        <f t="shared" si="6"/>
        <v>2025</v>
      </c>
      <c r="C16" s="189" t="str">
        <f>TEXT(Table5[[#This Row],[Date]],"yyyy")</f>
        <v>2025</v>
      </c>
      <c r="D16" s="189" t="s">
        <v>224</v>
      </c>
      <c r="E16" s="189" t="s">
        <v>224</v>
      </c>
      <c r="F16" s="190" t="str">
        <f>TEXT(Table5[[#This Row],[Date]],"mmm-yy")</f>
        <v>Apr-25</v>
      </c>
      <c r="G16" s="189">
        <f t="shared" ref="G16" si="19">DAY(EOMONTH(F16,0))</f>
        <v>30</v>
      </c>
      <c r="H16" s="191">
        <f t="shared" si="4"/>
        <v>45759</v>
      </c>
      <c r="I16" s="189">
        <v>11.72</v>
      </c>
      <c r="J16" s="192">
        <f>IFERROR(Inv_SY!J17/Inv_SY!$P17-1,"")</f>
        <v>-1.834329307868976E-2</v>
      </c>
      <c r="K16" s="192">
        <f>IFERROR(Inv_SY!K17/Inv_SY!$P17-1,"")</f>
        <v>-2.0882738405247903E-2</v>
      </c>
      <c r="L16" s="192">
        <f>IFERROR(Inv_SY!L17/Inv_SY!$P17-1,"")</f>
        <v>-1.5639526792414316E-2</v>
      </c>
      <c r="M16" s="192">
        <f>IFERROR(Inv_SY!M17/Inv_SY!$P17-1,"")</f>
        <v>2.3337080136758059E-2</v>
      </c>
      <c r="N16" s="192">
        <f>IFERROR(Inv_SY!N17/Inv_SY!$P17-1,"")</f>
        <v>1.2641856086540226E-2</v>
      </c>
      <c r="O16" s="192">
        <f>IFERROR(Inv_SY!O17/Inv_SY!$P17-1,"")</f>
        <v>1.8886622053054136E-2</v>
      </c>
      <c r="P16" s="192">
        <f>IFERROR(Inv_SY!P17/Inv_SY!$P17-1,"")</f>
        <v>0</v>
      </c>
      <c r="Q16" s="192">
        <f>IFERROR(Inv_SY!Q17/Inv_SY!$P17-1,"")</f>
        <v>2.3337080136758059E-2</v>
      </c>
      <c r="R16" s="192">
        <f>IFERROR(Inv_SY!L17/Inv_SY!$Q17-1,"")</f>
        <v>-3.8087750053934943E-2</v>
      </c>
      <c r="S16" s="192">
        <f>IFERROR(Inv_SY!M17/Inv_SY!$Q17-1,"")</f>
        <v>0</v>
      </c>
      <c r="T16" s="192">
        <f>IFERROR(Inv_SY!N17/Inv_SY!$Q17-1,"")</f>
        <v>-1.0451320740560543E-2</v>
      </c>
      <c r="U16" s="193">
        <f>IFERROR(Inv_SY!O17/Inv_SY!$Q17-1,"")</f>
        <v>-4.3489659175736106E-3</v>
      </c>
    </row>
    <row r="17" spans="1:21">
      <c r="A17" s="143">
        <f t="shared" si="5"/>
        <v>2026</v>
      </c>
      <c r="B17" s="116">
        <f t="shared" si="6"/>
        <v>2025</v>
      </c>
      <c r="C17" s="189" t="str">
        <f>TEXT(Table5[[#This Row],[Date]],"yyyy")</f>
        <v>2025</v>
      </c>
      <c r="D17" s="189" t="s">
        <v>224</v>
      </c>
      <c r="E17" s="189" t="s">
        <v>224</v>
      </c>
      <c r="F17" s="190" t="str">
        <f>TEXT(Table5[[#This Row],[Date]],"mmm-yy")</f>
        <v>Apr-25</v>
      </c>
      <c r="G17" s="189">
        <f t="shared" ref="G17" si="20">DAY(EOMONTH(F17,0))</f>
        <v>30</v>
      </c>
      <c r="H17" s="191">
        <f t="shared" si="4"/>
        <v>45760</v>
      </c>
      <c r="I17" s="189">
        <v>11.72</v>
      </c>
      <c r="J17" s="192">
        <f>IFERROR(Inv_SY!J18/Inv_SY!$P18-1,"")</f>
        <v>-2.3923782285706463E-2</v>
      </c>
      <c r="K17" s="192">
        <f>IFERROR(Inv_SY!K18/Inv_SY!$P18-1,"")</f>
        <v>-1.0508534257582802E-2</v>
      </c>
      <c r="L17" s="192">
        <f>IFERROR(Inv_SY!L18/Inv_SY!$P18-1,"")</f>
        <v>-1.743468146980609E-2</v>
      </c>
      <c r="M17" s="192">
        <f>IFERROR(Inv_SY!M18/Inv_SY!$P18-1,"")</f>
        <v>1.9989779541083497E-2</v>
      </c>
      <c r="N17" s="192">
        <f>IFERROR(Inv_SY!N18/Inv_SY!$P18-1,"")</f>
        <v>1.2324747945605674E-2</v>
      </c>
      <c r="O17" s="192">
        <f>IFERROR(Inv_SY!O18/Inv_SY!$P18-1,"")</f>
        <v>1.9552470526407184E-2</v>
      </c>
      <c r="P17" s="192">
        <f>IFERROR(Inv_SY!P18/Inv_SY!$P18-1,"")</f>
        <v>0</v>
      </c>
      <c r="Q17" s="192">
        <f>IFERROR(Inv_SY!Q18/Inv_SY!$P18-1,"")</f>
        <v>1.9989779541083497E-2</v>
      </c>
      <c r="R17" s="192">
        <f>IFERROR(Inv_SY!L18/Inv_SY!$Q18-1,"")</f>
        <v>-3.6691015695988316E-2</v>
      </c>
      <c r="S17" s="192">
        <f>IFERROR(Inv_SY!M18/Inv_SY!$Q18-1,"")</f>
        <v>0</v>
      </c>
      <c r="T17" s="192">
        <f>IFERROR(Inv_SY!N18/Inv_SY!$Q18-1,"")</f>
        <v>-7.5148121571634308E-3</v>
      </c>
      <c r="U17" s="193">
        <f>IFERROR(Inv_SY!O18/Inv_SY!$Q18-1,"")</f>
        <v>-4.2873862409986696E-4</v>
      </c>
    </row>
    <row r="18" spans="1:21">
      <c r="A18" s="143">
        <f t="shared" si="5"/>
        <v>2026</v>
      </c>
      <c r="B18" s="116">
        <f t="shared" si="6"/>
        <v>2025</v>
      </c>
      <c r="C18" s="189" t="str">
        <f>TEXT(Table5[[#This Row],[Date]],"yyyy")</f>
        <v>2025</v>
      </c>
      <c r="D18" s="189" t="s">
        <v>224</v>
      </c>
      <c r="E18" s="189" t="s">
        <v>224</v>
      </c>
      <c r="F18" s="190" t="str">
        <f>TEXT(Table5[[#This Row],[Date]],"mmm-yy")</f>
        <v>Apr-25</v>
      </c>
      <c r="G18" s="189">
        <f t="shared" ref="G18" si="21">DAY(EOMONTH(F18,0))</f>
        <v>30</v>
      </c>
      <c r="H18" s="191">
        <f t="shared" si="4"/>
        <v>45761</v>
      </c>
      <c r="I18" s="189">
        <v>11.72</v>
      </c>
      <c r="J18" s="192">
        <f>IFERROR(Inv_SY!J19/Inv_SY!$P19-1,"")</f>
        <v>-7.0811078609603895E-3</v>
      </c>
      <c r="K18" s="192">
        <f>IFERROR(Inv_SY!K19/Inv_SY!$P19-1,"")</f>
        <v>-1.1090860109567058E-2</v>
      </c>
      <c r="L18" s="192">
        <f>IFERROR(Inv_SY!L19/Inv_SY!$P19-1,"")</f>
        <v>-1.2152197594428982E-2</v>
      </c>
      <c r="M18" s="192">
        <f>IFERROR(Inv_SY!M19/Inv_SY!$P19-1,"")</f>
        <v>1.7974533554287575E-2</v>
      </c>
      <c r="N18" s="192">
        <f>IFERROR(Inv_SY!N19/Inv_SY!$P19-1,"")</f>
        <v>1.1680599017132032E-3</v>
      </c>
      <c r="O18" s="192">
        <f>IFERROR(Inv_SY!O19/Inv_SY!$P19-1,"")</f>
        <v>1.1181572108955873E-2</v>
      </c>
      <c r="P18" s="192">
        <f>IFERROR(Inv_SY!P19/Inv_SY!$P19-1,"")</f>
        <v>0</v>
      </c>
      <c r="Q18" s="192">
        <f>IFERROR(Inv_SY!Q19/Inv_SY!$P19-1,"")</f>
        <v>1.7974533554287575E-2</v>
      </c>
      <c r="R18" s="192">
        <f>IFERROR(Inv_SY!L19/Inv_SY!$Q19-1,"")</f>
        <v>-2.959477880407102E-2</v>
      </c>
      <c r="S18" s="192">
        <f>IFERROR(Inv_SY!M19/Inv_SY!$Q19-1,"")</f>
        <v>0</v>
      </c>
      <c r="T18" s="192">
        <f>IFERROR(Inv_SY!N19/Inv_SY!$Q19-1,"")</f>
        <v>-1.6509719151709956E-2</v>
      </c>
      <c r="U18" s="193">
        <f>IFERROR(Inv_SY!O19/Inv_SY!$Q19-1,"")</f>
        <v>-6.6730170759908836E-3</v>
      </c>
    </row>
    <row r="19" spans="1:21">
      <c r="A19" s="143">
        <f t="shared" si="5"/>
        <v>2026</v>
      </c>
      <c r="B19" s="116">
        <f t="shared" si="6"/>
        <v>2025</v>
      </c>
      <c r="C19" s="189" t="str">
        <f>TEXT(Table5[[#This Row],[Date]],"yyyy")</f>
        <v>2025</v>
      </c>
      <c r="D19" s="189" t="s">
        <v>224</v>
      </c>
      <c r="E19" s="189" t="s">
        <v>224</v>
      </c>
      <c r="F19" s="190" t="str">
        <f>TEXT(Table5[[#This Row],[Date]],"mmm-yy")</f>
        <v>Apr-25</v>
      </c>
      <c r="G19" s="189">
        <f t="shared" ref="G19" si="22">DAY(EOMONTH(F19,0))</f>
        <v>30</v>
      </c>
      <c r="H19" s="191">
        <f t="shared" si="4"/>
        <v>45762</v>
      </c>
      <c r="I19" s="189">
        <v>11.72</v>
      </c>
      <c r="J19" s="192">
        <f>IFERROR(Inv_SY!J20/Inv_SY!$P20-1,"")</f>
        <v>-9.4653500403911739E-3</v>
      </c>
      <c r="K19" s="192">
        <f>IFERROR(Inv_SY!K20/Inv_SY!$P20-1,"")</f>
        <v>-1.3954511403923564E-2</v>
      </c>
      <c r="L19" s="192">
        <f>IFERROR(Inv_SY!L20/Inv_SY!$P20-1,"")</f>
        <v>-1.722059864187675E-2</v>
      </c>
      <c r="M19" s="192">
        <f>IFERROR(Inv_SY!M20/Inv_SY!$P20-1,"")</f>
        <v>1.5123015210770419E-2</v>
      </c>
      <c r="N19" s="192">
        <f>IFERROR(Inv_SY!N20/Inv_SY!$P20-1,"")</f>
        <v>8.1747028513090569E-3</v>
      </c>
      <c r="O19" s="192">
        <f>IFERROR(Inv_SY!O20/Inv_SY!$P20-1,"")</f>
        <v>1.7342742024112567E-2</v>
      </c>
      <c r="P19" s="192">
        <f>IFERROR(Inv_SY!P20/Inv_SY!$P20-1,"")</f>
        <v>0</v>
      </c>
      <c r="Q19" s="192">
        <f>IFERROR(Inv_SY!Q20/Inv_SY!$P20-1,"")</f>
        <v>1.7342742024112567E-2</v>
      </c>
      <c r="R19" s="192">
        <f>IFERROR(Inv_SY!L20/Inv_SY!$Q20-1,"")</f>
        <v>-3.3974135990022303E-2</v>
      </c>
      <c r="S19" s="192">
        <f>IFERROR(Inv_SY!M20/Inv_SY!$Q20-1,"")</f>
        <v>-2.1818869115101114E-3</v>
      </c>
      <c r="T19" s="192">
        <f>IFERROR(Inv_SY!N20/Inv_SY!$Q20-1,"")</f>
        <v>-9.0117507051387102E-3</v>
      </c>
      <c r="U19" s="193">
        <f>IFERROR(Inv_SY!O20/Inv_SY!$Q20-1,"")</f>
        <v>0</v>
      </c>
    </row>
    <row r="20" spans="1:21">
      <c r="A20" s="143">
        <f t="shared" si="5"/>
        <v>2026</v>
      </c>
      <c r="B20" s="116">
        <f t="shared" si="6"/>
        <v>2025</v>
      </c>
      <c r="C20" s="189" t="str">
        <f>TEXT(Table5[[#This Row],[Date]],"yyyy")</f>
        <v>2025</v>
      </c>
      <c r="D20" s="189" t="s">
        <v>224</v>
      </c>
      <c r="E20" s="189" t="s">
        <v>224</v>
      </c>
      <c r="F20" s="190" t="str">
        <f>TEXT(Table5[[#This Row],[Date]],"mmm-yy")</f>
        <v>Apr-25</v>
      </c>
      <c r="G20" s="189">
        <f t="shared" ref="G20" si="23">DAY(EOMONTH(F20,0))</f>
        <v>30</v>
      </c>
      <c r="H20" s="191">
        <f t="shared" si="4"/>
        <v>45763</v>
      </c>
      <c r="I20" s="189">
        <v>11.72</v>
      </c>
      <c r="J20" s="192">
        <f>IFERROR(Inv_SY!J21/Inv_SY!$P21-1,"")</f>
        <v>-1.5832191347994407E-2</v>
      </c>
      <c r="K20" s="192">
        <f>IFERROR(Inv_SY!K21/Inv_SY!$P21-1,"")</f>
        <v>-1.9946324165381113E-2</v>
      </c>
      <c r="L20" s="192">
        <f>IFERROR(Inv_SY!L21/Inv_SY!$P21-1,"")</f>
        <v>-1.3232861081408975E-2</v>
      </c>
      <c r="M20" s="192">
        <f>IFERROR(Inv_SY!M21/Inv_SY!$P21-1,"")</f>
        <v>2.1116963657238808E-2</v>
      </c>
      <c r="N20" s="192">
        <f>IFERROR(Inv_SY!N21/Inv_SY!$P21-1,"")</f>
        <v>1.8668001030900827E-2</v>
      </c>
      <c r="O20" s="192">
        <f>IFERROR(Inv_SY!O21/Inv_SY!$P21-1,"")</f>
        <v>9.2264119066445271E-3</v>
      </c>
      <c r="P20" s="192">
        <f>IFERROR(Inv_SY!P21/Inv_SY!$P21-1,"")</f>
        <v>0</v>
      </c>
      <c r="Q20" s="192">
        <f>IFERROR(Inv_SY!Q21/Inv_SY!$P21-1,"")</f>
        <v>2.1116963657238808E-2</v>
      </c>
      <c r="R20" s="192">
        <f>IFERROR(Inv_SY!L21/Inv_SY!$Q21-1,"")</f>
        <v>-3.3639461453681463E-2</v>
      </c>
      <c r="S20" s="192">
        <f>IFERROR(Inv_SY!M21/Inv_SY!$Q21-1,"")</f>
        <v>0</v>
      </c>
      <c r="T20" s="192">
        <f>IFERROR(Inv_SY!N21/Inv_SY!$Q21-1,"")</f>
        <v>-2.3983174440339594E-3</v>
      </c>
      <c r="U20" s="193">
        <f>IFERROR(Inv_SY!O21/Inv_SY!$Q21-1,"")</f>
        <v>-1.1644652056319926E-2</v>
      </c>
    </row>
    <row r="21" spans="1:21">
      <c r="A21" s="143">
        <f t="shared" si="5"/>
        <v>2026</v>
      </c>
      <c r="B21" s="116">
        <f t="shared" si="6"/>
        <v>2025</v>
      </c>
      <c r="C21" s="189" t="str">
        <f>TEXT(Table5[[#This Row],[Date]],"yyyy")</f>
        <v>2025</v>
      </c>
      <c r="D21" s="189" t="s">
        <v>224</v>
      </c>
      <c r="E21" s="189" t="s">
        <v>224</v>
      </c>
      <c r="F21" s="190" t="str">
        <f>TEXT(Table5[[#This Row],[Date]],"mmm-yy")</f>
        <v>Apr-25</v>
      </c>
      <c r="G21" s="189">
        <f t="shared" ref="G21" si="24">DAY(EOMONTH(F21,0))</f>
        <v>30</v>
      </c>
      <c r="H21" s="191">
        <f t="shared" si="4"/>
        <v>45764</v>
      </c>
      <c r="I21" s="189">
        <v>11.72</v>
      </c>
      <c r="J21" s="192">
        <f>IFERROR(Inv_SY!J22/Inv_SY!$P22-1,"")</f>
        <v>-1.3449533712610373E-2</v>
      </c>
      <c r="K21" s="192">
        <f>IFERROR(Inv_SY!K22/Inv_SY!$P22-1,"")</f>
        <v>-1.9714840056687111E-2</v>
      </c>
      <c r="L21" s="192">
        <f>IFERROR(Inv_SY!L22/Inv_SY!$P22-1,"")</f>
        <v>-2.1701588333038258E-2</v>
      </c>
      <c r="M21" s="192">
        <f>IFERROR(Inv_SY!M22/Inv_SY!$P22-1,"")</f>
        <v>1.557736822127076E-2</v>
      </c>
      <c r="N21" s="192">
        <f>IFERROR(Inv_SY!N22/Inv_SY!$P22-1,"")</f>
        <v>2.4383179230315744E-2</v>
      </c>
      <c r="O21" s="192">
        <f>IFERROR(Inv_SY!O22/Inv_SY!$P22-1,"")</f>
        <v>1.490541465074835E-2</v>
      </c>
      <c r="P21" s="192">
        <f>IFERROR(Inv_SY!P22/Inv_SY!$P22-1,"")</f>
        <v>0</v>
      </c>
      <c r="Q21" s="192">
        <f>IFERROR(Inv_SY!Q22/Inv_SY!$P22-1,"")</f>
        <v>2.4383179230315744E-2</v>
      </c>
      <c r="R21" s="192">
        <f>IFERROR(Inv_SY!L22/Inv_SY!$Q22-1,"")</f>
        <v>-4.4987821449762877E-2</v>
      </c>
      <c r="S21" s="192">
        <f>IFERROR(Inv_SY!M22/Inv_SY!$Q22-1,"")</f>
        <v>-8.5962081256170109E-3</v>
      </c>
      <c r="T21" s="192">
        <f>IFERROR(Inv_SY!N22/Inv_SY!$Q22-1,"")</f>
        <v>0</v>
      </c>
      <c r="U21" s="193">
        <f>IFERROR(Inv_SY!O22/Inv_SY!$Q22-1,"")</f>
        <v>-9.2521673254031267E-3</v>
      </c>
    </row>
    <row r="22" spans="1:21">
      <c r="A22" s="143">
        <f t="shared" si="5"/>
        <v>2026</v>
      </c>
      <c r="B22" s="116">
        <f t="shared" si="6"/>
        <v>2025</v>
      </c>
      <c r="C22" s="189" t="str">
        <f>TEXT(Table5[[#This Row],[Date]],"yyyy")</f>
        <v>2025</v>
      </c>
      <c r="D22" s="189" t="s">
        <v>224</v>
      </c>
      <c r="E22" s="189" t="s">
        <v>224</v>
      </c>
      <c r="F22" s="190" t="str">
        <f>TEXT(Table5[[#This Row],[Date]],"mmm-yy")</f>
        <v>Apr-25</v>
      </c>
      <c r="G22" s="189">
        <f t="shared" ref="G22" si="25">DAY(EOMONTH(F22,0))</f>
        <v>30</v>
      </c>
      <c r="H22" s="191">
        <f t="shared" si="4"/>
        <v>45765</v>
      </c>
      <c r="I22" s="189">
        <v>11.72</v>
      </c>
      <c r="J22" s="192">
        <f>IFERROR(Inv_SY!J23/Inv_SY!$P23-1,"")</f>
        <v>-2.2905510778690963E-2</v>
      </c>
      <c r="K22" s="192">
        <f>IFERROR(Inv_SY!K23/Inv_SY!$P23-1,"")</f>
        <v>-2.3047707949856555E-2</v>
      </c>
      <c r="L22" s="192">
        <f>IFERROR(Inv_SY!L23/Inv_SY!$P23-1,"")</f>
        <v>-2.0764985233577837E-2</v>
      </c>
      <c r="M22" s="192">
        <f>IFERROR(Inv_SY!M23/Inv_SY!$P23-1,"")</f>
        <v>1.5318170862180569E-2</v>
      </c>
      <c r="N22" s="192">
        <f>IFERROR(Inv_SY!N23/Inv_SY!$P23-1,"")</f>
        <v>3.2961683856215229E-2</v>
      </c>
      <c r="O22" s="192">
        <f>IFERROR(Inv_SY!O23/Inv_SY!$P23-1,"")</f>
        <v>1.8438349243729446E-2</v>
      </c>
      <c r="P22" s="192">
        <f>IFERROR(Inv_SY!P23/Inv_SY!$P23-1,"")</f>
        <v>0</v>
      </c>
      <c r="Q22" s="192">
        <f>IFERROR(Inv_SY!Q23/Inv_SY!$P23-1,"")</f>
        <v>3.2961683856215229E-2</v>
      </c>
      <c r="R22" s="192">
        <f>IFERROR(Inv_SY!L23/Inv_SY!$Q23-1,"")</f>
        <v>-5.2012257501384496E-2</v>
      </c>
      <c r="S22" s="192">
        <f>IFERROR(Inv_SY!M23/Inv_SY!$Q23-1,"")</f>
        <v>-1.7080510603422083E-2</v>
      </c>
      <c r="T22" s="192">
        <f>IFERROR(Inv_SY!N23/Inv_SY!$Q23-1,"")</f>
        <v>0</v>
      </c>
      <c r="U22" s="193">
        <f>IFERROR(Inv_SY!O23/Inv_SY!$Q23-1,"")</f>
        <v>-1.4059896741056122E-2</v>
      </c>
    </row>
    <row r="23" spans="1:21">
      <c r="A23" s="143">
        <f t="shared" si="5"/>
        <v>2026</v>
      </c>
      <c r="B23" s="116">
        <f t="shared" si="6"/>
        <v>2025</v>
      </c>
      <c r="C23" s="189" t="str">
        <f>TEXT(Table5[[#This Row],[Date]],"yyyy")</f>
        <v>2025</v>
      </c>
      <c r="D23" s="189" t="s">
        <v>224</v>
      </c>
      <c r="E23" s="189" t="s">
        <v>224</v>
      </c>
      <c r="F23" s="190" t="str">
        <f>TEXT(Table5[[#This Row],[Date]],"mmm-yy")</f>
        <v>Apr-25</v>
      </c>
      <c r="G23" s="189">
        <f t="shared" ref="G23" si="26">DAY(EOMONTH(F23,0))</f>
        <v>30</v>
      </c>
      <c r="H23" s="191">
        <f t="shared" si="4"/>
        <v>45766</v>
      </c>
      <c r="I23" s="189">
        <v>11.72</v>
      </c>
      <c r="J23" s="192">
        <f>IFERROR(Inv_SY!J24/Inv_SY!$P24-1,"")</f>
        <v>-1.1652504846025424E-2</v>
      </c>
      <c r="K23" s="192">
        <f>IFERROR(Inv_SY!K24/Inv_SY!$P24-1,"")</f>
        <v>-1.3105271567783516E-2</v>
      </c>
      <c r="L23" s="192">
        <f>IFERROR(Inv_SY!L24/Inv_SY!$P24-1,"")</f>
        <v>-3.7623473254400741E-2</v>
      </c>
      <c r="M23" s="192">
        <f>IFERROR(Inv_SY!M24/Inv_SY!$P24-1,"")</f>
        <v>1.7935784855538595E-2</v>
      </c>
      <c r="N23" s="192">
        <f>IFERROR(Inv_SY!N24/Inv_SY!$P24-1,"")</f>
        <v>2.5087733345634522E-2</v>
      </c>
      <c r="O23" s="192">
        <f>IFERROR(Inv_SY!O24/Inv_SY!$P24-1,"")</f>
        <v>1.9357731467036787E-2</v>
      </c>
      <c r="P23" s="192">
        <f>IFERROR(Inv_SY!P24/Inv_SY!$P24-1,"")</f>
        <v>0</v>
      </c>
      <c r="Q23" s="192">
        <f>IFERROR(Inv_SY!Q24/Inv_SY!$P24-1,"")</f>
        <v>2.5087733345634522E-2</v>
      </c>
      <c r="R23" s="192">
        <f>IFERROR(Inv_SY!L24/Inv_SY!$Q24-1,"")</f>
        <v>-6.1176428670511096E-2</v>
      </c>
      <c r="S23" s="192">
        <f>IFERROR(Inv_SY!M24/Inv_SY!$Q24-1,"")</f>
        <v>-6.9769135435399088E-3</v>
      </c>
      <c r="T23" s="192">
        <f>IFERROR(Inv_SY!N24/Inv_SY!$Q24-1,"")</f>
        <v>0</v>
      </c>
      <c r="U23" s="193">
        <f>IFERROR(Inv_SY!O24/Inv_SY!$Q24-1,"")</f>
        <v>-5.5897672874266613E-3</v>
      </c>
    </row>
    <row r="24" spans="1:21">
      <c r="A24" s="143">
        <f t="shared" si="5"/>
        <v>2026</v>
      </c>
      <c r="B24" s="116">
        <f t="shared" si="6"/>
        <v>2025</v>
      </c>
      <c r="C24" s="189" t="str">
        <f>TEXT(Table5[[#This Row],[Date]],"yyyy")</f>
        <v>2025</v>
      </c>
      <c r="D24" s="189" t="s">
        <v>224</v>
      </c>
      <c r="E24" s="189" t="s">
        <v>224</v>
      </c>
      <c r="F24" s="190" t="str">
        <f>TEXT(Table5[[#This Row],[Date]],"mmm-yy")</f>
        <v>Apr-25</v>
      </c>
      <c r="G24" s="189">
        <f t="shared" ref="G24" si="27">DAY(EOMONTH(F24,0))</f>
        <v>30</v>
      </c>
      <c r="H24" s="191">
        <f t="shared" si="4"/>
        <v>45767</v>
      </c>
      <c r="I24" s="189">
        <v>11.72</v>
      </c>
      <c r="J24" s="192">
        <f>IFERROR(Inv_SY!J25/Inv_SY!$P25-1,"")</f>
        <v>-1.6623919981694324E-2</v>
      </c>
      <c r="K24" s="192">
        <f>IFERROR(Inv_SY!K25/Inv_SY!$P25-1,"")</f>
        <v>-2.3205067006513702E-2</v>
      </c>
      <c r="L24" s="192">
        <f>IFERROR(Inv_SY!L25/Inv_SY!$P25-1,"")</f>
        <v>-5.0366796301154371E-2</v>
      </c>
      <c r="M24" s="192">
        <f>IFERROR(Inv_SY!M25/Inv_SY!$P25-1,"")</f>
        <v>2.4435857799889327E-2</v>
      </c>
      <c r="N24" s="192">
        <f>IFERROR(Inv_SY!N25/Inv_SY!$P25-1,"")</f>
        <v>3.7977258170883044E-2</v>
      </c>
      <c r="O24" s="192">
        <f>IFERROR(Inv_SY!O25/Inv_SY!$P25-1,"")</f>
        <v>2.7782667318590359E-2</v>
      </c>
      <c r="P24" s="192">
        <f>IFERROR(Inv_SY!P25/Inv_SY!$P25-1,"")</f>
        <v>0</v>
      </c>
      <c r="Q24" s="192">
        <f>IFERROR(Inv_SY!Q25/Inv_SY!$P25-1,"")</f>
        <v>3.7977258170883044E-2</v>
      </c>
      <c r="R24" s="192">
        <f>IFERROR(Inv_SY!L25/Inv_SY!$Q25-1,"")</f>
        <v>-8.5111743804210938E-2</v>
      </c>
      <c r="S24" s="192">
        <f>IFERROR(Inv_SY!M25/Inv_SY!$Q25-1,"")</f>
        <v>-1.304595092464389E-2</v>
      </c>
      <c r="T24" s="192">
        <f>IFERROR(Inv_SY!N25/Inv_SY!$Q25-1,"")</f>
        <v>0</v>
      </c>
      <c r="U24" s="193">
        <f>IFERROR(Inv_SY!O25/Inv_SY!$Q25-1,"")</f>
        <v>-9.8215936544289173E-3</v>
      </c>
    </row>
    <row r="25" spans="1:21">
      <c r="A25" s="143">
        <f t="shared" si="5"/>
        <v>2026</v>
      </c>
      <c r="B25" s="116">
        <f t="shared" si="6"/>
        <v>2025</v>
      </c>
      <c r="C25" s="189" t="str">
        <f>TEXT(Table5[[#This Row],[Date]],"yyyy")</f>
        <v>2025</v>
      </c>
      <c r="D25" s="189" t="s">
        <v>224</v>
      </c>
      <c r="E25" s="189" t="s">
        <v>224</v>
      </c>
      <c r="F25" s="190" t="str">
        <f>TEXT(Table5[[#This Row],[Date]],"mmm-yy")</f>
        <v>Apr-25</v>
      </c>
      <c r="G25" s="189">
        <f t="shared" ref="G25" si="28">DAY(EOMONTH(F25,0))</f>
        <v>30</v>
      </c>
      <c r="H25" s="191">
        <f t="shared" si="4"/>
        <v>45768</v>
      </c>
      <c r="I25" s="189">
        <v>11.72</v>
      </c>
      <c r="J25" s="192">
        <f>IFERROR(Inv_SY!J26/Inv_SY!$P26-1,"")</f>
        <v>-1.6870303058539093E-2</v>
      </c>
      <c r="K25" s="192">
        <f>IFERROR(Inv_SY!K26/Inv_SY!$P26-1,"")</f>
        <v>-2.5673727034537186E-2</v>
      </c>
      <c r="L25" s="192">
        <f>IFERROR(Inv_SY!L26/Inv_SY!$P26-1,"")</f>
        <v>-4.1370169609660223E-2</v>
      </c>
      <c r="M25" s="192">
        <f>IFERROR(Inv_SY!M26/Inv_SY!$P26-1,"")</f>
        <v>2.3569260141830695E-2</v>
      </c>
      <c r="N25" s="192">
        <f>IFERROR(Inv_SY!N26/Inv_SY!$P26-1,"")</f>
        <v>3.2039395673984838E-2</v>
      </c>
      <c r="O25" s="192">
        <f>IFERROR(Inv_SY!O26/Inv_SY!$P26-1,"")</f>
        <v>2.8305543886921303E-2</v>
      </c>
      <c r="P25" s="192">
        <f>IFERROR(Inv_SY!P26/Inv_SY!$P26-1,"")</f>
        <v>0</v>
      </c>
      <c r="Q25" s="192">
        <f>IFERROR(Inv_SY!Q26/Inv_SY!$P26-1,"")</f>
        <v>3.2039395673984838E-2</v>
      </c>
      <c r="R25" s="192">
        <f>IFERROR(Inv_SY!L26/Inv_SY!$Q26-1,"")</f>
        <v>-7.1130584347222747E-2</v>
      </c>
      <c r="S25" s="192">
        <f>IFERROR(Inv_SY!M26/Inv_SY!$Q26-1,"")</f>
        <v>-8.2071823688695256E-3</v>
      </c>
      <c r="T25" s="192">
        <f>IFERROR(Inv_SY!N26/Inv_SY!$Q26-1,"")</f>
        <v>0</v>
      </c>
      <c r="U25" s="193">
        <f>IFERROR(Inv_SY!O26/Inv_SY!$Q26-1,"")</f>
        <v>-3.617935325642585E-3</v>
      </c>
    </row>
    <row r="26" spans="1:21">
      <c r="A26" s="143">
        <f t="shared" si="5"/>
        <v>2026</v>
      </c>
      <c r="B26" s="116">
        <f t="shared" si="6"/>
        <v>2025</v>
      </c>
      <c r="C26" s="189" t="str">
        <f>TEXT(Table5[[#This Row],[Date]],"yyyy")</f>
        <v>2025</v>
      </c>
      <c r="D26" s="189" t="s">
        <v>224</v>
      </c>
      <c r="E26" s="189" t="s">
        <v>224</v>
      </c>
      <c r="F26" s="190" t="str">
        <f>TEXT(Table5[[#This Row],[Date]],"mmm-yy")</f>
        <v>Apr-25</v>
      </c>
      <c r="G26" s="189">
        <f t="shared" ref="G26" si="29">DAY(EOMONTH(F26,0))</f>
        <v>30</v>
      </c>
      <c r="H26" s="191">
        <f t="shared" si="4"/>
        <v>45769</v>
      </c>
      <c r="I26" s="189">
        <v>11.72</v>
      </c>
      <c r="J26" s="192">
        <f>IFERROR(Inv_SY!J27/Inv_SY!$P27-1,"")</f>
        <v>-2.0064967058474603E-2</v>
      </c>
      <c r="K26" s="192">
        <f>IFERROR(Inv_SY!K27/Inv_SY!$P27-1,"")</f>
        <v>2.9132261799242887E-3</v>
      </c>
      <c r="L26" s="192">
        <f>IFERROR(Inv_SY!L27/Inv_SY!$P27-1,"")</f>
        <v>-2.3501021178236048E-3</v>
      </c>
      <c r="M26" s="192">
        <f>IFERROR(Inv_SY!M27/Inv_SY!$P27-1,"")</f>
        <v>1.9952497056820118E-2</v>
      </c>
      <c r="N26" s="192">
        <f>IFERROR(Inv_SY!N27/Inv_SY!$P27-1,"")</f>
        <v>7.0172214607928662E-3</v>
      </c>
      <c r="O26" s="192">
        <f>IFERROR(Inv_SY!O27/Inv_SY!$P27-1,"")</f>
        <v>-7.4678755212393977E-3</v>
      </c>
      <c r="P26" s="192">
        <f>IFERROR(Inv_SY!P27/Inv_SY!$P27-1,"")</f>
        <v>0</v>
      </c>
      <c r="Q26" s="192">
        <f>IFERROR(Inv_SY!Q27/Inv_SY!$P27-1,"")</f>
        <v>1.9952497056820118E-2</v>
      </c>
      <c r="R26" s="192">
        <f>IFERROR(Inv_SY!L27/Inv_SY!$Q27-1,"")</f>
        <v>-2.1866311655689974E-2</v>
      </c>
      <c r="S26" s="192">
        <f>IFERROR(Inv_SY!M27/Inv_SY!$Q27-1,"")</f>
        <v>0</v>
      </c>
      <c r="T26" s="192">
        <f>IFERROR(Inv_SY!N27/Inv_SY!$Q27-1,"")</f>
        <v>-1.2682233371998475E-2</v>
      </c>
      <c r="U26" s="193">
        <f>IFERROR(Inv_SY!O27/Inv_SY!$Q27-1,"")</f>
        <v>-2.6883970240951238E-2</v>
      </c>
    </row>
    <row r="27" spans="1:21">
      <c r="A27" s="143">
        <f t="shared" si="5"/>
        <v>2026</v>
      </c>
      <c r="B27" s="116">
        <f t="shared" si="6"/>
        <v>2025</v>
      </c>
      <c r="C27" s="189" t="str">
        <f>TEXT(Table5[[#This Row],[Date]],"yyyy")</f>
        <v>2025</v>
      </c>
      <c r="D27" s="189" t="s">
        <v>224</v>
      </c>
      <c r="E27" s="189" t="s">
        <v>224</v>
      </c>
      <c r="F27" s="190" t="str">
        <f>TEXT(Table5[[#This Row],[Date]],"mmm-yy")</f>
        <v>Apr-25</v>
      </c>
      <c r="G27" s="189">
        <f t="shared" ref="G27" si="30">DAY(EOMONTH(F27,0))</f>
        <v>30</v>
      </c>
      <c r="H27" s="191">
        <f t="shared" si="4"/>
        <v>45770</v>
      </c>
      <c r="I27" s="189">
        <v>11.72</v>
      </c>
      <c r="J27" s="192">
        <f>IFERROR(Inv_SY!J28/Inv_SY!$P28-1,"")</f>
        <v>-1.0176126305771804E-2</v>
      </c>
      <c r="K27" s="192">
        <f>IFERROR(Inv_SY!K28/Inv_SY!$P28-1,"")</f>
        <v>-3.0098945292786561E-2</v>
      </c>
      <c r="L27" s="192">
        <f>IFERROR(Inv_SY!L28/Inv_SY!$P28-1,"")</f>
        <v>-4.1986446910386999E-2</v>
      </c>
      <c r="M27" s="192">
        <f>IFERROR(Inv_SY!M28/Inv_SY!$P28-1,"")</f>
        <v>1.7556466964562256E-2</v>
      </c>
      <c r="N27" s="192">
        <f>IFERROR(Inv_SY!N28/Inv_SY!$P28-1,"")</f>
        <v>2.9621953153916358E-2</v>
      </c>
      <c r="O27" s="192">
        <f>IFERROR(Inv_SY!O28/Inv_SY!$P28-1,"")</f>
        <v>3.5083098390466416E-2</v>
      </c>
      <c r="P27" s="192">
        <f>IFERROR(Inv_SY!P28/Inv_SY!$P28-1,"")</f>
        <v>0</v>
      </c>
      <c r="Q27" s="192">
        <f>IFERROR(Inv_SY!Q28/Inv_SY!$P28-1,"")</f>
        <v>3.5083098390466416E-2</v>
      </c>
      <c r="R27" s="192">
        <f>IFERROR(Inv_SY!L28/Inv_SY!$Q28-1,"")</f>
        <v>-7.4457350738984185E-2</v>
      </c>
      <c r="S27" s="192">
        <f>IFERROR(Inv_SY!M28/Inv_SY!$Q28-1,"")</f>
        <v>-1.6932583918293775E-2</v>
      </c>
      <c r="T27" s="192">
        <f>IFERROR(Inv_SY!N28/Inv_SY!$Q28-1,"")</f>
        <v>-5.2760452228831634E-3</v>
      </c>
      <c r="U27" s="193">
        <f>IFERROR(Inv_SY!O28/Inv_SY!$Q28-1,"")</f>
        <v>0</v>
      </c>
    </row>
    <row r="28" spans="1:21">
      <c r="A28" s="143">
        <f t="shared" si="5"/>
        <v>2026</v>
      </c>
      <c r="B28" s="116">
        <f t="shared" si="6"/>
        <v>2025</v>
      </c>
      <c r="C28" s="189" t="str">
        <f>TEXT(Table5[[#This Row],[Date]],"yyyy")</f>
        <v>2025</v>
      </c>
      <c r="D28" s="189" t="s">
        <v>224</v>
      </c>
      <c r="E28" s="189" t="s">
        <v>224</v>
      </c>
      <c r="F28" s="190" t="str">
        <f>TEXT(Table5[[#This Row],[Date]],"mmm-yy")</f>
        <v>Apr-25</v>
      </c>
      <c r="G28" s="189">
        <f t="shared" ref="G28" si="31">DAY(EOMONTH(F28,0))</f>
        <v>30</v>
      </c>
      <c r="H28" s="191">
        <f t="shared" si="4"/>
        <v>45771</v>
      </c>
      <c r="I28" s="189">
        <v>11.72</v>
      </c>
      <c r="J28" s="192">
        <f>IFERROR(Inv_SY!J29/Inv_SY!$P29-1,"")</f>
        <v>-1.8999389472371897E-2</v>
      </c>
      <c r="K28" s="192">
        <f>IFERROR(Inv_SY!K29/Inv_SY!$P29-1,"")</f>
        <v>1.1139374251327716E-3</v>
      </c>
      <c r="L28" s="192">
        <f>IFERROR(Inv_SY!L29/Inv_SY!$P29-1,"")</f>
        <v>-3.8751094127641328E-2</v>
      </c>
      <c r="M28" s="192">
        <f>IFERROR(Inv_SY!M29/Inv_SY!$P29-1,"")</f>
        <v>1.7144397221817487E-2</v>
      </c>
      <c r="N28" s="192">
        <f>IFERROR(Inv_SY!N29/Inv_SY!$P29-1,"")</f>
        <v>1.950648105452446E-2</v>
      </c>
      <c r="O28" s="192">
        <f>IFERROR(Inv_SY!O29/Inv_SY!$P29-1,"")</f>
        <v>1.9985667898538617E-2</v>
      </c>
      <c r="P28" s="192">
        <f>IFERROR(Inv_SY!P29/Inv_SY!$P29-1,"")</f>
        <v>0</v>
      </c>
      <c r="Q28" s="192">
        <f>IFERROR(Inv_SY!Q29/Inv_SY!$P29-1,"")</f>
        <v>1.9985667898538617E-2</v>
      </c>
      <c r="R28" s="192">
        <f>IFERROR(Inv_SY!L29/Inv_SY!$Q29-1,"")</f>
        <v>-5.7585869953638236E-2</v>
      </c>
      <c r="S28" s="192">
        <f>IFERROR(Inv_SY!M29/Inv_SY!$Q29-1,"")</f>
        <v>-2.7855986276503764E-3</v>
      </c>
      <c r="T28" s="192">
        <f>IFERROR(Inv_SY!N29/Inv_SY!$Q29-1,"")</f>
        <v>-4.6979762470733544E-4</v>
      </c>
      <c r="U28" s="193">
        <f>IFERROR(Inv_SY!O29/Inv_SY!$Q29-1,"")</f>
        <v>0</v>
      </c>
    </row>
    <row r="29" spans="1:21">
      <c r="A29" s="143">
        <f t="shared" si="5"/>
        <v>2026</v>
      </c>
      <c r="B29" s="116">
        <f t="shared" si="6"/>
        <v>2025</v>
      </c>
      <c r="C29" s="189" t="str">
        <f>TEXT(Table5[[#This Row],[Date]],"yyyy")</f>
        <v>2025</v>
      </c>
      <c r="D29" s="189" t="s">
        <v>224</v>
      </c>
      <c r="E29" s="189" t="s">
        <v>224</v>
      </c>
      <c r="F29" s="190" t="str">
        <f>TEXT(Table5[[#This Row],[Date]],"mmm-yy")</f>
        <v>Apr-25</v>
      </c>
      <c r="G29" s="189">
        <f t="shared" ref="G29" si="32">DAY(EOMONTH(F29,0))</f>
        <v>30</v>
      </c>
      <c r="H29" s="191">
        <f t="shared" si="4"/>
        <v>45772</v>
      </c>
      <c r="I29" s="189">
        <v>11.72</v>
      </c>
      <c r="J29" s="192">
        <f>IFERROR(Inv_SY!J30/Inv_SY!$P30-1,"")</f>
        <v>-1.89811257880933E-2</v>
      </c>
      <c r="K29" s="192">
        <f>IFERROR(Inv_SY!K30/Inv_SY!$P30-1,"")</f>
        <v>-4.2796568153967707E-3</v>
      </c>
      <c r="L29" s="192">
        <f>IFERROR(Inv_SY!L30/Inv_SY!$P30-1,"")</f>
        <v>-4.4249872761061182E-2</v>
      </c>
      <c r="M29" s="192">
        <f>IFERROR(Inv_SY!M30/Inv_SY!$P30-1,"")</f>
        <v>1.7621054617298793E-2</v>
      </c>
      <c r="N29" s="192">
        <f>IFERROR(Inv_SY!N30/Inv_SY!$P30-1,"")</f>
        <v>2.8606341474344266E-2</v>
      </c>
      <c r="O29" s="192">
        <f>IFERROR(Inv_SY!O30/Inv_SY!$P30-1,"")</f>
        <v>2.1283259272907529E-2</v>
      </c>
      <c r="P29" s="192">
        <f>IFERROR(Inv_SY!P30/Inv_SY!$P30-1,"")</f>
        <v>0</v>
      </c>
      <c r="Q29" s="192">
        <f>IFERROR(Inv_SY!Q30/Inv_SY!$P30-1,"")</f>
        <v>2.8606341474344266E-2</v>
      </c>
      <c r="R29" s="192">
        <f>IFERROR(Inv_SY!L30/Inv_SY!$Q30-1,"")</f>
        <v>-7.0830026315974015E-2</v>
      </c>
      <c r="S29" s="192">
        <f>IFERROR(Inv_SY!M30/Inv_SY!$Q30-1,"")</f>
        <v>-1.0679777495149256E-2</v>
      </c>
      <c r="T29" s="192">
        <f>IFERROR(Inv_SY!N30/Inv_SY!$Q30-1,"")</f>
        <v>0</v>
      </c>
      <c r="U29" s="193">
        <f>IFERROR(Inv_SY!O30/Inv_SY!$Q30-1,"")</f>
        <v>-7.1194215961573049E-3</v>
      </c>
    </row>
    <row r="30" spans="1:21">
      <c r="A30" s="143">
        <f t="shared" si="5"/>
        <v>2026</v>
      </c>
      <c r="B30" s="116">
        <f t="shared" si="6"/>
        <v>2025</v>
      </c>
      <c r="C30" s="189" t="str">
        <f>TEXT(Table5[[#This Row],[Date]],"yyyy")</f>
        <v>2025</v>
      </c>
      <c r="D30" s="189" t="s">
        <v>224</v>
      </c>
      <c r="E30" s="189" t="s">
        <v>224</v>
      </c>
      <c r="F30" s="190" t="str">
        <f>TEXT(Table5[[#This Row],[Date]],"mmm-yy")</f>
        <v>Apr-25</v>
      </c>
      <c r="G30" s="189">
        <f t="shared" ref="G30" si="33">DAY(EOMONTH(F30,0))</f>
        <v>30</v>
      </c>
      <c r="H30" s="191">
        <f t="shared" si="4"/>
        <v>45773</v>
      </c>
      <c r="I30" s="189">
        <v>11.72</v>
      </c>
      <c r="J30" s="192">
        <f>IFERROR(Inv_SY!J31/Inv_SY!$P31-1,"")</f>
        <v>-7.263873692238354E-3</v>
      </c>
      <c r="K30" s="192">
        <f>IFERROR(Inv_SY!K31/Inv_SY!$P31-1,"")</f>
        <v>-1.7379890314690782E-2</v>
      </c>
      <c r="L30" s="192">
        <f>IFERROR(Inv_SY!L31/Inv_SY!$P31-1,"")</f>
        <v>-6.2472850958525172E-2</v>
      </c>
      <c r="M30" s="192">
        <f>IFERROR(Inv_SY!M31/Inv_SY!$P31-1,"")</f>
        <v>3.2254363515410223E-2</v>
      </c>
      <c r="N30" s="192">
        <f>IFERROR(Inv_SY!N31/Inv_SY!$P31-1,"")</f>
        <v>1.8907475838354948E-2</v>
      </c>
      <c r="O30" s="192">
        <f>IFERROR(Inv_SY!O31/Inv_SY!$P31-1,"")</f>
        <v>3.595477561168825E-2</v>
      </c>
      <c r="P30" s="192">
        <f>IFERROR(Inv_SY!P31/Inv_SY!$P31-1,"")</f>
        <v>0</v>
      </c>
      <c r="Q30" s="192">
        <f>IFERROR(Inv_SY!Q31/Inv_SY!$P31-1,"")</f>
        <v>3.595477561168825E-2</v>
      </c>
      <c r="R30" s="192">
        <f>IFERROR(Inv_SY!L31/Inv_SY!$Q31-1,"")</f>
        <v>-9.5011509080689338E-2</v>
      </c>
      <c r="S30" s="192">
        <f>IFERROR(Inv_SY!M31/Inv_SY!$Q31-1,"")</f>
        <v>-3.5719822750884811E-3</v>
      </c>
      <c r="T30" s="192">
        <f>IFERROR(Inv_SY!N31/Inv_SY!$Q31-1,"")</f>
        <v>-1.6455640897323542E-2</v>
      </c>
      <c r="U30" s="193">
        <f>IFERROR(Inv_SY!O31/Inv_SY!$Q31-1,"")</f>
        <v>0</v>
      </c>
    </row>
    <row r="31" spans="1:21">
      <c r="A31" s="143">
        <f t="shared" si="5"/>
        <v>2026</v>
      </c>
      <c r="B31" s="116">
        <f t="shared" si="6"/>
        <v>2025</v>
      </c>
      <c r="C31" s="189" t="str">
        <f>TEXT(Table5[[#This Row],[Date]],"yyyy")</f>
        <v>2025</v>
      </c>
      <c r="D31" s="189" t="s">
        <v>224</v>
      </c>
      <c r="E31" s="189" t="s">
        <v>224</v>
      </c>
      <c r="F31" s="190" t="str">
        <f>TEXT(Table5[[#This Row],[Date]],"mmm-yy")</f>
        <v>Apr-25</v>
      </c>
      <c r="G31" s="189">
        <f t="shared" ref="G31" si="34">DAY(EOMONTH(F31,0))</f>
        <v>30</v>
      </c>
      <c r="H31" s="191">
        <f t="shared" si="4"/>
        <v>45774</v>
      </c>
      <c r="I31" s="189">
        <v>11.72</v>
      </c>
      <c r="J31" s="192">
        <f>IFERROR(Inv_SY!J32/Inv_SY!$P32-1,"")</f>
        <v>2.668349707630302E-3</v>
      </c>
      <c r="K31" s="192">
        <f>IFERROR(Inv_SY!K32/Inv_SY!$P32-1,"")</f>
        <v>-3.5271545014153638E-2</v>
      </c>
      <c r="L31" s="192">
        <f>IFERROR(Inv_SY!L32/Inv_SY!$P32-1,"")</f>
        <v>-4.7876639258853437E-2</v>
      </c>
      <c r="M31" s="192">
        <f>IFERROR(Inv_SY!M32/Inv_SY!$P32-1,"")</f>
        <v>1.9201462542478787E-2</v>
      </c>
      <c r="N31" s="192">
        <f>IFERROR(Inv_SY!N32/Inv_SY!$P32-1,"")</f>
        <v>2.9559366619041683E-2</v>
      </c>
      <c r="O31" s="192">
        <f>IFERROR(Inv_SY!O32/Inv_SY!$P32-1,"")</f>
        <v>3.1719005403856748E-2</v>
      </c>
      <c r="P31" s="192">
        <f>IFERROR(Inv_SY!P32/Inv_SY!$P32-1,"")</f>
        <v>0</v>
      </c>
      <c r="Q31" s="192">
        <f>IFERROR(Inv_SY!Q32/Inv_SY!$P32-1,"")</f>
        <v>3.1719005403856748E-2</v>
      </c>
      <c r="R31" s="192">
        <f>IFERROR(Inv_SY!L32/Inv_SY!$Q32-1,"")</f>
        <v>-7.7148568792287819E-2</v>
      </c>
      <c r="S31" s="192">
        <f>IFERROR(Inv_SY!M32/Inv_SY!$Q32-1,"")</f>
        <v>-1.2132705509750874E-2</v>
      </c>
      <c r="T31" s="192">
        <f>IFERROR(Inv_SY!N32/Inv_SY!$Q32-1,"")</f>
        <v>-2.0932431926750095E-3</v>
      </c>
      <c r="U31" s="193">
        <f>IFERROR(Inv_SY!O32/Inv_SY!$Q32-1,"")</f>
        <v>0</v>
      </c>
    </row>
    <row r="32" spans="1:21">
      <c r="A32" s="143">
        <f t="shared" si="5"/>
        <v>2026</v>
      </c>
      <c r="B32" s="116">
        <f t="shared" si="6"/>
        <v>2025</v>
      </c>
      <c r="C32" s="189" t="str">
        <f>TEXT(Table5[[#This Row],[Date]],"yyyy")</f>
        <v>2025</v>
      </c>
      <c r="D32" s="189" t="s">
        <v>224</v>
      </c>
      <c r="E32" s="189" t="s">
        <v>224</v>
      </c>
      <c r="F32" s="190" t="str">
        <f>TEXT(Table5[[#This Row],[Date]],"mmm-yy")</f>
        <v>Apr-25</v>
      </c>
      <c r="G32" s="189">
        <f t="shared" ref="G32" si="35">DAY(EOMONTH(F32,0))</f>
        <v>30</v>
      </c>
      <c r="H32" s="191">
        <f t="shared" si="4"/>
        <v>45775</v>
      </c>
      <c r="I32" s="189">
        <v>11.72</v>
      </c>
      <c r="J32" s="192">
        <f>IFERROR(Inv_SY!J33/Inv_SY!$P33-1,"")</f>
        <v>-1.0195244525090685E-2</v>
      </c>
      <c r="K32" s="192">
        <f>IFERROR(Inv_SY!K33/Inv_SY!$P33-1,"")</f>
        <v>-1.6370119580902731E-2</v>
      </c>
      <c r="L32" s="192">
        <f>IFERROR(Inv_SY!L33/Inv_SY!$P33-1,"")</f>
        <v>-6.6761611300259038E-2</v>
      </c>
      <c r="M32" s="192">
        <f>IFERROR(Inv_SY!M33/Inv_SY!$P33-1,"")</f>
        <v>3.6191928472670387E-2</v>
      </c>
      <c r="N32" s="192">
        <f>IFERROR(Inv_SY!N33/Inv_SY!$P33-1,"")</f>
        <v>2.3811416614816894E-2</v>
      </c>
      <c r="O32" s="192">
        <f>IFERROR(Inv_SY!O33/Inv_SY!$P33-1,"")</f>
        <v>3.3323630318765174E-2</v>
      </c>
      <c r="P32" s="192">
        <f>IFERROR(Inv_SY!P33/Inv_SY!$P33-1,"")</f>
        <v>0</v>
      </c>
      <c r="Q32" s="192">
        <f>IFERROR(Inv_SY!Q33/Inv_SY!$P33-1,"")</f>
        <v>3.6191928472670387E-2</v>
      </c>
      <c r="R32" s="192">
        <f>IFERROR(Inv_SY!L33/Inv_SY!$Q33-1,"")</f>
        <v>-9.9357596738551268E-2</v>
      </c>
      <c r="S32" s="192">
        <f>IFERROR(Inv_SY!M33/Inv_SY!$Q33-1,"")</f>
        <v>0</v>
      </c>
      <c r="T32" s="192">
        <f>IFERROR(Inv_SY!N33/Inv_SY!$Q33-1,"")</f>
        <v>-1.1948087528632079E-2</v>
      </c>
      <c r="U32" s="193">
        <f>IFERROR(Inv_SY!O33/Inv_SY!$Q33-1,"")</f>
        <v>-2.7681147431181108E-3</v>
      </c>
    </row>
    <row r="33" spans="1:21">
      <c r="A33" s="143">
        <f t="shared" si="5"/>
        <v>2026</v>
      </c>
      <c r="B33" s="116">
        <f t="shared" si="6"/>
        <v>2025</v>
      </c>
      <c r="C33" s="189" t="str">
        <f>TEXT(Table5[[#This Row],[Date]],"yyyy")</f>
        <v>2025</v>
      </c>
      <c r="D33" s="189" t="s">
        <v>224</v>
      </c>
      <c r="E33" s="189" t="s">
        <v>224</v>
      </c>
      <c r="F33" s="190" t="str">
        <f>TEXT(Table5[[#This Row],[Date]],"mmm-yy")</f>
        <v>Apr-25</v>
      </c>
      <c r="G33" s="189">
        <f t="shared" ref="G33" si="36">DAY(EOMONTH(F33,0))</f>
        <v>30</v>
      </c>
      <c r="H33" s="191">
        <f t="shared" si="4"/>
        <v>45776</v>
      </c>
      <c r="I33" s="189">
        <v>11.72</v>
      </c>
      <c r="J33" s="192">
        <f>IFERROR(Inv_SY!J34/Inv_SY!$P34-1,"")</f>
        <v>-1.1579517888027135E-2</v>
      </c>
      <c r="K33" s="192">
        <f>IFERROR(Inv_SY!K34/Inv_SY!$P34-1,"")</f>
        <v>-2.1376270159421895E-2</v>
      </c>
      <c r="L33" s="192">
        <f>IFERROR(Inv_SY!L34/Inv_SY!$P34-1,"")</f>
        <v>-6.0354547051135077E-2</v>
      </c>
      <c r="M33" s="192">
        <f>IFERROR(Inv_SY!M34/Inv_SY!$P34-1,"")</f>
        <v>3.5527558020639782E-2</v>
      </c>
      <c r="N33" s="192">
        <f>IFERROR(Inv_SY!N34/Inv_SY!$P34-1,"")</f>
        <v>2.2154367598792302E-2</v>
      </c>
      <c r="O33" s="192">
        <f>IFERROR(Inv_SY!O34/Inv_SY!$P34-1,"")</f>
        <v>3.5628409479151912E-2</v>
      </c>
      <c r="P33" s="192">
        <f>IFERROR(Inv_SY!P34/Inv_SY!$P34-1,"")</f>
        <v>0</v>
      </c>
      <c r="Q33" s="192">
        <f>IFERROR(Inv_SY!Q34/Inv_SY!$P34-1,"")</f>
        <v>3.5628409479151912E-2</v>
      </c>
      <c r="R33" s="192">
        <f>IFERROR(Inv_SY!L34/Inv_SY!$Q34-1,"")</f>
        <v>-9.2680884042723122E-2</v>
      </c>
      <c r="S33" s="192">
        <f>IFERROR(Inv_SY!M34/Inv_SY!$Q34-1,"")</f>
        <v>-9.7381896430381865E-5</v>
      </c>
      <c r="T33" s="192">
        <f>IFERROR(Inv_SY!N34/Inv_SY!$Q34-1,"")</f>
        <v>-1.3010498511851543E-2</v>
      </c>
      <c r="U33" s="193">
        <f>IFERROR(Inv_SY!O34/Inv_SY!$Q34-1,"")</f>
        <v>0</v>
      </c>
    </row>
    <row r="34" spans="1:21">
      <c r="A34" s="143">
        <f t="shared" si="5"/>
        <v>2026</v>
      </c>
      <c r="B34" s="116">
        <f t="shared" si="6"/>
        <v>2025</v>
      </c>
      <c r="C34" s="189" t="str">
        <f>TEXT(Table5[[#This Row],[Date]],"yyyy")</f>
        <v>2025</v>
      </c>
      <c r="D34" s="189" t="s">
        <v>224</v>
      </c>
      <c r="E34" s="189" t="s">
        <v>224</v>
      </c>
      <c r="F34" s="190" t="str">
        <f>TEXT(Table5[[#This Row],[Date]],"mmm-yy")</f>
        <v>Apr-25</v>
      </c>
      <c r="G34" s="189">
        <f t="shared" ref="G34" si="37">DAY(EOMONTH(F34,0))</f>
        <v>30</v>
      </c>
      <c r="H34" s="191">
        <f t="shared" si="4"/>
        <v>45777</v>
      </c>
      <c r="I34" s="189">
        <v>11.72</v>
      </c>
      <c r="J34" s="192">
        <f>IFERROR(Inv_SY!J35/Inv_SY!$P35-1,"")</f>
        <v>-1.0667384172171834E-2</v>
      </c>
      <c r="K34" s="192">
        <f>IFERROR(Inv_SY!K35/Inv_SY!$P35-1,"")</f>
        <v>-2.2468467738438358E-2</v>
      </c>
      <c r="L34" s="192">
        <f>IFERROR(Inv_SY!L35/Inv_SY!$P35-1,"")</f>
        <v>-7.139545153615412E-2</v>
      </c>
      <c r="M34" s="192">
        <f>IFERROR(Inv_SY!M35/Inv_SY!$P35-1,"")</f>
        <v>4.2468254266050387E-2</v>
      </c>
      <c r="N34" s="192">
        <f>IFERROR(Inv_SY!N35/Inv_SY!$P35-1,"")</f>
        <v>2.1439072505662571E-2</v>
      </c>
      <c r="O34" s="192">
        <f>IFERROR(Inv_SY!O35/Inv_SY!$P35-1,"")</f>
        <v>4.0623976675051354E-2</v>
      </c>
      <c r="P34" s="192">
        <f>IFERROR(Inv_SY!P35/Inv_SY!$P35-1,"")</f>
        <v>0</v>
      </c>
      <c r="Q34" s="192">
        <f>IFERROR(Inv_SY!Q35/Inv_SY!$P35-1,"")</f>
        <v>4.2468254266050387E-2</v>
      </c>
      <c r="R34" s="192">
        <f>IFERROR(Inv_SY!L35/Inv_SY!$Q35-1,"")</f>
        <v>-0.10922510621905723</v>
      </c>
      <c r="S34" s="192">
        <f>IFERROR(Inv_SY!M35/Inv_SY!$Q35-1,"")</f>
        <v>0</v>
      </c>
      <c r="T34" s="192">
        <f>IFERROR(Inv_SY!N35/Inv_SY!$Q35-1,"")</f>
        <v>-2.0172491271874149E-2</v>
      </c>
      <c r="U34" s="193">
        <f>IFERROR(Inv_SY!O35/Inv_SY!$Q35-1,"")</f>
        <v>-1.769145087585744E-3</v>
      </c>
    </row>
    <row r="35" spans="1:21">
      <c r="A35" s="143">
        <f t="shared" si="5"/>
        <v>2026</v>
      </c>
      <c r="B35" s="116">
        <f t="shared" si="6"/>
        <v>2025</v>
      </c>
      <c r="C35" s="189" t="str">
        <f>TEXT(Table5[[#This Row],[Date]],"yyyy")</f>
        <v>2025</v>
      </c>
      <c r="D35" s="189" t="s">
        <v>224</v>
      </c>
      <c r="E35" s="189" t="s">
        <v>224</v>
      </c>
      <c r="F35" s="190" t="str">
        <f>TEXT(Table5[[#This Row],[Date]],"mmm-yy")</f>
        <v>May-25</v>
      </c>
      <c r="G35" s="189">
        <f t="shared" ref="G35" si="38">DAY(EOMONTH(F35,0))</f>
        <v>31</v>
      </c>
      <c r="H35" s="191">
        <f t="shared" si="4"/>
        <v>45778</v>
      </c>
      <c r="I35" s="189">
        <v>11.72</v>
      </c>
      <c r="J35" s="192">
        <f>IFERROR(Inv_SY!J36/Inv_SY!$P36-1,"")</f>
        <v>-2.1414614713005653E-2</v>
      </c>
      <c r="K35" s="192">
        <f>IFERROR(Inv_SY!K36/Inv_SY!$P36-1,"")</f>
        <v>-1.8210432543469879E-2</v>
      </c>
      <c r="L35" s="192">
        <f>IFERROR(Inv_SY!L36/Inv_SY!$P36-1,"")</f>
        <v>-4.5649274864925649E-2</v>
      </c>
      <c r="M35" s="192">
        <f>IFERROR(Inv_SY!M36/Inv_SY!$P36-1,"")</f>
        <v>4.2624464721029875E-2</v>
      </c>
      <c r="N35" s="192">
        <f>IFERROR(Inv_SY!N36/Inv_SY!$P36-1,"")</f>
        <v>1.4648884383312577E-2</v>
      </c>
      <c r="O35" s="192">
        <f>IFERROR(Inv_SY!O36/Inv_SY!$P36-1,"")</f>
        <v>2.8000973017058284E-2</v>
      </c>
      <c r="P35" s="192">
        <f>IFERROR(Inv_SY!P36/Inv_SY!$P36-1,"")</f>
        <v>0</v>
      </c>
      <c r="Q35" s="192">
        <f>IFERROR(Inv_SY!Q36/Inv_SY!$P36-1,"")</f>
        <v>4.2624464721029875E-2</v>
      </c>
      <c r="R35" s="192">
        <f>IFERROR(Inv_SY!L36/Inv_SY!$Q36-1,"")</f>
        <v>-8.4664941762683799E-2</v>
      </c>
      <c r="S35" s="192">
        <f>IFERROR(Inv_SY!M36/Inv_SY!$Q36-1,"")</f>
        <v>0</v>
      </c>
      <c r="T35" s="192">
        <f>IFERROR(Inv_SY!N36/Inv_SY!$Q36-1,"")</f>
        <v>-2.6831885577519476E-2</v>
      </c>
      <c r="U35" s="193">
        <f>IFERROR(Inv_SY!O36/Inv_SY!$Q36-1,"")</f>
        <v>-1.4025655639956836E-2</v>
      </c>
    </row>
    <row r="36" spans="1:21">
      <c r="A36" s="143">
        <f t="shared" si="5"/>
        <v>2026</v>
      </c>
      <c r="B36" s="116">
        <f t="shared" si="6"/>
        <v>2025</v>
      </c>
      <c r="C36" s="194" t="str">
        <f>TEXT(Table5[[#This Row],[Date]],"yyyy")</f>
        <v>2025</v>
      </c>
      <c r="D36" s="194" t="s">
        <v>224</v>
      </c>
      <c r="E36" s="194" t="s">
        <v>224</v>
      </c>
      <c r="F36" s="195" t="str">
        <f>TEXT(Table5[[#This Row],[Date]],"mmm-yy")</f>
        <v>May-25</v>
      </c>
      <c r="G36" s="194">
        <f t="shared" ref="G36" si="39">DAY(EOMONTH(F36,0))</f>
        <v>31</v>
      </c>
      <c r="H36" s="196">
        <f t="shared" si="4"/>
        <v>45779</v>
      </c>
      <c r="I36" s="194">
        <v>11.72</v>
      </c>
      <c r="J36" s="192">
        <f>IFERROR(Inv_SY!J37/Inv_SY!$P37-1,"")</f>
        <v>-1.5700483773336993E-2</v>
      </c>
      <c r="K36" s="192">
        <f>IFERROR(Inv_SY!K37/Inv_SY!$P37-1,"")</f>
        <v>-1.1161890929133889E-2</v>
      </c>
      <c r="L36" s="192">
        <f>IFERROR(Inv_SY!L37/Inv_SY!$P37-1,"")</f>
        <v>-4.8914911513511128E-2</v>
      </c>
      <c r="M36" s="192">
        <f>IFERROR(Inv_SY!M37/Inv_SY!$P37-1,"")</f>
        <v>3.4219260653562289E-2</v>
      </c>
      <c r="N36" s="192">
        <f>IFERROR(Inv_SY!N37/Inv_SY!$P37-1,"")</f>
        <v>1.3193326263087446E-2</v>
      </c>
      <c r="O36" s="192">
        <f>IFERROR(Inv_SY!O37/Inv_SY!$P37-1,"")</f>
        <v>2.8364699299332941E-2</v>
      </c>
      <c r="P36" s="192">
        <f>IFERROR(Inv_SY!P37/Inv_SY!$P37-1,"")</f>
        <v>0</v>
      </c>
      <c r="Q36" s="192">
        <f>IFERROR(Inv_SY!Q37/Inv_SY!$P37-1,"")</f>
        <v>3.4219260653562289E-2</v>
      </c>
      <c r="R36" s="192">
        <f>IFERROR(Inv_SY!L37/Inv_SY!$Q37-1,"")</f>
        <v>-8.0383507956076738E-2</v>
      </c>
      <c r="S36" s="192">
        <f>IFERROR(Inv_SY!M37/Inv_SY!$Q37-1,"")</f>
        <v>0</v>
      </c>
      <c r="T36" s="192">
        <f>IFERROR(Inv_SY!N37/Inv_SY!$Q37-1,"")</f>
        <v>-2.0330248323926714E-2</v>
      </c>
      <c r="U36" s="193">
        <f>IFERROR(Inv_SY!O37/Inv_SY!$Q37-1,"")</f>
        <v>-5.6608512111151477E-3</v>
      </c>
    </row>
    <row r="37" spans="1:21">
      <c r="A37" s="143">
        <f t="shared" si="5"/>
        <v>2026</v>
      </c>
      <c r="B37" s="116">
        <f t="shared" si="6"/>
        <v>2025</v>
      </c>
      <c r="C37" s="194" t="str">
        <f>TEXT(Table5[[#This Row],[Date]],"yyyy")</f>
        <v>2025</v>
      </c>
      <c r="D37" s="194" t="s">
        <v>224</v>
      </c>
      <c r="E37" s="194" t="s">
        <v>224</v>
      </c>
      <c r="F37" s="195" t="str">
        <f>TEXT(Table5[[#This Row],[Date]],"mmm-yy")</f>
        <v>May-25</v>
      </c>
      <c r="G37" s="194">
        <f t="shared" ref="G37" si="40">DAY(EOMONTH(F37,0))</f>
        <v>31</v>
      </c>
      <c r="H37" s="196">
        <f t="shared" si="4"/>
        <v>45780</v>
      </c>
      <c r="I37" s="194">
        <v>11.72</v>
      </c>
      <c r="J37" s="197">
        <f>IFERROR(Inv_SY!J38/Inv_SY!$P38-1,"")</f>
        <v>-1.8553629817013584E-2</v>
      </c>
      <c r="K37" s="197">
        <f>IFERROR(Inv_SY!K38/Inv_SY!$P38-1,"")</f>
        <v>1.0887641453400265E-2</v>
      </c>
      <c r="L37" s="197">
        <f>IFERROR(Inv_SY!L38/Inv_SY!$P38-1,"")</f>
        <v>-6.2609267877257291E-2</v>
      </c>
      <c r="M37" s="197">
        <f>IFERROR(Inv_SY!M38/Inv_SY!$P38-1,"")</f>
        <v>2.876299876020938E-2</v>
      </c>
      <c r="N37" s="197">
        <f>IFERROR(Inv_SY!N38/Inv_SY!$P38-1,"")</f>
        <v>2.3933989981955506E-2</v>
      </c>
      <c r="O37" s="197">
        <f>IFERROR(Inv_SY!O38/Inv_SY!$P38-1,"")</f>
        <v>1.757826749870639E-2</v>
      </c>
      <c r="P37" s="197">
        <f>IFERROR(Inv_SY!P38/Inv_SY!$P38-1,"")</f>
        <v>0</v>
      </c>
      <c r="Q37" s="197">
        <f>IFERROR(Inv_SY!Q38/Inv_SY!$P38-1,"")</f>
        <v>2.876299876020938E-2</v>
      </c>
      <c r="R37" s="197">
        <f>IFERROR(Inv_SY!L38/Inv_SY!$Q38-1,"")</f>
        <v>-8.8817605947708045E-2</v>
      </c>
      <c r="S37" s="197">
        <f>IFERROR(Inv_SY!M38/Inv_SY!$Q38-1,"")</f>
        <v>0</v>
      </c>
      <c r="T37" s="197">
        <f>IFERROR(Inv_SY!N38/Inv_SY!$Q38-1,"")</f>
        <v>-4.6939953945401847E-3</v>
      </c>
      <c r="U37" s="198">
        <f>IFERROR(Inv_SY!O38/Inv_SY!$Q38-1,"")</f>
        <v>-1.0872019381511611E-2</v>
      </c>
    </row>
    <row r="38" spans="1:21">
      <c r="A38" s="143">
        <f t="shared" si="5"/>
        <v>2026</v>
      </c>
      <c r="B38" s="116">
        <f t="shared" si="6"/>
        <v>2025</v>
      </c>
      <c r="C38" s="194" t="str">
        <f>TEXT(Table5[[#This Row],[Date]],"yyyy")</f>
        <v>2025</v>
      </c>
      <c r="D38" s="194" t="s">
        <v>224</v>
      </c>
      <c r="E38" s="194" t="s">
        <v>224</v>
      </c>
      <c r="F38" s="195" t="str">
        <f>TEXT(Table5[[#This Row],[Date]],"mmm-yy")</f>
        <v>May-25</v>
      </c>
      <c r="G38" s="194">
        <f t="shared" ref="G38" si="41">DAY(EOMONTH(F38,0))</f>
        <v>31</v>
      </c>
      <c r="H38" s="196">
        <f t="shared" si="4"/>
        <v>45781</v>
      </c>
      <c r="I38" s="194">
        <v>11.72</v>
      </c>
      <c r="J38" s="197">
        <f>IFERROR(Inv_SY!J39/Inv_SY!$P39-1,"")</f>
        <v>-6.1262554878930287E-3</v>
      </c>
      <c r="K38" s="197">
        <f>IFERROR(Inv_SY!K39/Inv_SY!$P39-1,"")</f>
        <v>-2.6176902605375973E-3</v>
      </c>
      <c r="L38" s="197">
        <f>IFERROR(Inv_SY!L39/Inv_SY!$P39-1,"")</f>
        <v>-6.3032531632302158E-2</v>
      </c>
      <c r="M38" s="197">
        <f>IFERROR(Inv_SY!M39/Inv_SY!$P39-1,"")</f>
        <v>3.7257878074481443E-2</v>
      </c>
      <c r="N38" s="197">
        <f>IFERROR(Inv_SY!N39/Inv_SY!$P39-1,"")</f>
        <v>1.1545483888711461E-2</v>
      </c>
      <c r="O38" s="197">
        <f>IFERROR(Inv_SY!O39/Inv_SY!$P39-1,"")</f>
        <v>2.2973115417540324E-2</v>
      </c>
      <c r="P38" s="197">
        <f>IFERROR(Inv_SY!P39/Inv_SY!$P39-1,"")</f>
        <v>0</v>
      </c>
      <c r="Q38" s="197">
        <f>IFERROR(Inv_SY!Q39/Inv_SY!$P39-1,"")</f>
        <v>3.7257878074481443E-2</v>
      </c>
      <c r="R38" s="197">
        <f>IFERROR(Inv_SY!L39/Inv_SY!$Q39-1,"")</f>
        <v>-9.668801927343107E-2</v>
      </c>
      <c r="S38" s="197">
        <f>IFERROR(Inv_SY!M39/Inv_SY!$Q39-1,"")</f>
        <v>0</v>
      </c>
      <c r="T38" s="197">
        <f>IFERROR(Inv_SY!N39/Inv_SY!$Q39-1,"")</f>
        <v>-2.4788815519532381E-2</v>
      </c>
      <c r="U38" s="198">
        <f>IFERROR(Inv_SY!O39/Inv_SY!$Q39-1,"")</f>
        <v>-1.3771659833964112E-2</v>
      </c>
    </row>
    <row r="39" spans="1:21">
      <c r="A39" s="143">
        <f t="shared" si="5"/>
        <v>2026</v>
      </c>
      <c r="B39" s="116">
        <f t="shared" si="6"/>
        <v>2025</v>
      </c>
      <c r="C39" s="194" t="str">
        <f>TEXT(Table5[[#This Row],[Date]],"yyyy")</f>
        <v>2025</v>
      </c>
      <c r="D39" s="194" t="s">
        <v>224</v>
      </c>
      <c r="E39" s="194" t="s">
        <v>224</v>
      </c>
      <c r="F39" s="195" t="str">
        <f>TEXT(Table5[[#This Row],[Date]],"mmm-yy")</f>
        <v>May-25</v>
      </c>
      <c r="G39" s="194">
        <f t="shared" ref="G39" si="42">DAY(EOMONTH(F39,0))</f>
        <v>31</v>
      </c>
      <c r="H39" s="196">
        <f t="shared" si="4"/>
        <v>45782</v>
      </c>
      <c r="I39" s="194">
        <v>11.72</v>
      </c>
      <c r="J39" s="197">
        <f>IFERROR(Inv_SY!J40/Inv_SY!$P40-1,"")</f>
        <v>-6.1628314374411186E-3</v>
      </c>
      <c r="K39" s="197">
        <f>IFERROR(Inv_SY!K40/Inv_SY!$P40-1,"")</f>
        <v>-1.5110167820212794E-2</v>
      </c>
      <c r="L39" s="197">
        <f>IFERROR(Inv_SY!L40/Inv_SY!$P40-1,"")</f>
        <v>-6.0021252552071136E-2</v>
      </c>
      <c r="M39" s="197">
        <f>IFERROR(Inv_SY!M40/Inv_SY!$P40-1,"")</f>
        <v>3.3995035657607087E-2</v>
      </c>
      <c r="N39" s="197">
        <f>IFERROR(Inv_SY!N40/Inv_SY!$P40-1,"")</f>
        <v>2.2724829419485282E-2</v>
      </c>
      <c r="O39" s="197">
        <f>IFERROR(Inv_SY!O40/Inv_SY!$P40-1,"")</f>
        <v>2.457438673263268E-2</v>
      </c>
      <c r="P39" s="197">
        <f>IFERROR(Inv_SY!P40/Inv_SY!$P40-1,"")</f>
        <v>0</v>
      </c>
      <c r="Q39" s="197">
        <f>IFERROR(Inv_SY!Q40/Inv_SY!$P40-1,"")</f>
        <v>3.3995035657607087E-2</v>
      </c>
      <c r="R39" s="197">
        <f>IFERROR(Inv_SY!L40/Inv_SY!$Q40-1,"")</f>
        <v>-9.0925280071470715E-2</v>
      </c>
      <c r="S39" s="197">
        <f>IFERROR(Inv_SY!M40/Inv_SY!$Q40-1,"")</f>
        <v>0</v>
      </c>
      <c r="T39" s="197">
        <f>IFERROR(Inv_SY!N40/Inv_SY!$Q40-1,"")</f>
        <v>-1.0899671516270026E-2</v>
      </c>
      <c r="U39" s="198">
        <f>IFERROR(Inv_SY!O40/Inv_SY!$Q40-1,"")</f>
        <v>-9.1109227801883241E-3</v>
      </c>
    </row>
    <row r="40" spans="1:21">
      <c r="A40" s="143">
        <f t="shared" si="5"/>
        <v>2026</v>
      </c>
      <c r="B40" s="116">
        <f t="shared" si="6"/>
        <v>2025</v>
      </c>
      <c r="C40" s="194" t="str">
        <f>TEXT(Table5[[#This Row],[Date]],"yyyy")</f>
        <v>2025</v>
      </c>
      <c r="D40" s="194" t="s">
        <v>224</v>
      </c>
      <c r="E40" s="194" t="s">
        <v>224</v>
      </c>
      <c r="F40" s="195" t="str">
        <f>TEXT(Table5[[#This Row],[Date]],"mmm-yy")</f>
        <v>May-25</v>
      </c>
      <c r="G40" s="194">
        <f t="shared" ref="G40" si="43">DAY(EOMONTH(F40,0))</f>
        <v>31</v>
      </c>
      <c r="H40" s="196">
        <f t="shared" si="4"/>
        <v>45783</v>
      </c>
      <c r="I40" s="194">
        <v>11.72</v>
      </c>
      <c r="J40" s="197">
        <f>IFERROR(Inv_SY!J41/Inv_SY!$P41-1,"")</f>
        <v>-1.1067108791476099E-2</v>
      </c>
      <c r="K40" s="197">
        <f>IFERROR(Inv_SY!K41/Inv_SY!$P41-1,"")</f>
        <v>-1.5335328090854916E-2</v>
      </c>
      <c r="L40" s="197">
        <f>IFERROR(Inv_SY!L41/Inv_SY!$P41-1,"")</f>
        <v>-5.10988152646914E-2</v>
      </c>
      <c r="M40" s="197">
        <f>IFERROR(Inv_SY!M41/Inv_SY!$P41-1,"")</f>
        <v>2.9511812151939987E-2</v>
      </c>
      <c r="N40" s="197">
        <f>IFERROR(Inv_SY!N41/Inv_SY!$P41-1,"")</f>
        <v>3.0482549830101568E-2</v>
      </c>
      <c r="O40" s="197">
        <f>IFERROR(Inv_SY!O41/Inv_SY!$P41-1,"")</f>
        <v>1.7506890164980637E-2</v>
      </c>
      <c r="P40" s="197">
        <f>IFERROR(Inv_SY!P41/Inv_SY!$P41-1,"")</f>
        <v>0</v>
      </c>
      <c r="Q40" s="197">
        <f>IFERROR(Inv_SY!Q41/Inv_SY!$P41-1,"")</f>
        <v>3.0482549830101568E-2</v>
      </c>
      <c r="R40" s="197">
        <f>IFERROR(Inv_SY!L41/Inv_SY!$Q41-1,"")</f>
        <v>-7.9168118963531819E-2</v>
      </c>
      <c r="S40" s="197">
        <f>IFERROR(Inv_SY!M41/Inv_SY!$Q41-1,"")</f>
        <v>-9.4202243242413886E-4</v>
      </c>
      <c r="T40" s="197">
        <f>IFERROR(Inv_SY!N41/Inv_SY!$Q41-1,"")</f>
        <v>0</v>
      </c>
      <c r="U40" s="198">
        <f>IFERROR(Inv_SY!O41/Inv_SY!$Q41-1,"")</f>
        <v>-1.2591828621707823E-2</v>
      </c>
    </row>
    <row r="41" spans="1:21">
      <c r="A41" s="201">
        <f t="shared" ref="A41" si="44">YEAR(H41)+IF(MONTH(H41)&gt;=4,1,0)</f>
        <v>2026</v>
      </c>
      <c r="B41" s="202">
        <f t="shared" ref="B41" si="45">YEAR(H41)</f>
        <v>2025</v>
      </c>
      <c r="C41" s="194" t="str">
        <f>TEXT(Table5[[#This Row],[Date]],"yyyy")</f>
        <v>2025</v>
      </c>
      <c r="D41" s="194" t="s">
        <v>224</v>
      </c>
      <c r="E41" s="194" t="s">
        <v>224</v>
      </c>
      <c r="F41" s="195" t="str">
        <f>TEXT(Table5[[#This Row],[Date]],"mmm-yy")</f>
        <v>May-25</v>
      </c>
      <c r="G41" s="194">
        <f t="shared" ref="G41" si="46">DAY(EOMONTH(F41,0))</f>
        <v>31</v>
      </c>
      <c r="H41" s="196">
        <f t="shared" si="4"/>
        <v>45784</v>
      </c>
      <c r="I41" s="194">
        <v>11.72</v>
      </c>
      <c r="J41" s="197">
        <f>IFERROR(Inv_SY!J42/Inv_SY!$P42-1,"")</f>
        <v>1.7748411092988192E-3</v>
      </c>
      <c r="K41" s="197">
        <f>IFERROR(Inv_SY!K42/Inv_SY!$P42-1,"")</f>
        <v>-2.282402256973004E-2</v>
      </c>
      <c r="L41" s="197">
        <f>IFERROR(Inv_SY!L42/Inv_SY!$P42-1,"")</f>
        <v>-6.7344481257941347E-2</v>
      </c>
      <c r="M41" s="197">
        <f>IFERROR(Inv_SY!M42/Inv_SY!$P42-1,"")</f>
        <v>2.5495781543687812E-2</v>
      </c>
      <c r="N41" s="197">
        <f>IFERROR(Inv_SY!N42/Inv_SY!$P42-1,"")</f>
        <v>3.2382164830047744E-2</v>
      </c>
      <c r="O41" s="197">
        <f>IFERROR(Inv_SY!O42/Inv_SY!$P42-1,"")</f>
        <v>3.0515716344637234E-2</v>
      </c>
      <c r="P41" s="197">
        <f>IFERROR(Inv_SY!P42/Inv_SY!$P42-1,"")</f>
        <v>0</v>
      </c>
      <c r="Q41" s="197">
        <f>IFERROR(Inv_SY!Q42/Inv_SY!$P42-1,"")</f>
        <v>3.2382164830047744E-2</v>
      </c>
      <c r="R41" s="197">
        <f>IFERROR(Inv_SY!L42/Inv_SY!$Q42-1,"")</f>
        <v>-9.6598575106541351E-2</v>
      </c>
      <c r="S41" s="197">
        <f>IFERROR(Inv_SY!M42/Inv_SY!$Q42-1,"")</f>
        <v>-6.6703818808161452E-3</v>
      </c>
      <c r="T41" s="197">
        <f>IFERROR(Inv_SY!N42/Inv_SY!$Q42-1,"")</f>
        <v>0</v>
      </c>
      <c r="U41" s="198">
        <f>IFERROR(Inv_SY!O42/Inv_SY!$Q42-1,"")</f>
        <v>-1.8079046200084603E-3</v>
      </c>
    </row>
    <row r="42" spans="1:21">
      <c r="A42" s="201">
        <f t="shared" ref="A42" si="47">YEAR(H42)+IF(MONTH(H42)&gt;=4,1,0)</f>
        <v>2026</v>
      </c>
      <c r="B42" s="202">
        <f t="shared" ref="B42" si="48">YEAR(H42)</f>
        <v>2025</v>
      </c>
      <c r="C42" s="194" t="str">
        <f>TEXT(Table5[[#This Row],[Date]],"yyyy")</f>
        <v>2025</v>
      </c>
      <c r="D42" s="194" t="s">
        <v>224</v>
      </c>
      <c r="E42" s="194" t="s">
        <v>224</v>
      </c>
      <c r="F42" s="195" t="str">
        <f>TEXT(Table5[[#This Row],[Date]],"mmm-yy")</f>
        <v>May-25</v>
      </c>
      <c r="G42" s="194">
        <f t="shared" ref="G42" si="49">DAY(EOMONTH(F42,0))</f>
        <v>31</v>
      </c>
      <c r="H42" s="196">
        <f t="shared" si="4"/>
        <v>45785</v>
      </c>
      <c r="I42" s="194">
        <v>11.72</v>
      </c>
      <c r="J42" s="197">
        <f>IFERROR(Inv_SY!J43/Inv_SY!$P43-1,"")</f>
        <v>-8.3142708778783936E-3</v>
      </c>
      <c r="K42" s="197">
        <f>IFERROR(Inv_SY!K43/Inv_SY!$P43-1,"")</f>
        <v>-1.6585000137039674E-2</v>
      </c>
      <c r="L42" s="197">
        <f>IFERROR(Inv_SY!L43/Inv_SY!$P43-1,"")</f>
        <v>-5.632244931192254E-2</v>
      </c>
      <c r="M42" s="197">
        <f>IFERROR(Inv_SY!M43/Inv_SY!$P43-1,"")</f>
        <v>2.6348495976739272E-2</v>
      </c>
      <c r="N42" s="197">
        <f>IFERROR(Inv_SY!N43/Inv_SY!$P43-1,"")</f>
        <v>2.9521480957380719E-2</v>
      </c>
      <c r="O42" s="197">
        <f>IFERROR(Inv_SY!O43/Inv_SY!$P43-1,"")</f>
        <v>2.5351743392720172E-2</v>
      </c>
      <c r="P42" s="197">
        <f>IFERROR(Inv_SY!P43/Inv_SY!$P43-1,"")</f>
        <v>0</v>
      </c>
      <c r="Q42" s="197">
        <f>IFERROR(Inv_SY!Q43/Inv_SY!$P43-1,"")</f>
        <v>2.9521480957380719E-2</v>
      </c>
      <c r="R42" s="197">
        <f>IFERROR(Inv_SY!L43/Inv_SY!$Q43-1,"")</f>
        <v>-8.3382359530249528E-2</v>
      </c>
      <c r="S42" s="197">
        <f>IFERROR(Inv_SY!M43/Inv_SY!$Q43-1,"")</f>
        <v>-3.0819997827443713E-3</v>
      </c>
      <c r="T42" s="197">
        <f>IFERROR(Inv_SY!N43/Inv_SY!$Q43-1,"")</f>
        <v>0</v>
      </c>
      <c r="U42" s="198">
        <f>IFERROR(Inv_SY!O43/Inv_SY!$Q43-1,"")</f>
        <v>-4.0501705324137438E-3</v>
      </c>
    </row>
    <row r="43" spans="1:21">
      <c r="A43" s="201">
        <f t="shared" ref="A43" si="50">YEAR(H43)+IF(MONTH(H43)&gt;=4,1,0)</f>
        <v>2026</v>
      </c>
      <c r="B43" s="202">
        <f t="shared" ref="B43" si="51">YEAR(H43)</f>
        <v>2025</v>
      </c>
      <c r="C43" s="194" t="str">
        <f>TEXT(Table5[[#This Row],[Date]],"yyyy")</f>
        <v>2025</v>
      </c>
      <c r="D43" s="194" t="s">
        <v>224</v>
      </c>
      <c r="E43" s="194" t="s">
        <v>224</v>
      </c>
      <c r="F43" s="195" t="str">
        <f>TEXT(Table5[[#This Row],[Date]],"mmm-yy")</f>
        <v>May-25</v>
      </c>
      <c r="G43" s="194">
        <f t="shared" ref="G43" si="52">DAY(EOMONTH(F43,0))</f>
        <v>31</v>
      </c>
      <c r="H43" s="196">
        <f t="shared" si="4"/>
        <v>45786</v>
      </c>
      <c r="I43" s="194">
        <v>11.72</v>
      </c>
      <c r="J43" s="197">
        <f>IFERROR(Inv_SY!J44/Inv_SY!$P44-1,"")</f>
        <v>-1.2042352725111449E-2</v>
      </c>
      <c r="K43" s="197">
        <f>IFERROR(Inv_SY!K44/Inv_SY!$P44-1,"")</f>
        <v>1.8618930453246918E-3</v>
      </c>
      <c r="L43" s="197">
        <f>IFERROR(Inv_SY!L44/Inv_SY!$P44-1,"")</f>
        <v>-6.5286614652609432E-2</v>
      </c>
      <c r="M43" s="197">
        <f>IFERROR(Inv_SY!M44/Inv_SY!$P44-1,"")</f>
        <v>2.0048571517759184E-2</v>
      </c>
      <c r="N43" s="197">
        <f>IFERROR(Inv_SY!N44/Inv_SY!$P44-1,"")</f>
        <v>2.2957876849537318E-2</v>
      </c>
      <c r="O43" s="197">
        <f>IFERROR(Inv_SY!O44/Inv_SY!$P44-1,"")</f>
        <v>3.246062596509991E-2</v>
      </c>
      <c r="P43" s="197">
        <f>IFERROR(Inv_SY!P44/Inv_SY!$P44-1,"")</f>
        <v>0</v>
      </c>
      <c r="Q43" s="197">
        <f>IFERROR(Inv_SY!Q44/Inv_SY!$P44-1,"")</f>
        <v>3.246062596509991E-2</v>
      </c>
      <c r="R43" s="197">
        <f>IFERROR(Inv_SY!L44/Inv_SY!$Q44-1,"")</f>
        <v>-9.4674061324459213E-2</v>
      </c>
      <c r="S43" s="197">
        <f>IFERROR(Inv_SY!M44/Inv_SY!$Q44-1,"")</f>
        <v>-1.2021818687505403E-2</v>
      </c>
      <c r="T43" s="197">
        <f>IFERROR(Inv_SY!N44/Inv_SY!$Q44-1,"")</f>
        <v>-9.2039820953753182E-3</v>
      </c>
      <c r="U43" s="198">
        <f>IFERROR(Inv_SY!O44/Inv_SY!$Q44-1,"")</f>
        <v>0</v>
      </c>
    </row>
    <row r="44" spans="1:21">
      <c r="A44" s="201">
        <f t="shared" ref="A44" si="53">YEAR(H44)+IF(MONTH(H44)&gt;=4,1,0)</f>
        <v>2026</v>
      </c>
      <c r="B44" s="202">
        <f t="shared" ref="B44" si="54">YEAR(H44)</f>
        <v>2025</v>
      </c>
      <c r="C44" s="194" t="str">
        <f>TEXT(Table5[[#This Row],[Date]],"yyyy")</f>
        <v>2025</v>
      </c>
      <c r="D44" s="194" t="s">
        <v>224</v>
      </c>
      <c r="E44" s="194" t="s">
        <v>224</v>
      </c>
      <c r="F44" s="195" t="str">
        <f>TEXT(Table5[[#This Row],[Date]],"mmm-yy")</f>
        <v>May-25</v>
      </c>
      <c r="G44" s="194">
        <f t="shared" ref="G44" si="55">DAY(EOMONTH(F44,0))</f>
        <v>31</v>
      </c>
      <c r="H44" s="196">
        <f t="shared" si="4"/>
        <v>45787</v>
      </c>
      <c r="I44" s="194">
        <v>11.72</v>
      </c>
      <c r="J44" s="197">
        <f>IFERROR(Inv_SY!J45/Inv_SY!$P45-1,"")</f>
        <v>-1.1283580358232292E-3</v>
      </c>
      <c r="K44" s="197">
        <f>IFERROR(Inv_SY!K45/Inv_SY!$P45-1,"")</f>
        <v>-1.6835229838525589E-2</v>
      </c>
      <c r="L44" s="197">
        <f>IFERROR(Inv_SY!L45/Inv_SY!$P45-1,"")</f>
        <v>-5.0186052191972808E-2</v>
      </c>
      <c r="M44" s="197">
        <f>IFERROR(Inv_SY!M45/Inv_SY!$P45-1,"")</f>
        <v>2.4426820795659721E-2</v>
      </c>
      <c r="N44" s="197">
        <f>IFERROR(Inv_SY!N45/Inv_SY!$P45-1,"")</f>
        <v>3.0448162616790064E-2</v>
      </c>
      <c r="O44" s="197">
        <f>IFERROR(Inv_SY!O45/Inv_SY!$P45-1,"")</f>
        <v>1.3274656653871064E-2</v>
      </c>
      <c r="P44" s="197">
        <f>IFERROR(Inv_SY!P45/Inv_SY!$P45-1,"")</f>
        <v>0</v>
      </c>
      <c r="Q44" s="197">
        <f>IFERROR(Inv_SY!Q45/Inv_SY!$P45-1,"")</f>
        <v>3.0448162616790064E-2</v>
      </c>
      <c r="R44" s="197">
        <f>IFERROR(Inv_SY!L45/Inv_SY!$Q45-1,"")</f>
        <v>-7.8251597444741749E-2</v>
      </c>
      <c r="S44" s="197">
        <f>IFERROR(Inv_SY!M45/Inv_SY!$Q45-1,"")</f>
        <v>-5.8434204063592121E-3</v>
      </c>
      <c r="T44" s="197">
        <f>IFERROR(Inv_SY!N45/Inv_SY!$Q45-1,"")</f>
        <v>0</v>
      </c>
      <c r="U44" s="198">
        <f>IFERROR(Inv_SY!O45/Inv_SY!$Q45-1,"")</f>
        <v>-1.6666055203890418E-2</v>
      </c>
    </row>
    <row r="45" spans="1:21">
      <c r="A45" s="201">
        <f t="shared" ref="A45" si="56">YEAR(H45)+IF(MONTH(H45)&gt;=4,1,0)</f>
        <v>2026</v>
      </c>
      <c r="B45" s="202">
        <f t="shared" ref="B45" si="57">YEAR(H45)</f>
        <v>2025</v>
      </c>
      <c r="C45" s="194" t="str">
        <f>TEXT(Table5[[#This Row],[Date]],"yyyy")</f>
        <v>2025</v>
      </c>
      <c r="D45" s="194" t="s">
        <v>224</v>
      </c>
      <c r="E45" s="194" t="s">
        <v>224</v>
      </c>
      <c r="F45" s="195" t="str">
        <f>TEXT(Table5[[#This Row],[Date]],"mmm-yy")</f>
        <v>May-25</v>
      </c>
      <c r="G45" s="194">
        <f t="shared" ref="G45" si="58">DAY(EOMONTH(F45,0))</f>
        <v>31</v>
      </c>
      <c r="H45" s="196">
        <f t="shared" si="4"/>
        <v>45788</v>
      </c>
      <c r="I45" s="194">
        <v>11.72</v>
      </c>
      <c r="J45" s="197">
        <f>IFERROR(Inv_SY!J46/Inv_SY!$P46-1,"")</f>
        <v>-1.0999208713105113E-2</v>
      </c>
      <c r="K45" s="197">
        <f>IFERROR(Inv_SY!K46/Inv_SY!$P46-1,"")</f>
        <v>-7.2117231505821611E-3</v>
      </c>
      <c r="L45" s="197">
        <f>IFERROR(Inv_SY!L46/Inv_SY!$P46-1,"")</f>
        <v>-4.4827210493852188E-2</v>
      </c>
      <c r="M45" s="197">
        <f>IFERROR(Inv_SY!M46/Inv_SY!$P46-1,"")</f>
        <v>3.4703708579714165E-2</v>
      </c>
      <c r="N45" s="197">
        <f>IFERROR(Inv_SY!N46/Inv_SY!$P46-1,"")</f>
        <v>1.2551077557973578E-2</v>
      </c>
      <c r="O45" s="197">
        <f>IFERROR(Inv_SY!O46/Inv_SY!$P46-1,"")</f>
        <v>1.5783356219851941E-2</v>
      </c>
      <c r="P45" s="197">
        <f>IFERROR(Inv_SY!P46/Inv_SY!$P46-1,"")</f>
        <v>0</v>
      </c>
      <c r="Q45" s="197">
        <f>IFERROR(Inv_SY!Q46/Inv_SY!$P46-1,"")</f>
        <v>3.4703708579714165E-2</v>
      </c>
      <c r="R45" s="197">
        <f>IFERROR(Inv_SY!L46/Inv_SY!$Q46-1,"")</f>
        <v>-7.686347155625306E-2</v>
      </c>
      <c r="S45" s="197">
        <f>IFERROR(Inv_SY!M46/Inv_SY!$Q46-1,"")</f>
        <v>0</v>
      </c>
      <c r="T45" s="197">
        <f>IFERROR(Inv_SY!N46/Inv_SY!$Q46-1,"")</f>
        <v>-2.1409637211166954E-2</v>
      </c>
      <c r="U45" s="198">
        <f>IFERROR(Inv_SY!O46/Inv_SY!$Q46-1,"")</f>
        <v>-1.8285768382751089E-2</v>
      </c>
    </row>
    <row r="46" spans="1:21">
      <c r="A46" s="201">
        <f t="shared" ref="A46" si="59">YEAR(H46)+IF(MONTH(H46)&gt;=4,1,0)</f>
        <v>2026</v>
      </c>
      <c r="B46" s="202">
        <f t="shared" ref="B46" si="60">YEAR(H46)</f>
        <v>2025</v>
      </c>
      <c r="C46" s="194" t="str">
        <f>TEXT(Table5[[#This Row],[Date]],"yyyy")</f>
        <v>2025</v>
      </c>
      <c r="D46" s="194" t="s">
        <v>224</v>
      </c>
      <c r="E46" s="194" t="s">
        <v>224</v>
      </c>
      <c r="F46" s="195" t="str">
        <f>TEXT(Table5[[#This Row],[Date]],"mmm-yy")</f>
        <v>May-25</v>
      </c>
      <c r="G46" s="194">
        <f t="shared" ref="G46" si="61">DAY(EOMONTH(F46,0))</f>
        <v>31</v>
      </c>
      <c r="H46" s="196">
        <f t="shared" si="4"/>
        <v>45789</v>
      </c>
      <c r="I46" s="194">
        <v>11.72</v>
      </c>
      <c r="J46" s="197">
        <f>IFERROR(Inv_SY!J47/Inv_SY!$P47-1,"")</f>
        <v>9.8164603075701073E-4</v>
      </c>
      <c r="K46" s="197">
        <f>IFERROR(Inv_SY!K47/Inv_SY!$P47-1,"")</f>
        <v>-4.8696080185721358E-2</v>
      </c>
      <c r="L46" s="197">
        <f>IFERROR(Inv_SY!L47/Inv_SY!$P47-1,"")</f>
        <v>-5.5259893162006524E-2</v>
      </c>
      <c r="M46" s="197">
        <f>IFERROR(Inv_SY!M47/Inv_SY!$P47-1,"")</f>
        <v>3.3803515266089157E-2</v>
      </c>
      <c r="N46" s="197">
        <f>IFERROR(Inv_SY!N47/Inv_SY!$P47-1,"")</f>
        <v>2.546600635304519E-2</v>
      </c>
      <c r="O46" s="197">
        <f>IFERROR(Inv_SY!O47/Inv_SY!$P47-1,"")</f>
        <v>4.3704805697836857E-2</v>
      </c>
      <c r="P46" s="197">
        <f>IFERROR(Inv_SY!P47/Inv_SY!$P47-1,"")</f>
        <v>0</v>
      </c>
      <c r="Q46" s="197">
        <f>IFERROR(Inv_SY!Q47/Inv_SY!$P47-1,"")</f>
        <v>4.3704805697836857E-2</v>
      </c>
      <c r="R46" s="197">
        <f>IFERROR(Inv_SY!L47/Inv_SY!$Q47-1,"")</f>
        <v>-9.4820583674206649E-2</v>
      </c>
      <c r="S46" s="197">
        <f>IFERROR(Inv_SY!M47/Inv_SY!$Q47-1,"")</f>
        <v>-9.4866770543684531E-3</v>
      </c>
      <c r="T46" s="197">
        <f>IFERROR(Inv_SY!N47/Inv_SY!$Q47-1,"")</f>
        <v>-1.7475055442134124E-2</v>
      </c>
      <c r="U46" s="198">
        <f>IFERROR(Inv_SY!O47/Inv_SY!$Q47-1,"")</f>
        <v>0</v>
      </c>
    </row>
    <row r="47" spans="1:21">
      <c r="A47" s="201">
        <f t="shared" ref="A47" si="62">YEAR(H47)+IF(MONTH(H47)&gt;=4,1,0)</f>
        <v>2026</v>
      </c>
      <c r="B47" s="202">
        <f t="shared" ref="B47" si="63">YEAR(H47)</f>
        <v>2025</v>
      </c>
      <c r="C47" s="194" t="str">
        <f>TEXT(Table5[[#This Row],[Date]],"yyyy")</f>
        <v>2025</v>
      </c>
      <c r="D47" s="194" t="s">
        <v>224</v>
      </c>
      <c r="E47" s="194" t="s">
        <v>224</v>
      </c>
      <c r="F47" s="195" t="str">
        <f>TEXT(Table5[[#This Row],[Date]],"mmm-yy")</f>
        <v>May-25</v>
      </c>
      <c r="G47" s="194">
        <f t="shared" ref="G47" si="64">DAY(EOMONTH(F47,0))</f>
        <v>31</v>
      </c>
      <c r="H47" s="196">
        <f t="shared" si="4"/>
        <v>45790</v>
      </c>
      <c r="I47" s="194">
        <v>11.72</v>
      </c>
      <c r="J47" s="197">
        <f>IFERROR(Inv_SY!J48/Inv_SY!$P48-1,"")</f>
        <v>-1.2956465644653914E-2</v>
      </c>
      <c r="K47" s="197">
        <f>IFERROR(Inv_SY!K48/Inv_SY!$P48-1,"")</f>
        <v>3.0541922559452761E-3</v>
      </c>
      <c r="L47" s="197">
        <f>IFERROR(Inv_SY!L48/Inv_SY!$P48-1,"")</f>
        <v>-4.588613838292277E-2</v>
      </c>
      <c r="M47" s="197">
        <f>IFERROR(Inv_SY!M48/Inv_SY!$P48-1,"")</f>
        <v>2.5078807596077057E-2</v>
      </c>
      <c r="N47" s="197">
        <f>IFERROR(Inv_SY!N48/Inv_SY!$P48-1,"")</f>
        <v>2.6943393786868608E-2</v>
      </c>
      <c r="O47" s="197">
        <f>IFERROR(Inv_SY!O48/Inv_SY!$P48-1,"")</f>
        <v>3.7662103886866305E-3</v>
      </c>
      <c r="P47" s="197">
        <f>IFERROR(Inv_SY!P48/Inv_SY!$P48-1,"")</f>
        <v>0</v>
      </c>
      <c r="Q47" s="197">
        <f>IFERROR(Inv_SY!Q48/Inv_SY!$P48-1,"")</f>
        <v>2.6943393786868608E-2</v>
      </c>
      <c r="R47" s="197">
        <f>IFERROR(Inv_SY!L48/Inv_SY!$Q48-1,"")</f>
        <v>-7.0918740614544951E-2</v>
      </c>
      <c r="S47" s="197">
        <f>IFERROR(Inv_SY!M48/Inv_SY!$Q48-1,"")</f>
        <v>-1.8156659871154668E-3</v>
      </c>
      <c r="T47" s="197">
        <f>IFERROR(Inv_SY!N48/Inv_SY!$Q48-1,"")</f>
        <v>0</v>
      </c>
      <c r="U47" s="198">
        <f>IFERROR(Inv_SY!O48/Inv_SY!$Q48-1,"")</f>
        <v>-2.2569095374104342E-2</v>
      </c>
    </row>
    <row r="48" spans="1:21">
      <c r="A48" s="201">
        <f t="shared" ref="A48" si="65">YEAR(H48)+IF(MONTH(H48)&gt;=4,1,0)</f>
        <v>2026</v>
      </c>
      <c r="B48" s="202">
        <f t="shared" ref="B48" si="66">YEAR(H48)</f>
        <v>2025</v>
      </c>
      <c r="C48" s="194" t="str">
        <f>TEXT(Table5[[#This Row],[Date]],"yyyy")</f>
        <v>2025</v>
      </c>
      <c r="D48" s="194" t="s">
        <v>224</v>
      </c>
      <c r="E48" s="194" t="s">
        <v>224</v>
      </c>
      <c r="F48" s="195" t="str">
        <f>TEXT(Table5[[#This Row],[Date]],"mmm-yy")</f>
        <v>May-25</v>
      </c>
      <c r="G48" s="194">
        <f t="shared" ref="G48" si="67">DAY(EOMONTH(F48,0))</f>
        <v>31</v>
      </c>
      <c r="H48" s="196">
        <f t="shared" si="4"/>
        <v>45791</v>
      </c>
      <c r="I48" s="194">
        <v>11.72</v>
      </c>
      <c r="J48" s="197">
        <f>IFERROR(Inv_SY!J49/Inv_SY!$P49-1,"")</f>
        <v>-1.4906357144049753E-2</v>
      </c>
      <c r="K48" s="197">
        <f>IFERROR(Inv_SY!K49/Inv_SY!$P49-1,"")</f>
        <v>2.1306769180342577E-3</v>
      </c>
      <c r="L48" s="197">
        <f>IFERROR(Inv_SY!L49/Inv_SY!$P49-1,"")</f>
        <v>-5.1801447322449179E-2</v>
      </c>
      <c r="M48" s="197">
        <f>IFERROR(Inv_SY!M49/Inv_SY!$P49-1,"")</f>
        <v>3.6153144039287266E-2</v>
      </c>
      <c r="N48" s="197">
        <f>IFERROR(Inv_SY!N49/Inv_SY!$P49-1,"")</f>
        <v>1.9776072064433325E-2</v>
      </c>
      <c r="O48" s="197">
        <f>IFERROR(Inv_SY!O49/Inv_SY!$P49-1,"")</f>
        <v>8.6479114447435279E-3</v>
      </c>
      <c r="P48" s="197">
        <f>IFERROR(Inv_SY!P49/Inv_SY!$P49-1,"")</f>
        <v>0</v>
      </c>
      <c r="Q48" s="197">
        <f>IFERROR(Inv_SY!Q49/Inv_SY!$P49-1,"")</f>
        <v>3.6153144039287266E-2</v>
      </c>
      <c r="R48" s="197">
        <f>IFERROR(Inv_SY!L49/Inv_SY!$Q49-1,"")</f>
        <v>-8.488570619865965E-2</v>
      </c>
      <c r="S48" s="197">
        <f>IFERROR(Inv_SY!M49/Inv_SY!$Q49-1,"")</f>
        <v>0</v>
      </c>
      <c r="T48" s="197">
        <f>IFERROR(Inv_SY!N49/Inv_SY!$Q49-1,"")</f>
        <v>-1.5805648102374503E-2</v>
      </c>
      <c r="U48" s="198">
        <f>IFERROR(Inv_SY!O49/Inv_SY!$Q49-1,"")</f>
        <v>-2.6545528286792353E-2</v>
      </c>
    </row>
    <row r="49" spans="1:21">
      <c r="A49" s="201">
        <f t="shared" ref="A49" si="68">YEAR(H49)+IF(MONTH(H49)&gt;=4,1,0)</f>
        <v>2026</v>
      </c>
      <c r="B49" s="202">
        <f t="shared" ref="B49" si="69">YEAR(H49)</f>
        <v>2025</v>
      </c>
      <c r="C49" s="194" t="str">
        <f>TEXT(Table5[[#This Row],[Date]],"yyyy")</f>
        <v>2025</v>
      </c>
      <c r="D49" s="194" t="s">
        <v>224</v>
      </c>
      <c r="E49" s="194" t="s">
        <v>224</v>
      </c>
      <c r="F49" s="195" t="str">
        <f>TEXT(Table5[[#This Row],[Date]],"mmm-yy")</f>
        <v>May-25</v>
      </c>
      <c r="G49" s="194">
        <f t="shared" ref="G49" si="70">DAY(EOMONTH(F49,0))</f>
        <v>31</v>
      </c>
      <c r="H49" s="196">
        <f t="shared" si="4"/>
        <v>45792</v>
      </c>
      <c r="I49" s="194">
        <v>11.72</v>
      </c>
      <c r="J49" s="197">
        <f>IFERROR(Inv_SY!J50/Inv_SY!$P50-1,"")</f>
        <v>-1.4532910371256258E-2</v>
      </c>
      <c r="K49" s="197">
        <f>IFERROR(Inv_SY!K50/Inv_SY!$P50-1,"")</f>
        <v>1.0698275204652274E-2</v>
      </c>
      <c r="L49" s="197">
        <f>IFERROR(Inv_SY!L50/Inv_SY!$P50-1,"")</f>
        <v>-3.1448162517702216E-2</v>
      </c>
      <c r="M49" s="197">
        <f>IFERROR(Inv_SY!M50/Inv_SY!$P50-1,"")</f>
        <v>6.9878308435520342E-3</v>
      </c>
      <c r="N49" s="197">
        <f>IFERROR(Inv_SY!N50/Inv_SY!$P50-1,"")</f>
        <v>1.5517112898964847E-2</v>
      </c>
      <c r="O49" s="197">
        <f>IFERROR(Inv_SY!O50/Inv_SY!$P50-1,"")</f>
        <v>1.2777853941789319E-2</v>
      </c>
      <c r="P49" s="197">
        <f>IFERROR(Inv_SY!P50/Inv_SY!$P50-1,"")</f>
        <v>0</v>
      </c>
      <c r="Q49" s="197">
        <f>IFERROR(Inv_SY!Q50/Inv_SY!$P50-1,"")</f>
        <v>1.5517112898964847E-2</v>
      </c>
      <c r="R49" s="197">
        <f>IFERROR(Inv_SY!L50/Inv_SY!$Q50-1,"")</f>
        <v>-4.6247645480435806E-2</v>
      </c>
      <c r="S49" s="197">
        <f>IFERROR(Inv_SY!M50/Inv_SY!$Q50-1,"")</f>
        <v>-8.398954529741598E-3</v>
      </c>
      <c r="T49" s="197">
        <f>IFERROR(Inv_SY!N50/Inv_SY!$Q50-1,"")</f>
        <v>0</v>
      </c>
      <c r="U49" s="198">
        <f>IFERROR(Inv_SY!O50/Inv_SY!$Q50-1,"")</f>
        <v>-2.6974030495221513E-3</v>
      </c>
    </row>
    <row r="50" spans="1:21">
      <c r="A50" s="201">
        <f t="shared" ref="A50" si="71">YEAR(H50)+IF(MONTH(H50)&gt;=4,1,0)</f>
        <v>2026</v>
      </c>
      <c r="B50" s="202">
        <f t="shared" ref="B50" si="72">YEAR(H50)</f>
        <v>2025</v>
      </c>
      <c r="C50" s="194" t="str">
        <f>TEXT(Table5[[#This Row],[Date]],"yyyy")</f>
        <v>2025</v>
      </c>
      <c r="D50" s="194" t="s">
        <v>224</v>
      </c>
      <c r="E50" s="194" t="s">
        <v>224</v>
      </c>
      <c r="F50" s="195" t="str">
        <f>TEXT(Table5[[#This Row],[Date]],"mmm-yy")</f>
        <v>May-25</v>
      </c>
      <c r="G50" s="194">
        <f t="shared" ref="G50" si="73">DAY(EOMONTH(F50,0))</f>
        <v>31</v>
      </c>
      <c r="H50" s="196">
        <f t="shared" si="4"/>
        <v>45793</v>
      </c>
      <c r="I50" s="194">
        <v>11.72</v>
      </c>
      <c r="J50" s="197">
        <f>IFERROR(Inv_SY!J51/Inv_SY!$P51-1,"")</f>
        <v>-1.6131071022557952E-2</v>
      </c>
      <c r="K50" s="197">
        <f>IFERROR(Inv_SY!K51/Inv_SY!$P51-1,"")</f>
        <v>-6.6772482873862504E-3</v>
      </c>
      <c r="L50" s="197">
        <f>IFERROR(Inv_SY!L51/Inv_SY!$P51-1,"")</f>
        <v>-4.2050692481986562E-2</v>
      </c>
      <c r="M50" s="197">
        <f>IFERROR(Inv_SY!M51/Inv_SY!$P51-1,"")</f>
        <v>1.5964437734368175E-2</v>
      </c>
      <c r="N50" s="197">
        <f>IFERROR(Inv_SY!N51/Inv_SY!$P51-1,"")</f>
        <v>3.1608638012007528E-2</v>
      </c>
      <c r="O50" s="197">
        <f>IFERROR(Inv_SY!O51/Inv_SY!$P51-1,"")</f>
        <v>1.7285936045555284E-2</v>
      </c>
      <c r="P50" s="197">
        <f>IFERROR(Inv_SY!P51/Inv_SY!$P51-1,"")</f>
        <v>0</v>
      </c>
      <c r="Q50" s="197">
        <f>IFERROR(Inv_SY!Q51/Inv_SY!$P51-1,"")</f>
        <v>3.1608638012007528E-2</v>
      </c>
      <c r="R50" s="197">
        <f>IFERROR(Inv_SY!L51/Inv_SY!$Q51-1,"")</f>
        <v>-7.1402397944187013E-2</v>
      </c>
      <c r="S50" s="197">
        <f>IFERROR(Inv_SY!M51/Inv_SY!$Q51-1,"")</f>
        <v>-1.5164859716361945E-2</v>
      </c>
      <c r="T50" s="197">
        <f>IFERROR(Inv_SY!N51/Inv_SY!$Q51-1,"")</f>
        <v>0</v>
      </c>
      <c r="U50" s="198">
        <f>IFERROR(Inv_SY!O51/Inv_SY!$Q51-1,"")</f>
        <v>-1.3883852304739541E-2</v>
      </c>
    </row>
    <row r="51" spans="1:21">
      <c r="A51" s="201">
        <f t="shared" ref="A51" si="74">YEAR(H51)+IF(MONTH(H51)&gt;=4,1,0)</f>
        <v>2026</v>
      </c>
      <c r="B51" s="202">
        <f t="shared" ref="B51" si="75">YEAR(H51)</f>
        <v>2025</v>
      </c>
      <c r="C51" s="194" t="str">
        <f>TEXT(Table5[[#This Row],[Date]],"yyyy")</f>
        <v>2025</v>
      </c>
      <c r="D51" s="194" t="s">
        <v>224</v>
      </c>
      <c r="E51" s="194" t="s">
        <v>224</v>
      </c>
      <c r="F51" s="195" t="str">
        <f>TEXT(Table5[[#This Row],[Date]],"mmm-yy")</f>
        <v>May-25</v>
      </c>
      <c r="G51" s="194">
        <f t="shared" ref="G51" si="76">DAY(EOMONTH(F51,0))</f>
        <v>31</v>
      </c>
      <c r="H51" s="196">
        <f t="shared" si="4"/>
        <v>45794</v>
      </c>
      <c r="I51" s="194">
        <v>11.72</v>
      </c>
      <c r="J51" s="197">
        <f>IFERROR(Inv_SY!J52/Inv_SY!$P52-1,"")</f>
        <v>-6.9643260782864536E-3</v>
      </c>
      <c r="K51" s="197">
        <f>IFERROR(Inv_SY!K52/Inv_SY!$P52-1,"")</f>
        <v>-1.560492284094106E-2</v>
      </c>
      <c r="L51" s="197">
        <f>IFERROR(Inv_SY!L52/Inv_SY!$P52-1,"")</f>
        <v>-4.869483226790805E-2</v>
      </c>
      <c r="M51" s="197">
        <f>IFERROR(Inv_SY!M52/Inv_SY!$P52-1,"")</f>
        <v>3.1399921122085672E-2</v>
      </c>
      <c r="N51" s="197">
        <f>IFERROR(Inv_SY!N52/Inv_SY!$P52-1,"")</f>
        <v>2.3453349718746352E-2</v>
      </c>
      <c r="O51" s="197">
        <f>IFERROR(Inv_SY!O52/Inv_SY!$P52-1,"")</f>
        <v>1.6410810346302762E-2</v>
      </c>
      <c r="P51" s="197">
        <f>IFERROR(Inv_SY!P52/Inv_SY!$P52-1,"")</f>
        <v>0</v>
      </c>
      <c r="Q51" s="197">
        <f>IFERROR(Inv_SY!Q52/Inv_SY!$P52-1,"")</f>
        <v>3.1399921122085672E-2</v>
      </c>
      <c r="R51" s="197">
        <f>IFERROR(Inv_SY!L52/Inv_SY!$Q52-1,"")</f>
        <v>-7.7656350121548035E-2</v>
      </c>
      <c r="S51" s="197">
        <f>IFERROR(Inv_SY!M52/Inv_SY!$Q52-1,"")</f>
        <v>0</v>
      </c>
      <c r="T51" s="197">
        <f>IFERROR(Inv_SY!N52/Inv_SY!$Q52-1,"")</f>
        <v>-7.704646122809522E-3</v>
      </c>
      <c r="U51" s="198">
        <f>IFERROR(Inv_SY!O52/Inv_SY!$Q52-1,"")</f>
        <v>-1.4532782550027545E-2</v>
      </c>
    </row>
    <row r="52" spans="1:21">
      <c r="A52" s="201">
        <f t="shared" ref="A52" si="77">YEAR(H52)+IF(MONTH(H52)&gt;=4,1,0)</f>
        <v>2026</v>
      </c>
      <c r="B52" s="202">
        <f t="shared" ref="B52" si="78">YEAR(H52)</f>
        <v>2025</v>
      </c>
      <c r="C52" s="194" t="str">
        <f>TEXT(Table5[[#This Row],[Date]],"yyyy")</f>
        <v>2025</v>
      </c>
      <c r="D52" s="194" t="s">
        <v>224</v>
      </c>
      <c r="E52" s="194" t="s">
        <v>224</v>
      </c>
      <c r="F52" s="195" t="str">
        <f>TEXT(Table5[[#This Row],[Date]],"mmm-yy")</f>
        <v>May-25</v>
      </c>
      <c r="G52" s="194">
        <f t="shared" ref="G52" si="79">DAY(EOMONTH(F52,0))</f>
        <v>31</v>
      </c>
      <c r="H52" s="196">
        <f t="shared" si="4"/>
        <v>45795</v>
      </c>
      <c r="I52" s="194">
        <v>11.72</v>
      </c>
      <c r="J52" s="197">
        <f>IFERROR(Inv_SY!J53/Inv_SY!$P53-1,"")</f>
        <v>-6.7597086869052303E-3</v>
      </c>
      <c r="K52" s="197">
        <f>IFERROR(Inv_SY!K53/Inv_SY!$P53-1,"")</f>
        <v>-5.0690120974470343E-3</v>
      </c>
      <c r="L52" s="197">
        <f>IFERROR(Inv_SY!L53/Inv_SY!$P53-1,"")</f>
        <v>-4.0889258039418008E-2</v>
      </c>
      <c r="M52" s="197">
        <f>IFERROR(Inv_SY!M53/Inv_SY!$P53-1,"")</f>
        <v>1.6992647638478076E-2</v>
      </c>
      <c r="N52" s="197">
        <f>IFERROR(Inv_SY!N53/Inv_SY!$P53-1,"")</f>
        <v>1.5307924471320566E-2</v>
      </c>
      <c r="O52" s="197">
        <f>IFERROR(Inv_SY!O53/Inv_SY!$P53-1,"")</f>
        <v>2.0417406713971076E-2</v>
      </c>
      <c r="P52" s="197">
        <f>IFERROR(Inv_SY!P53/Inv_SY!$P53-1,"")</f>
        <v>0</v>
      </c>
      <c r="Q52" s="197">
        <f>IFERROR(Inv_SY!Q53/Inv_SY!$P53-1,"")</f>
        <v>2.0417406713971076E-2</v>
      </c>
      <c r="R52" s="197">
        <f>IFERROR(Inv_SY!L53/Inv_SY!$Q53-1,"")</f>
        <v>-6.0079987218969233E-2</v>
      </c>
      <c r="S52" s="197">
        <f>IFERROR(Inv_SY!M53/Inv_SY!$Q53-1,"")</f>
        <v>-3.3562334912746739E-3</v>
      </c>
      <c r="T52" s="197">
        <f>IFERROR(Inv_SY!N53/Inv_SY!$Q53-1,"")</f>
        <v>-5.0072472392493905E-3</v>
      </c>
      <c r="U52" s="198">
        <f>IFERROR(Inv_SY!O53/Inv_SY!$Q53-1,"")</f>
        <v>0</v>
      </c>
    </row>
    <row r="53" spans="1:21">
      <c r="A53" s="201">
        <f t="shared" ref="A53" si="80">YEAR(H53)+IF(MONTH(H53)&gt;=4,1,0)</f>
        <v>2026</v>
      </c>
      <c r="B53" s="202">
        <f t="shared" ref="B53" si="81">YEAR(H53)</f>
        <v>2025</v>
      </c>
      <c r="C53" s="194" t="str">
        <f>TEXT(Table5[[#This Row],[Date]],"yyyy")</f>
        <v>2025</v>
      </c>
      <c r="D53" s="194" t="s">
        <v>224</v>
      </c>
      <c r="E53" s="194" t="s">
        <v>224</v>
      </c>
      <c r="F53" s="195" t="str">
        <f>TEXT(Table5[[#This Row],[Date]],"mmm-yy")</f>
        <v>May-25</v>
      </c>
      <c r="G53" s="194">
        <f t="shared" ref="G53" si="82">DAY(EOMONTH(F53,0))</f>
        <v>31</v>
      </c>
      <c r="H53" s="196">
        <f t="shared" si="4"/>
        <v>45796</v>
      </c>
      <c r="I53" s="194">
        <v>11.72</v>
      </c>
      <c r="J53" s="197">
        <f>IFERROR(Inv_SY!J54/Inv_SY!$P54-1,"")</f>
        <v>-1.3810879934945675E-2</v>
      </c>
      <c r="K53" s="197">
        <f>IFERROR(Inv_SY!K54/Inv_SY!$P54-1,"")</f>
        <v>1.6286135834543636E-2</v>
      </c>
      <c r="L53" s="197">
        <f>IFERROR(Inv_SY!L54/Inv_SY!$P54-1,"")</f>
        <v>-8.1511709652452025E-3</v>
      </c>
      <c r="M53" s="197">
        <f>IFERROR(Inv_SY!M54/Inv_SY!$P54-1,"")</f>
        <v>1.9354638616016384E-2</v>
      </c>
      <c r="N53" s="197">
        <f>IFERROR(Inv_SY!N54/Inv_SY!$P54-1,"")</f>
        <v>-1.8443542481323405E-3</v>
      </c>
      <c r="O53" s="197">
        <f>IFERROR(Inv_SY!O54/Inv_SY!$P54-1,"")</f>
        <v>-1.1834369302237469E-2</v>
      </c>
      <c r="P53" s="197">
        <f>IFERROR(Inv_SY!P54/Inv_SY!$P54-1,"")</f>
        <v>0</v>
      </c>
      <c r="Q53" s="197">
        <f>IFERROR(Inv_SY!Q54/Inv_SY!$P54-1,"")</f>
        <v>1.9354638616016384E-2</v>
      </c>
      <c r="R53" s="197">
        <f>IFERROR(Inv_SY!L54/Inv_SY!$Q54-1,"")</f>
        <v>-2.698355267074326E-2</v>
      </c>
      <c r="S53" s="197">
        <f>IFERROR(Inv_SY!M54/Inv_SY!$Q54-1,"")</f>
        <v>0</v>
      </c>
      <c r="T53" s="197">
        <f>IFERROR(Inv_SY!N54/Inv_SY!$Q54-1,"")</f>
        <v>-2.0796484423645456E-2</v>
      </c>
      <c r="U53" s="198">
        <f>IFERROR(Inv_SY!O54/Inv_SY!$Q54-1,"")</f>
        <v>-3.0596817571360124E-2</v>
      </c>
    </row>
    <row r="54" spans="1:21">
      <c r="A54" s="201">
        <f t="shared" ref="A54" si="83">YEAR(H54)+IF(MONTH(H54)&gt;=4,1,0)</f>
        <v>2026</v>
      </c>
      <c r="B54" s="202">
        <f t="shared" ref="B54" si="84">YEAR(H54)</f>
        <v>2025</v>
      </c>
      <c r="C54" s="194" t="str">
        <f>TEXT(Table5[[#This Row],[Date]],"yyyy")</f>
        <v>2025</v>
      </c>
      <c r="D54" s="194" t="s">
        <v>224</v>
      </c>
      <c r="E54" s="194" t="s">
        <v>224</v>
      </c>
      <c r="F54" s="195" t="str">
        <f>TEXT(Table5[[#This Row],[Date]],"mmm-yy")</f>
        <v>May-25</v>
      </c>
      <c r="G54" s="194">
        <f t="shared" ref="G54" si="85">DAY(EOMONTH(F54,0))</f>
        <v>31</v>
      </c>
      <c r="H54" s="196">
        <f t="shared" si="4"/>
        <v>45797</v>
      </c>
      <c r="I54" s="194">
        <v>11.72</v>
      </c>
      <c r="J54" s="197">
        <f>IFERROR(Inv_SY!J55/Inv_SY!$P55-1,"")</f>
        <v>5.4160667078417823E-4</v>
      </c>
      <c r="K54" s="197">
        <f>IFERROR(Inv_SY!K55/Inv_SY!$P55-1,"")</f>
        <v>-1.9113664571666633E-2</v>
      </c>
      <c r="L54" s="197">
        <f>IFERROR(Inv_SY!L55/Inv_SY!$P55-1,"")</f>
        <v>-4.7466408989467745E-2</v>
      </c>
      <c r="M54" s="197">
        <f>IFERROR(Inv_SY!M55/Inv_SY!$P55-1,"")</f>
        <v>2.1666106662778573E-2</v>
      </c>
      <c r="N54" s="197">
        <f>IFERROR(Inv_SY!N55/Inv_SY!$P55-1,"")</f>
        <v>1.5957387449466953E-2</v>
      </c>
      <c r="O54" s="197">
        <f>IFERROR(Inv_SY!O55/Inv_SY!$P55-1,"")</f>
        <v>2.8414972778104675E-2</v>
      </c>
      <c r="P54" s="197">
        <f>IFERROR(Inv_SY!P55/Inv_SY!$P55-1,"")</f>
        <v>0</v>
      </c>
      <c r="Q54" s="197">
        <f>IFERROR(Inv_SY!Q55/Inv_SY!$P55-1,"")</f>
        <v>2.8414972778104675E-2</v>
      </c>
      <c r="R54" s="197">
        <f>IFERROR(Inv_SY!L55/Inv_SY!$Q55-1,"")</f>
        <v>-7.3784788996790418E-2</v>
      </c>
      <c r="S54" s="197">
        <f>IFERROR(Inv_SY!M55/Inv_SY!$Q55-1,"")</f>
        <v>-6.562395816831712E-3</v>
      </c>
      <c r="T54" s="197">
        <f>IFERROR(Inv_SY!N55/Inv_SY!$Q55-1,"")</f>
        <v>-1.2113383856115489E-2</v>
      </c>
      <c r="U54" s="198">
        <f>IFERROR(Inv_SY!O55/Inv_SY!$Q55-1,"")</f>
        <v>0</v>
      </c>
    </row>
    <row r="55" spans="1:21">
      <c r="A55" s="201">
        <f t="shared" ref="A55" si="86">YEAR(H55)+IF(MONTH(H55)&gt;=4,1,0)</f>
        <v>2026</v>
      </c>
      <c r="B55" s="202">
        <f t="shared" ref="B55" si="87">YEAR(H55)</f>
        <v>2025</v>
      </c>
      <c r="C55" s="194" t="str">
        <f>TEXT(Table5[[#This Row],[Date]],"yyyy")</f>
        <v>2025</v>
      </c>
      <c r="D55" s="194" t="s">
        <v>224</v>
      </c>
      <c r="E55" s="194" t="s">
        <v>224</v>
      </c>
      <c r="F55" s="195" t="str">
        <f>TEXT(Table5[[#This Row],[Date]],"mmm-yy")</f>
        <v>May-25</v>
      </c>
      <c r="G55" s="194">
        <f t="shared" ref="G55" si="88">DAY(EOMONTH(F55,0))</f>
        <v>31</v>
      </c>
      <c r="H55" s="196">
        <f t="shared" si="4"/>
        <v>45798</v>
      </c>
      <c r="I55" s="194">
        <v>11.72</v>
      </c>
      <c r="J55" s="197">
        <f>IFERROR(Inv_SY!J56/Inv_SY!$P56-1,"")</f>
        <v>-3.3268156441546015E-4</v>
      </c>
      <c r="K55" s="197">
        <f>IFERROR(Inv_SY!K56/Inv_SY!$P56-1,"")</f>
        <v>-2.6130705223409434E-3</v>
      </c>
      <c r="L55" s="197">
        <f>IFERROR(Inv_SY!L56/Inv_SY!$P56-1,"")</f>
        <v>-1.5657660444880594E-2</v>
      </c>
      <c r="M55" s="197">
        <f>IFERROR(Inv_SY!M56/Inv_SY!$P56-1,"")</f>
        <v>5.6366470847559746E-3</v>
      </c>
      <c r="N55" s="197">
        <f>IFERROR(Inv_SY!N56/Inv_SY!$P56-1,"")</f>
        <v>8.425953182128243E-3</v>
      </c>
      <c r="O55" s="197">
        <f>IFERROR(Inv_SY!O56/Inv_SY!$P56-1,"")</f>
        <v>4.5408122647534466E-3</v>
      </c>
      <c r="P55" s="197">
        <f>IFERROR(Inv_SY!P56/Inv_SY!$P56-1,"")</f>
        <v>0</v>
      </c>
      <c r="Q55" s="197">
        <f>IFERROR(Inv_SY!Q56/Inv_SY!$P56-1,"")</f>
        <v>8.425953182128243E-3</v>
      </c>
      <c r="R55" s="197">
        <f>IFERROR(Inv_SY!L56/Inv_SY!$Q56-1,"")</f>
        <v>-2.3882381796116903E-2</v>
      </c>
      <c r="S55" s="197">
        <f>IFERROR(Inv_SY!M56/Inv_SY!$Q56-1,"")</f>
        <v>-2.7659999116151912E-3</v>
      </c>
      <c r="T55" s="197">
        <f>IFERROR(Inv_SY!N56/Inv_SY!$Q56-1,"")</f>
        <v>0</v>
      </c>
      <c r="U55" s="198">
        <f>IFERROR(Inv_SY!O56/Inv_SY!$Q56-1,"")</f>
        <v>-3.852678429303702E-3</v>
      </c>
    </row>
    <row r="56" spans="1:21">
      <c r="A56" s="201">
        <f t="shared" ref="A56" si="89">YEAR(H56)+IF(MONTH(H56)&gt;=4,1,0)</f>
        <v>2026</v>
      </c>
      <c r="B56" s="202">
        <f t="shared" ref="B56" si="90">YEAR(H56)</f>
        <v>2025</v>
      </c>
      <c r="C56" s="194" t="str">
        <f>TEXT(Table5[[#This Row],[Date]],"yyyy")</f>
        <v>2025</v>
      </c>
      <c r="D56" s="194" t="s">
        <v>224</v>
      </c>
      <c r="E56" s="194" t="s">
        <v>224</v>
      </c>
      <c r="F56" s="195" t="str">
        <f>TEXT(Table5[[#This Row],[Date]],"mmm-yy")</f>
        <v>May-25</v>
      </c>
      <c r="G56" s="194">
        <f t="shared" ref="G56" si="91">DAY(EOMONTH(F56,0))</f>
        <v>31</v>
      </c>
      <c r="H56" s="196">
        <f t="shared" si="4"/>
        <v>45799</v>
      </c>
      <c r="I56" s="194">
        <v>11.72</v>
      </c>
      <c r="J56" s="197">
        <f>IFERROR(Inv_SY!J57/Inv_SY!$P57-1,"")</f>
        <v>-1.9799066448812574E-2</v>
      </c>
      <c r="K56" s="197">
        <f>IFERROR(Inv_SY!K57/Inv_SY!$P57-1,"")</f>
        <v>2.4443611180026581E-2</v>
      </c>
      <c r="L56" s="197">
        <f>IFERROR(Inv_SY!L57/Inv_SY!$P57-1,"")</f>
        <v>-0.17478346509860077</v>
      </c>
      <c r="M56" s="197">
        <f>IFERROR(Inv_SY!M57/Inv_SY!$P57-1,"")</f>
        <v>6.9279946690752769E-2</v>
      </c>
      <c r="N56" s="197">
        <f>IFERROR(Inv_SY!N57/Inv_SY!$P57-1,"")</f>
        <v>5.2479254000827646E-2</v>
      </c>
      <c r="O56" s="197">
        <f>IFERROR(Inv_SY!O57/Inv_SY!$P57-1,"")</f>
        <v>4.8379719675806898E-2</v>
      </c>
      <c r="P56" s="197">
        <f>IFERROR(Inv_SY!P57/Inv_SY!$P57-1,"")</f>
        <v>0</v>
      </c>
      <c r="Q56" s="197">
        <f>IFERROR(Inv_SY!Q57/Inv_SY!$P57-1,"")</f>
        <v>6.9279946690752769E-2</v>
      </c>
      <c r="R56" s="197">
        <f>IFERROR(Inv_SY!L57/Inv_SY!$Q57-1,"")</f>
        <v>-0.22825024685508222</v>
      </c>
      <c r="S56" s="197">
        <f>IFERROR(Inv_SY!M57/Inv_SY!$Q57-1,"")</f>
        <v>0</v>
      </c>
      <c r="T56" s="197">
        <f>IFERROR(Inv_SY!N57/Inv_SY!$Q57-1,"")</f>
        <v>-1.5712155401324535E-2</v>
      </c>
      <c r="U56" s="198">
        <f>IFERROR(Inv_SY!O57/Inv_SY!$Q57-1,"")</f>
        <v>-1.954607591737656E-2</v>
      </c>
    </row>
    <row r="57" spans="1:21">
      <c r="A57" s="201">
        <f t="shared" ref="A57" si="92">YEAR(H57)+IF(MONTH(H57)&gt;=4,1,0)</f>
        <v>2026</v>
      </c>
      <c r="B57" s="202">
        <f t="shared" ref="B57" si="93">YEAR(H57)</f>
        <v>2025</v>
      </c>
      <c r="C57" s="194" t="str">
        <f>TEXT(Table5[[#This Row],[Date]],"yyyy")</f>
        <v>2025</v>
      </c>
      <c r="D57" s="194" t="s">
        <v>224</v>
      </c>
      <c r="E57" s="194" t="s">
        <v>224</v>
      </c>
      <c r="F57" s="195" t="str">
        <f>TEXT(Table5[[#This Row],[Date]],"mmm-yy")</f>
        <v>May-25</v>
      </c>
      <c r="G57" s="194">
        <f t="shared" ref="G57" si="94">DAY(EOMONTH(F57,0))</f>
        <v>31</v>
      </c>
      <c r="H57" s="196">
        <f t="shared" si="4"/>
        <v>45800</v>
      </c>
      <c r="I57" s="194">
        <v>11.72</v>
      </c>
      <c r="J57" s="197">
        <f>IFERROR(Inv_SY!J58/Inv_SY!$P58-1,"")</f>
        <v>1.3865632957975382E-2</v>
      </c>
      <c r="K57" s="197">
        <f>IFERROR(Inv_SY!K58/Inv_SY!$P58-1,"")</f>
        <v>-2.8576858556184082E-2</v>
      </c>
      <c r="L57" s="197">
        <f>IFERROR(Inv_SY!L58/Inv_SY!$P58-1,"")</f>
        <v>-9.0633423215397357E-2</v>
      </c>
      <c r="M57" s="197">
        <f>IFERROR(Inv_SY!M58/Inv_SY!$P58-1,"")</f>
        <v>3.4987680230365692E-2</v>
      </c>
      <c r="N57" s="197">
        <f>IFERROR(Inv_SY!N58/Inv_SY!$P58-1,"")</f>
        <v>1.4644977660226655E-2</v>
      </c>
      <c r="O57" s="197">
        <f>IFERROR(Inv_SY!O58/Inv_SY!$P58-1,"")</f>
        <v>5.5711990923014376E-2</v>
      </c>
      <c r="P57" s="197">
        <f>IFERROR(Inv_SY!P58/Inv_SY!$P58-1,"")</f>
        <v>0</v>
      </c>
      <c r="Q57" s="197">
        <f>IFERROR(Inv_SY!Q58/Inv_SY!$P58-1,"")</f>
        <v>5.5711990923014376E-2</v>
      </c>
      <c r="R57" s="197">
        <f>IFERROR(Inv_SY!L58/Inv_SY!$Q58-1,"")</f>
        <v>-0.1386224798019593</v>
      </c>
      <c r="S57" s="197">
        <f>IFERROR(Inv_SY!M58/Inv_SY!$Q58-1,"")</f>
        <v>-1.9630648198406209E-2</v>
      </c>
      <c r="T57" s="197">
        <f>IFERROR(Inv_SY!N58/Inv_SY!$Q58-1,"")</f>
        <v>-3.8899826482867383E-2</v>
      </c>
      <c r="U57" s="198">
        <f>IFERROR(Inv_SY!O58/Inv_SY!$Q58-1,"")</f>
        <v>0</v>
      </c>
    </row>
    <row r="58" spans="1:21">
      <c r="A58" s="201">
        <f t="shared" ref="A58" si="95">YEAR(H58)+IF(MONTH(H58)&gt;=4,1,0)</f>
        <v>2026</v>
      </c>
      <c r="B58" s="202">
        <f t="shared" ref="B58" si="96">YEAR(H58)</f>
        <v>2025</v>
      </c>
      <c r="C58" s="194" t="str">
        <f>TEXT(Table5[[#This Row],[Date]],"yyyy")</f>
        <v>2025</v>
      </c>
      <c r="D58" s="194" t="s">
        <v>224</v>
      </c>
      <c r="E58" s="194" t="s">
        <v>224</v>
      </c>
      <c r="F58" s="195" t="str">
        <f>TEXT(Table5[[#This Row],[Date]],"mmm-yy")</f>
        <v>May-25</v>
      </c>
      <c r="G58" s="194">
        <f t="shared" ref="G58" si="97">DAY(EOMONTH(F58,0))</f>
        <v>31</v>
      </c>
      <c r="H58" s="196">
        <f t="shared" si="4"/>
        <v>45801</v>
      </c>
      <c r="I58" s="194">
        <v>11.72</v>
      </c>
      <c r="J58" s="197">
        <f>IFERROR(Inv_SY!J59/Inv_SY!$P59-1,"")</f>
        <v>1.3446753701031877E-3</v>
      </c>
      <c r="K58" s="197">
        <f>IFERROR(Inv_SY!K59/Inv_SY!$P59-1,"")</f>
        <v>-1.7454747427482209E-3</v>
      </c>
      <c r="L58" s="197">
        <f>IFERROR(Inv_SY!L59/Inv_SY!$P59-1,"")</f>
        <v>-1.0672061079305184E-2</v>
      </c>
      <c r="M58" s="197">
        <f>IFERROR(Inv_SY!M59/Inv_SY!$P59-1,"")</f>
        <v>4.6935606223890147E-3</v>
      </c>
      <c r="N58" s="197">
        <f>IFERROR(Inv_SY!N59/Inv_SY!$P59-1,"")</f>
        <v>-8.3651259065505856E-3</v>
      </c>
      <c r="O58" s="197">
        <f>IFERROR(Inv_SY!O59/Inv_SY!$P59-1,"")</f>
        <v>1.4744425736111122E-2</v>
      </c>
      <c r="P58" s="197">
        <f>IFERROR(Inv_SY!P59/Inv_SY!$P59-1,"")</f>
        <v>0</v>
      </c>
      <c r="Q58" s="197">
        <f>IFERROR(Inv_SY!Q59/Inv_SY!$P59-1,"")</f>
        <v>1.4744425736111122E-2</v>
      </c>
      <c r="R58" s="197">
        <f>IFERROR(Inv_SY!L59/Inv_SY!$Q59-1,"")</f>
        <v>-2.5047180522306367E-2</v>
      </c>
      <c r="S58" s="197">
        <f>IFERROR(Inv_SY!M59/Inv_SY!$Q59-1,"")</f>
        <v>-9.9048241693281414E-3</v>
      </c>
      <c r="T58" s="197">
        <f>IFERROR(Inv_SY!N59/Inv_SY!$Q59-1,"")</f>
        <v>-2.277376554781041E-2</v>
      </c>
      <c r="U58" s="198">
        <f>IFERROR(Inv_SY!O59/Inv_SY!$Q59-1,"")</f>
        <v>0</v>
      </c>
    </row>
    <row r="59" spans="1:21">
      <c r="A59" s="201">
        <f t="shared" ref="A59" si="98">YEAR(H59)+IF(MONTH(H59)&gt;=4,1,0)</f>
        <v>2026</v>
      </c>
      <c r="B59" s="202">
        <f t="shared" ref="B59" si="99">YEAR(H59)</f>
        <v>2025</v>
      </c>
      <c r="C59" s="194" t="str">
        <f>TEXT(Table5[[#This Row],[Date]],"yyyy")</f>
        <v>2025</v>
      </c>
      <c r="D59" s="194" t="s">
        <v>224</v>
      </c>
      <c r="E59" s="194" t="s">
        <v>224</v>
      </c>
      <c r="F59" s="195" t="str">
        <f>TEXT(Table5[[#This Row],[Date]],"mmm-yy")</f>
        <v>May-25</v>
      </c>
      <c r="G59" s="194">
        <f t="shared" ref="G59" si="100">DAY(EOMONTH(F59,0))</f>
        <v>31</v>
      </c>
      <c r="H59" s="196">
        <f t="shared" si="4"/>
        <v>45802</v>
      </c>
      <c r="I59" s="194">
        <v>11.72</v>
      </c>
      <c r="J59" s="197">
        <f>IFERROR(Inv_SY!J60/Inv_SY!$P60-1,"")</f>
        <v>-4.4377239786200784E-3</v>
      </c>
      <c r="K59" s="197">
        <f>IFERROR(Inv_SY!K60/Inv_SY!$P60-1,"")</f>
        <v>2.2881269229463985E-2</v>
      </c>
      <c r="L59" s="197">
        <f>IFERROR(Inv_SY!L60/Inv_SY!$P60-1,"")</f>
        <v>-1.2670794176381839E-2</v>
      </c>
      <c r="M59" s="197">
        <f>IFERROR(Inv_SY!M60/Inv_SY!$P60-1,"")</f>
        <v>1.4893770270999473E-2</v>
      </c>
      <c r="N59" s="197">
        <f>IFERROR(Inv_SY!N60/Inv_SY!$P60-1,"")</f>
        <v>-2.8695916476999983E-2</v>
      </c>
      <c r="O59" s="197">
        <f>IFERROR(Inv_SY!O60/Inv_SY!$P60-1,"")</f>
        <v>8.0293951315382195E-3</v>
      </c>
      <c r="P59" s="197">
        <f>IFERROR(Inv_SY!P60/Inv_SY!$P60-1,"")</f>
        <v>0</v>
      </c>
      <c r="Q59" s="197">
        <f>IFERROR(Inv_SY!Q60/Inv_SY!$P60-1,"")</f>
        <v>2.2881269229463985E-2</v>
      </c>
      <c r="R59" s="197">
        <f>IFERROR(Inv_SY!L60/Inv_SY!$Q60-1,"")</f>
        <v>-3.4756784071945379E-2</v>
      </c>
      <c r="S59" s="197">
        <f>IFERROR(Inv_SY!M60/Inv_SY!$Q60-1,"")</f>
        <v>-7.8088231730761848E-3</v>
      </c>
      <c r="T59" s="197">
        <f>IFERROR(Inv_SY!N60/Inv_SY!$Q60-1,"")</f>
        <v>-5.0423433547978735E-2</v>
      </c>
      <c r="U59" s="198">
        <f>IFERROR(Inv_SY!O60/Inv_SY!$Q60-1,"")</f>
        <v>-1.4519646164909972E-2</v>
      </c>
    </row>
    <row r="60" spans="1:21">
      <c r="A60" s="201">
        <f t="shared" ref="A60" si="101">YEAR(H60)+IF(MONTH(H60)&gt;=4,1,0)</f>
        <v>2026</v>
      </c>
      <c r="B60" s="202">
        <f t="shared" ref="B60" si="102">YEAR(H60)</f>
        <v>2025</v>
      </c>
      <c r="C60" s="194" t="str">
        <f>TEXT(Table5[[#This Row],[Date]],"yyyy")</f>
        <v>2025</v>
      </c>
      <c r="D60" s="194" t="s">
        <v>224</v>
      </c>
      <c r="E60" s="194" t="s">
        <v>224</v>
      </c>
      <c r="F60" s="195" t="str">
        <f>TEXT(Table5[[#This Row],[Date]],"mmm-yy")</f>
        <v>May-25</v>
      </c>
      <c r="G60" s="194">
        <f t="shared" ref="G60" si="103">DAY(EOMONTH(F60,0))</f>
        <v>31</v>
      </c>
      <c r="H60" s="196">
        <f t="shared" si="4"/>
        <v>45803</v>
      </c>
      <c r="I60" s="194">
        <v>11.72</v>
      </c>
      <c r="J60" s="197">
        <f>IFERROR(Inv_SY!J61/Inv_SY!$P61-1,"")</f>
        <v>-6.5416363066640448E-3</v>
      </c>
      <c r="K60" s="197">
        <f>IFERROR(Inv_SY!K61/Inv_SY!$P61-1,"")</f>
        <v>1.6725350511157755E-2</v>
      </c>
      <c r="L60" s="197">
        <f>IFERROR(Inv_SY!L61/Inv_SY!$P61-1,"")</f>
        <v>1.8441826287085572E-3</v>
      </c>
      <c r="M60" s="197">
        <f>IFERROR(Inv_SY!M61/Inv_SY!$P61-1,"")</f>
        <v>4.1141427146897946E-3</v>
      </c>
      <c r="N60" s="197">
        <f>IFERROR(Inv_SY!N61/Inv_SY!$P61-1,"")</f>
        <v>-4.1981449915537983E-3</v>
      </c>
      <c r="O60" s="197">
        <f>IFERROR(Inv_SY!O61/Inv_SY!$P61-1,"")</f>
        <v>-1.1943894556338375E-2</v>
      </c>
      <c r="P60" s="197">
        <f>IFERROR(Inv_SY!P61/Inv_SY!$P61-1,"")</f>
        <v>0</v>
      </c>
      <c r="Q60" s="197">
        <f>IFERROR(Inv_SY!Q61/Inv_SY!$P61-1,"")</f>
        <v>1.6725350511157755E-2</v>
      </c>
      <c r="R60" s="197">
        <f>IFERROR(Inv_SY!L61/Inv_SY!$Q61-1,"")</f>
        <v>-1.4636369472805666E-2</v>
      </c>
      <c r="S60" s="197">
        <f>IFERROR(Inv_SY!M61/Inv_SY!$Q61-1,"")</f>
        <v>-1.240375071805544E-2</v>
      </c>
      <c r="T60" s="197">
        <f>IFERROR(Inv_SY!N61/Inv_SY!$Q61-1,"")</f>
        <v>-2.0579299505212756E-2</v>
      </c>
      <c r="U60" s="198">
        <f>IFERROR(Inv_SY!O61/Inv_SY!$Q61-1,"")</f>
        <v>-2.8197629825087667E-2</v>
      </c>
    </row>
    <row r="61" spans="1:21">
      <c r="A61" s="201">
        <f t="shared" ref="A61" si="104">YEAR(H61)+IF(MONTH(H61)&gt;=4,1,0)</f>
        <v>2026</v>
      </c>
      <c r="B61" s="202">
        <f t="shared" ref="B61" si="105">YEAR(H61)</f>
        <v>2025</v>
      </c>
      <c r="C61" s="194" t="str">
        <f>TEXT(Table5[[#This Row],[Date]],"yyyy")</f>
        <v>2025</v>
      </c>
      <c r="D61" s="194" t="s">
        <v>224</v>
      </c>
      <c r="E61" s="194" t="s">
        <v>224</v>
      </c>
      <c r="F61" s="195" t="str">
        <f>TEXT(Table5[[#This Row],[Date]],"mmm-yy")</f>
        <v>May-25</v>
      </c>
      <c r="G61" s="194">
        <f t="shared" ref="G61" si="106">DAY(EOMONTH(F61,0))</f>
        <v>31</v>
      </c>
      <c r="H61" s="196">
        <f t="shared" si="4"/>
        <v>45804</v>
      </c>
      <c r="I61" s="194">
        <v>11.72</v>
      </c>
      <c r="J61" s="197">
        <f>IFERROR(Inv_SY!J62/Inv_SY!$P62-1,"")</f>
        <v>-2.3370684710566358E-3</v>
      </c>
      <c r="K61" s="197">
        <f>IFERROR(Inv_SY!K62/Inv_SY!$P62-1,"")</f>
        <v>-8.3723398801128779E-3</v>
      </c>
      <c r="L61" s="197">
        <f>IFERROR(Inv_SY!L62/Inv_SY!$P62-1,"")</f>
        <v>-2.4433252954139895E-2</v>
      </c>
      <c r="M61" s="197">
        <f>IFERROR(Inv_SY!M62/Inv_SY!$P62-1,"")</f>
        <v>4.0994748436289363E-3</v>
      </c>
      <c r="N61" s="197">
        <f>IFERROR(Inv_SY!N62/Inv_SY!$P62-1,"")</f>
        <v>2.0072136781519756E-2</v>
      </c>
      <c r="O61" s="197">
        <f>IFERROR(Inv_SY!O62/Inv_SY!$P62-1,"")</f>
        <v>1.0971049680161604E-2</v>
      </c>
      <c r="P61" s="197">
        <f>IFERROR(Inv_SY!P62/Inv_SY!$P62-1,"")</f>
        <v>0</v>
      </c>
      <c r="Q61" s="197">
        <f>IFERROR(Inv_SY!Q62/Inv_SY!$P62-1,"")</f>
        <v>2.0072136781519756E-2</v>
      </c>
      <c r="R61" s="197">
        <f>IFERROR(Inv_SY!L62/Inv_SY!$Q62-1,"")</f>
        <v>-4.3629649444284269E-2</v>
      </c>
      <c r="S61" s="197">
        <f>IFERROR(Inv_SY!M62/Inv_SY!$Q62-1,"")</f>
        <v>-1.5658365091989479E-2</v>
      </c>
      <c r="T61" s="197">
        <f>IFERROR(Inv_SY!N62/Inv_SY!$Q62-1,"")</f>
        <v>0</v>
      </c>
      <c r="U61" s="198">
        <f>IFERROR(Inv_SY!O62/Inv_SY!$Q62-1,"")</f>
        <v>-8.9220034281825011E-3</v>
      </c>
    </row>
    <row r="62" spans="1:21">
      <c r="A62" s="201">
        <f t="shared" ref="A62" si="107">YEAR(H62)+IF(MONTH(H62)&gt;=4,1,0)</f>
        <v>2026</v>
      </c>
      <c r="B62" s="202">
        <f t="shared" ref="B62" si="108">YEAR(H62)</f>
        <v>2025</v>
      </c>
      <c r="C62" s="194" t="str">
        <f>TEXT(Table5[[#This Row],[Date]],"yyyy")</f>
        <v>2025</v>
      </c>
      <c r="D62" s="194" t="s">
        <v>224</v>
      </c>
      <c r="E62" s="194" t="s">
        <v>224</v>
      </c>
      <c r="F62" s="195" t="str">
        <f>TEXT(Table5[[#This Row],[Date]],"mmm-yy")</f>
        <v>May-25</v>
      </c>
      <c r="G62" s="194">
        <f t="shared" ref="G62" si="109">DAY(EOMONTH(F62,0))</f>
        <v>31</v>
      </c>
      <c r="H62" s="196">
        <f t="shared" si="4"/>
        <v>45805</v>
      </c>
      <c r="I62" s="194">
        <v>11.72</v>
      </c>
      <c r="J62" s="197">
        <f>IFERROR(Inv_SY!J63/Inv_SY!$P63-1,"")</f>
        <v>-2.4024929489034008E-2</v>
      </c>
      <c r="K62" s="197">
        <f>IFERROR(Inv_SY!K63/Inv_SY!$P63-1,"")</f>
        <v>-3.0169053898903786E-2</v>
      </c>
      <c r="L62" s="197">
        <f>IFERROR(Inv_SY!L63/Inv_SY!$P63-1,"")</f>
        <v>-5.8471941593161159E-2</v>
      </c>
      <c r="M62" s="197">
        <f>IFERROR(Inv_SY!M63/Inv_SY!$P63-1,"")</f>
        <v>4.1192042942712392E-2</v>
      </c>
      <c r="N62" s="197">
        <f>IFERROR(Inv_SY!N63/Inv_SY!$P63-1,"")</f>
        <v>4.4007218369669365E-2</v>
      </c>
      <c r="O62" s="197">
        <f>IFERROR(Inv_SY!O63/Inv_SY!$P63-1,"")</f>
        <v>2.7466663668717528E-2</v>
      </c>
      <c r="P62" s="197">
        <f>IFERROR(Inv_SY!P63/Inv_SY!$P63-1,"")</f>
        <v>0</v>
      </c>
      <c r="Q62" s="197">
        <f>IFERROR(Inv_SY!Q63/Inv_SY!$P63-1,"")</f>
        <v>4.4007218369669365E-2</v>
      </c>
      <c r="R62" s="197">
        <f>IFERROR(Inv_SY!L63/Inv_SY!$Q63-1,"")</f>
        <v>-9.8159436218135498E-2</v>
      </c>
      <c r="S62" s="197">
        <f>IFERROR(Inv_SY!M63/Inv_SY!$Q63-1,"")</f>
        <v>-2.6965095426767505E-3</v>
      </c>
      <c r="T62" s="197">
        <f>IFERROR(Inv_SY!N63/Inv_SY!$Q63-1,"")</f>
        <v>0</v>
      </c>
      <c r="U62" s="198">
        <f>IFERROR(Inv_SY!O63/Inv_SY!$Q63-1,"")</f>
        <v>-1.5843333657004521E-2</v>
      </c>
    </row>
    <row r="63" spans="1:21">
      <c r="A63" s="201">
        <f t="shared" ref="A63" si="110">YEAR(H63)+IF(MONTH(H63)&gt;=4,1,0)</f>
        <v>2026</v>
      </c>
      <c r="B63" s="202">
        <f t="shared" ref="B63" si="111">YEAR(H63)</f>
        <v>2025</v>
      </c>
      <c r="C63" s="194" t="str">
        <f>TEXT(Table5[[#This Row],[Date]],"yyyy")</f>
        <v>2025</v>
      </c>
      <c r="D63" s="194" t="s">
        <v>224</v>
      </c>
      <c r="E63" s="194" t="s">
        <v>224</v>
      </c>
      <c r="F63" s="195" t="str">
        <f>TEXT(Table5[[#This Row],[Date]],"mmm-yy")</f>
        <v>May-25</v>
      </c>
      <c r="G63" s="194">
        <f t="shared" ref="G63" si="112">DAY(EOMONTH(F63,0))</f>
        <v>31</v>
      </c>
      <c r="H63" s="196">
        <f t="shared" si="4"/>
        <v>45806</v>
      </c>
      <c r="I63" s="194">
        <v>11.72</v>
      </c>
      <c r="J63" s="197">
        <f>IFERROR(Inv_SY!J64/Inv_SY!$P64-1,"")</f>
        <v>-1</v>
      </c>
      <c r="K63" s="197">
        <f>IFERROR(Inv_SY!K64/Inv_SY!$P64-1,"")</f>
        <v>-1</v>
      </c>
      <c r="L63" s="197">
        <f>IFERROR(Inv_SY!L64/Inv_SY!$P64-1,"")</f>
        <v>-1</v>
      </c>
      <c r="M63" s="197">
        <f>IFERROR(Inv_SY!M64/Inv_SY!$P64-1,"")</f>
        <v>-1</v>
      </c>
      <c r="N63" s="197">
        <f>IFERROR(Inv_SY!N64/Inv_SY!$P64-1,"")</f>
        <v>-1.3058130960814651E-2</v>
      </c>
      <c r="O63" s="197">
        <f>IFERROR(Inv_SY!O64/Inv_SY!$P64-1,"")</f>
        <v>1.3058130960814429E-2</v>
      </c>
      <c r="P63" s="197">
        <f>IFERROR(Inv_SY!P64/Inv_SY!$P64-1,"")</f>
        <v>0</v>
      </c>
      <c r="Q63" s="197">
        <f>IFERROR(Inv_SY!Q64/Inv_SY!$P64-1,"")</f>
        <v>1.3058130960814429E-2</v>
      </c>
      <c r="R63" s="197">
        <f>IFERROR(Inv_SY!L64/Inv_SY!$Q64-1,"")</f>
        <v>-1</v>
      </c>
      <c r="S63" s="197">
        <f>IFERROR(Inv_SY!M64/Inv_SY!$Q64-1,"")</f>
        <v>-1</v>
      </c>
      <c r="T63" s="197">
        <f>IFERROR(Inv_SY!N64/Inv_SY!$Q64-1,"")</f>
        <v>-2.5779628160982004E-2</v>
      </c>
      <c r="U63" s="198">
        <f>IFERROR(Inv_SY!O64/Inv_SY!$Q64-1,"")</f>
        <v>0</v>
      </c>
    </row>
    <row r="64" spans="1:21">
      <c r="A64" s="201">
        <f t="shared" ref="A64" si="113">YEAR(H64)+IF(MONTH(H64)&gt;=4,1,0)</f>
        <v>2026</v>
      </c>
      <c r="B64" s="202">
        <f t="shared" ref="B64" si="114">YEAR(H64)</f>
        <v>2025</v>
      </c>
      <c r="C64" s="194" t="str">
        <f>TEXT(Table5[[#This Row],[Date]],"yyyy")</f>
        <v>2025</v>
      </c>
      <c r="D64" s="194" t="s">
        <v>224</v>
      </c>
      <c r="E64" s="194" t="s">
        <v>224</v>
      </c>
      <c r="F64" s="195" t="str">
        <f>TEXT(Table5[[#This Row],[Date]],"mmm-yy")</f>
        <v>May-25</v>
      </c>
      <c r="G64" s="194">
        <f t="shared" ref="G64" si="115">DAY(EOMONTH(F64,0))</f>
        <v>31</v>
      </c>
      <c r="H64" s="196">
        <f t="shared" si="4"/>
        <v>45807</v>
      </c>
      <c r="I64" s="194">
        <v>11.72</v>
      </c>
      <c r="J64" s="197">
        <f>IFERROR(Inv_SY!J65/Inv_SY!$P65-1,"")</f>
        <v>-1</v>
      </c>
      <c r="K64" s="197">
        <f>IFERROR(Inv_SY!K65/Inv_SY!$P65-1,"")</f>
        <v>-1</v>
      </c>
      <c r="L64" s="197">
        <f>IFERROR(Inv_SY!L65/Inv_SY!$P65-1,"")</f>
        <v>-1</v>
      </c>
      <c r="M64" s="197">
        <f>IFERROR(Inv_SY!M65/Inv_SY!$P65-1,"")</f>
        <v>-1</v>
      </c>
      <c r="N64" s="197">
        <f>IFERROR(Inv_SY!N65/Inv_SY!$P65-1,"")</f>
        <v>-7.6563438512589066E-5</v>
      </c>
      <c r="O64" s="197">
        <f>IFERROR(Inv_SY!O65/Inv_SY!$P65-1,"")</f>
        <v>7.6563438512700088E-5</v>
      </c>
      <c r="P64" s="197">
        <f>IFERROR(Inv_SY!P65/Inv_SY!$P65-1,"")</f>
        <v>0</v>
      </c>
      <c r="Q64" s="197">
        <f>IFERROR(Inv_SY!Q65/Inv_SY!$P65-1,"")</f>
        <v>7.6563438512700088E-5</v>
      </c>
      <c r="R64" s="197">
        <f>IFERROR(Inv_SY!L65/Inv_SY!$Q65-1,"")</f>
        <v>-1</v>
      </c>
      <c r="S64" s="197">
        <f>IFERROR(Inv_SY!M65/Inv_SY!$Q65-1,"")</f>
        <v>-1</v>
      </c>
      <c r="T64" s="197">
        <f>IFERROR(Inv_SY!N65/Inv_SY!$Q65-1,"")</f>
        <v>-1.5311515400273645E-4</v>
      </c>
      <c r="U64" s="198">
        <f>IFERROR(Inv_SY!O65/Inv_SY!$Q65-1,"")</f>
        <v>0</v>
      </c>
    </row>
    <row r="65" spans="1:21">
      <c r="A65" s="201">
        <f t="shared" ref="A65" si="116">YEAR(H65)+IF(MONTH(H65)&gt;=4,1,0)</f>
        <v>2026</v>
      </c>
      <c r="B65" s="202">
        <f t="shared" ref="B65" si="117">YEAR(H65)</f>
        <v>2025</v>
      </c>
      <c r="C65" s="194" t="str">
        <f>TEXT(Table5[[#This Row],[Date]],"yyyy")</f>
        <v>2025</v>
      </c>
      <c r="D65" s="194" t="s">
        <v>224</v>
      </c>
      <c r="E65" s="194" t="s">
        <v>224</v>
      </c>
      <c r="F65" s="195" t="str">
        <f>TEXT(Table5[[#This Row],[Date]],"mmm-yy")</f>
        <v>May-25</v>
      </c>
      <c r="G65" s="194">
        <f t="shared" ref="G65" si="118">DAY(EOMONTH(F65,0))</f>
        <v>31</v>
      </c>
      <c r="H65" s="196">
        <f t="shared" si="4"/>
        <v>45808</v>
      </c>
      <c r="I65" s="194">
        <v>11.72</v>
      </c>
      <c r="J65" s="197">
        <f>IFERROR(Inv_SY!J66/Inv_SY!$P66-1,"")</f>
        <v>-1.6684839153291886E-2</v>
      </c>
      <c r="K65" s="197">
        <f>IFERROR(Inv_SY!K66/Inv_SY!$P66-1,"")</f>
        <v>-3.4100649711805153E-2</v>
      </c>
      <c r="L65" s="197">
        <f>IFERROR(Inv_SY!L66/Inv_SY!$P66-1,"")</f>
        <v>-7.9653163118466264E-2</v>
      </c>
      <c r="M65" s="197">
        <f>IFERROR(Inv_SY!M66/Inv_SY!$P66-1,"")</f>
        <v>1.7266621247769676E-2</v>
      </c>
      <c r="N65" s="197">
        <f>IFERROR(Inv_SY!N66/Inv_SY!$P66-1,"")</f>
        <v>6.5987512723811426E-2</v>
      </c>
      <c r="O65" s="197">
        <f>IFERROR(Inv_SY!O66/Inv_SY!$P66-1,"")</f>
        <v>4.7184518011982535E-2</v>
      </c>
      <c r="P65" s="197">
        <f>IFERROR(Inv_SY!P66/Inv_SY!$P66-1,"")</f>
        <v>0</v>
      </c>
      <c r="Q65" s="197">
        <f>IFERROR(Inv_SY!Q66/Inv_SY!$P66-1,"")</f>
        <v>6.5987512723811426E-2</v>
      </c>
      <c r="R65" s="197">
        <f>IFERROR(Inv_SY!L66/Inv_SY!$Q66-1,"")</f>
        <v>-0.13662512375040547</v>
      </c>
      <c r="S65" s="197">
        <f>IFERROR(Inv_SY!M66/Inv_SY!$Q66-1,"")</f>
        <v>-4.5704936403570096E-2</v>
      </c>
      <c r="T65" s="197">
        <f>IFERROR(Inv_SY!N66/Inv_SY!$Q66-1,"")</f>
        <v>0</v>
      </c>
      <c r="U65" s="198">
        <f>IFERROR(Inv_SY!O66/Inv_SY!$Q66-1,"")</f>
        <v>-1.7639038438436838E-2</v>
      </c>
    </row>
    <row r="66" spans="1:21">
      <c r="A66" s="201">
        <f t="shared" ref="A66" si="119">YEAR(H66)+IF(MONTH(H66)&gt;=4,1,0)</f>
        <v>2026</v>
      </c>
      <c r="B66" s="202">
        <f t="shared" ref="B66" si="120">YEAR(H66)</f>
        <v>2025</v>
      </c>
      <c r="C66" s="194" t="str">
        <f>TEXT(Table5[[#This Row],[Date]],"yyyy")</f>
        <v>2025</v>
      </c>
      <c r="D66" s="194" t="s">
        <v>224</v>
      </c>
      <c r="E66" s="194" t="s">
        <v>224</v>
      </c>
      <c r="F66" s="195" t="str">
        <f>TEXT(Table5[[#This Row],[Date]],"mmm-yy")</f>
        <v>Jun-25</v>
      </c>
      <c r="G66" s="194">
        <f t="shared" ref="G66" si="121">DAY(EOMONTH(F66,0))</f>
        <v>30</v>
      </c>
      <c r="H66" s="196">
        <f t="shared" si="4"/>
        <v>45809</v>
      </c>
      <c r="I66" s="194">
        <v>11.72</v>
      </c>
      <c r="J66" s="197">
        <f>IFERROR(Inv_SY!J67/Inv_SY!$P67-1,"")</f>
        <v>-1.2093132408875107E-2</v>
      </c>
      <c r="K66" s="197">
        <f>IFERROR(Inv_SY!K67/Inv_SY!$P67-1,"")</f>
        <v>-1.738441662266943E-2</v>
      </c>
      <c r="L66" s="197">
        <f>IFERROR(Inv_SY!L67/Inv_SY!$P67-1,"")</f>
        <v>-5.3994953413217694E-2</v>
      </c>
      <c r="M66" s="197">
        <f>IFERROR(Inv_SY!M67/Inv_SY!$P67-1,"")</f>
        <v>2.8485345352824876E-2</v>
      </c>
      <c r="N66" s="197">
        <f>IFERROR(Inv_SY!N67/Inv_SY!$P67-1,"")</f>
        <v>3.0799675981533881E-2</v>
      </c>
      <c r="O66" s="197">
        <f>IFERROR(Inv_SY!O67/Inv_SY!$P67-1,"")</f>
        <v>2.4187481110403031E-2</v>
      </c>
      <c r="P66" s="197">
        <f>IFERROR(Inv_SY!P67/Inv_SY!$P67-1,"")</f>
        <v>0</v>
      </c>
      <c r="Q66" s="197">
        <f>IFERROR(Inv_SY!Q67/Inv_SY!$P67-1,"")</f>
        <v>3.0799675981533881E-2</v>
      </c>
      <c r="R66" s="197">
        <f>IFERROR(Inv_SY!L67/Inv_SY!$Q67-1,"")</f>
        <v>-8.2261016733449766E-2</v>
      </c>
      <c r="S66" s="197">
        <f>IFERROR(Inv_SY!M67/Inv_SY!$Q67-1,"")</f>
        <v>-2.245179817800369E-3</v>
      </c>
      <c r="T66" s="197">
        <f>IFERROR(Inv_SY!N67/Inv_SY!$Q67-1,"")</f>
        <v>0</v>
      </c>
      <c r="U66" s="198">
        <f>IFERROR(Inv_SY!O67/Inv_SY!$Q67-1,"")</f>
        <v>-6.4146264547810805E-3</v>
      </c>
    </row>
    <row r="67" spans="1:21">
      <c r="A67" s="201">
        <f t="shared" ref="A67" si="122">YEAR(H67)+IF(MONTH(H67)&gt;=4,1,0)</f>
        <v>2026</v>
      </c>
      <c r="B67" s="202">
        <f t="shared" ref="B67" si="123">YEAR(H67)</f>
        <v>2025</v>
      </c>
      <c r="C67" s="194" t="str">
        <f>TEXT(Table5[[#This Row],[Date]],"yyyy")</f>
        <v>2025</v>
      </c>
      <c r="D67" s="194" t="s">
        <v>224</v>
      </c>
      <c r="E67" s="194" t="s">
        <v>224</v>
      </c>
      <c r="F67" s="195" t="str">
        <f>TEXT(Table5[[#This Row],[Date]],"mmm-yy")</f>
        <v>Jun-25</v>
      </c>
      <c r="G67" s="194">
        <f t="shared" ref="G67:G79" si="124">DAY(EOMONTH(F67,0))</f>
        <v>30</v>
      </c>
      <c r="H67" s="196">
        <f t="shared" ref="H67:H101" si="125">H66+1</f>
        <v>45810</v>
      </c>
      <c r="I67" s="194">
        <v>11.72</v>
      </c>
      <c r="J67" s="197">
        <f>IFERROR(Inv_SY!J68/Inv_SY!$P68-1,"")</f>
        <v>-5.6936319349830677E-2</v>
      </c>
      <c r="K67" s="197">
        <f>IFERROR(Inv_SY!K68/Inv_SY!$P68-1,"")</f>
        <v>-2.4298974657349204E-2</v>
      </c>
      <c r="L67" s="197">
        <f>IFERROR(Inv_SY!L68/Inv_SY!$P68-1,"")</f>
        <v>-4.5777876871809786E-2</v>
      </c>
      <c r="M67" s="197">
        <f>IFERROR(Inv_SY!M68/Inv_SY!$P68-1,"")</f>
        <v>4.0973859203040641E-2</v>
      </c>
      <c r="N67" s="197">
        <f>IFERROR(Inv_SY!N68/Inv_SY!$P68-1,"")</f>
        <v>3.6743581674661296E-2</v>
      </c>
      <c r="O67" s="197">
        <f>IFERROR(Inv_SY!O68/Inv_SY!$P68-1,"")</f>
        <v>4.9295730001287286E-2</v>
      </c>
      <c r="P67" s="197">
        <f>IFERROR(Inv_SY!P68/Inv_SY!$P68-1,"")</f>
        <v>0</v>
      </c>
      <c r="Q67" s="197">
        <f>IFERROR(Inv_SY!Q68/Inv_SY!$P68-1,"")</f>
        <v>4.9295730001287286E-2</v>
      </c>
      <c r="R67" s="197">
        <f>IFERROR(Inv_SY!L68/Inv_SY!$Q68-1,"")</f>
        <v>-9.0607065439006651E-2</v>
      </c>
      <c r="S67" s="197">
        <f>IFERROR(Inv_SY!M68/Inv_SY!$Q68-1,"")</f>
        <v>-7.9309107626276409E-3</v>
      </c>
      <c r="T67" s="197">
        <f>IFERROR(Inv_SY!N68/Inv_SY!$Q68-1,"")</f>
        <v>-1.1962450592084672E-2</v>
      </c>
      <c r="U67" s="198">
        <f>IFERROR(Inv_SY!O68/Inv_SY!$Q68-1,"")</f>
        <v>0</v>
      </c>
    </row>
    <row r="68" spans="1:21">
      <c r="A68" s="201">
        <f t="shared" ref="A68" si="126">YEAR(H68)+IF(MONTH(H68)&gt;=4,1,0)</f>
        <v>2026</v>
      </c>
      <c r="B68" s="202">
        <f t="shared" ref="B68" si="127">YEAR(H68)</f>
        <v>2025</v>
      </c>
      <c r="C68" s="194" t="str">
        <f>TEXT(Table5[[#This Row],[Date]],"yyyy")</f>
        <v>2025</v>
      </c>
      <c r="D68" s="194" t="s">
        <v>224</v>
      </c>
      <c r="E68" s="194" t="s">
        <v>224</v>
      </c>
      <c r="F68" s="195" t="str">
        <f>TEXT(Table5[[#This Row],[Date]],"mmm-yy")</f>
        <v>Jun-25</v>
      </c>
      <c r="G68" s="194">
        <f t="shared" si="124"/>
        <v>30</v>
      </c>
      <c r="H68" s="196">
        <f t="shared" si="125"/>
        <v>45811</v>
      </c>
      <c r="I68" s="194">
        <v>11.72</v>
      </c>
      <c r="J68" s="197">
        <f>IFERROR(Inv_SY!J69/Inv_SY!$P69-1,"")</f>
        <v>-1.5306721944095769E-2</v>
      </c>
      <c r="K68" s="197">
        <f>IFERROR(Inv_SY!K69/Inv_SY!$P69-1,"")</f>
        <v>-4.4528439805145981E-3</v>
      </c>
      <c r="L68" s="197">
        <f>IFERROR(Inv_SY!L69/Inv_SY!$P69-1,"")</f>
        <v>-4.0086058222167043E-2</v>
      </c>
      <c r="M68" s="197">
        <f>IFERROR(Inv_SY!M69/Inv_SY!$P69-1,"")</f>
        <v>3.2203252581677555E-2</v>
      </c>
      <c r="N68" s="197">
        <f>IFERROR(Inv_SY!N69/Inv_SY!$P69-1,"")</f>
        <v>2.0238385554782301E-2</v>
      </c>
      <c r="O68" s="197">
        <f>IFERROR(Inv_SY!O69/Inv_SY!$P69-1,"")</f>
        <v>7.4039860103178867E-3</v>
      </c>
      <c r="P68" s="197">
        <f>IFERROR(Inv_SY!P69/Inv_SY!$P69-1,"")</f>
        <v>0</v>
      </c>
      <c r="Q68" s="197">
        <f>IFERROR(Inv_SY!Q69/Inv_SY!$P69-1,"")</f>
        <v>3.2203252581677555E-2</v>
      </c>
      <c r="R68" s="197">
        <f>IFERROR(Inv_SY!L69/Inv_SY!$Q69-1,"")</f>
        <v>-7.0033988580291084E-2</v>
      </c>
      <c r="S68" s="197">
        <f>IFERROR(Inv_SY!M69/Inv_SY!$Q69-1,"")</f>
        <v>0</v>
      </c>
      <c r="T68" s="197">
        <f>IFERROR(Inv_SY!N69/Inv_SY!$Q69-1,"")</f>
        <v>-1.1591580434347049E-2</v>
      </c>
      <c r="U68" s="198">
        <f>IFERROR(Inv_SY!O69/Inv_SY!$Q69-1,"")</f>
        <v>-2.4025565225970102E-2</v>
      </c>
    </row>
    <row r="69" spans="1:21">
      <c r="A69" s="207">
        <f t="shared" ref="A69" si="128">YEAR(H69)+IF(MONTH(H69)&gt;=4,1,0)</f>
        <v>2026</v>
      </c>
      <c r="B69" s="208">
        <f t="shared" ref="B69" si="129">YEAR(H69)</f>
        <v>2025</v>
      </c>
      <c r="C69" s="189" t="str">
        <f>TEXT(Table5[[#This Row],[Date]],"yyyy")</f>
        <v>2025</v>
      </c>
      <c r="D69" s="189" t="s">
        <v>224</v>
      </c>
      <c r="E69" s="189" t="s">
        <v>224</v>
      </c>
      <c r="F69" s="190" t="str">
        <f>TEXT(Table5[[#This Row],[Date]],"mmm-yy")</f>
        <v>Jun-25</v>
      </c>
      <c r="G69" s="189">
        <f t="shared" si="124"/>
        <v>30</v>
      </c>
      <c r="H69" s="191">
        <f t="shared" si="125"/>
        <v>45812</v>
      </c>
      <c r="I69" s="189">
        <v>11.72</v>
      </c>
      <c r="J69" s="192">
        <f>IFERROR(Inv_SY!J70/Inv_SY!$P70-1,"")</f>
        <v>-1.6832488423574321E-2</v>
      </c>
      <c r="K69" s="192">
        <f>IFERROR(Inv_SY!K70/Inv_SY!$P70-1,"")</f>
        <v>-3.1338151247303436E-2</v>
      </c>
      <c r="L69" s="192">
        <f>IFERROR(Inv_SY!L70/Inv_SY!$P70-1,"")</f>
        <v>-6.4434444864197138E-2</v>
      </c>
      <c r="M69" s="192">
        <f>IFERROR(Inv_SY!M70/Inv_SY!$P70-1,"")</f>
        <v>3.3619140127328251E-2</v>
      </c>
      <c r="N69" s="192">
        <f>IFERROR(Inv_SY!N70/Inv_SY!$P70-1,"")</f>
        <v>5.0858424696976101E-2</v>
      </c>
      <c r="O69" s="192">
        <f>IFERROR(Inv_SY!O70/Inv_SY!$P70-1,"")</f>
        <v>2.8127519710771098E-2</v>
      </c>
      <c r="P69" s="192">
        <f>IFERROR(Inv_SY!P70/Inv_SY!$P70-1,"")</f>
        <v>0</v>
      </c>
      <c r="Q69" s="192">
        <f>IFERROR(Inv_SY!Q70/Inv_SY!$P70-1,"")</f>
        <v>5.0858424696976101E-2</v>
      </c>
      <c r="R69" s="192">
        <f>IFERROR(Inv_SY!L70/Inv_SY!$Q70-1,"")</f>
        <v>-0.10971303731463045</v>
      </c>
      <c r="S69" s="192">
        <f>IFERROR(Inv_SY!M70/Inv_SY!$Q70-1,"")</f>
        <v>-1.6404954430106811E-2</v>
      </c>
      <c r="T69" s="192">
        <f>IFERROR(Inv_SY!N70/Inv_SY!$Q70-1,"")</f>
        <v>0</v>
      </c>
      <c r="U69" s="193">
        <f>IFERROR(Inv_SY!O70/Inv_SY!$Q70-1,"")</f>
        <v>-2.1630796739113278E-2</v>
      </c>
    </row>
    <row r="70" spans="1:21">
      <c r="A70" s="207">
        <f t="shared" ref="A70" si="130">YEAR(H70)+IF(MONTH(H70)&gt;=4,1,0)</f>
        <v>2026</v>
      </c>
      <c r="B70" s="208">
        <f t="shared" ref="B70" si="131">YEAR(H70)</f>
        <v>2025</v>
      </c>
      <c r="C70" s="189" t="str">
        <f>TEXT(Table5[[#This Row],[Date]],"yyyy")</f>
        <v>2025</v>
      </c>
      <c r="D70" s="189" t="s">
        <v>224</v>
      </c>
      <c r="E70" s="189" t="s">
        <v>224</v>
      </c>
      <c r="F70" s="190" t="str">
        <f>TEXT(Table5[[#This Row],[Date]],"mmm-yy")</f>
        <v>Jun-25</v>
      </c>
      <c r="G70" s="189">
        <f t="shared" si="124"/>
        <v>30</v>
      </c>
      <c r="H70" s="191">
        <f t="shared" si="125"/>
        <v>45813</v>
      </c>
      <c r="I70" s="189">
        <v>11.72</v>
      </c>
      <c r="J70" s="192">
        <f>IFERROR(Inv_SY!J71/Inv_SY!$P71-1,"")</f>
        <v>-2.0652749739805687E-3</v>
      </c>
      <c r="K70" s="192">
        <f>IFERROR(Inv_SY!K71/Inv_SY!$P71-1,"")</f>
        <v>7.2732854267081315E-3</v>
      </c>
      <c r="L70" s="192">
        <f>IFERROR(Inv_SY!L71/Inv_SY!$P71-1,"")</f>
        <v>-1.3445350398056499E-2</v>
      </c>
      <c r="M70" s="192">
        <f>IFERROR(Inv_SY!M71/Inv_SY!$P71-1,"")</f>
        <v>1.2869972066814617E-2</v>
      </c>
      <c r="N70" s="192">
        <f>IFERROR(Inv_SY!N71/Inv_SY!$P71-1,"")</f>
        <v>-9.9176703899903629E-3</v>
      </c>
      <c r="O70" s="192">
        <f>IFERROR(Inv_SY!O71/Inv_SY!$P71-1,"")</f>
        <v>5.2850382685052377E-3</v>
      </c>
      <c r="P70" s="192">
        <f>IFERROR(Inv_SY!P71/Inv_SY!$P71-1,"")</f>
        <v>0</v>
      </c>
      <c r="Q70" s="192">
        <f>IFERROR(Inv_SY!Q71/Inv_SY!$P71-1,"")</f>
        <v>1.2869972066814617E-2</v>
      </c>
      <c r="R70" s="192">
        <f>IFERROR(Inv_SY!L71/Inv_SY!$Q71-1,"")</f>
        <v>-2.5980948384888292E-2</v>
      </c>
      <c r="S70" s="192">
        <f>IFERROR(Inv_SY!M71/Inv_SY!$Q71-1,"")</f>
        <v>0</v>
      </c>
      <c r="T70" s="192">
        <f>IFERROR(Inv_SY!N71/Inv_SY!$Q71-1,"")</f>
        <v>-2.2498092633061018E-2</v>
      </c>
      <c r="U70" s="193">
        <f>IFERROR(Inv_SY!O71/Inv_SY!$Q71-1,"")</f>
        <v>-7.4885562880613321E-3</v>
      </c>
    </row>
    <row r="71" spans="1:21">
      <c r="A71" s="207">
        <f t="shared" ref="A71" si="132">YEAR(H71)+IF(MONTH(H71)&gt;=4,1,0)</f>
        <v>2026</v>
      </c>
      <c r="B71" s="208">
        <f t="shared" ref="B71" si="133">YEAR(H71)</f>
        <v>2025</v>
      </c>
      <c r="C71" s="189" t="str">
        <f>TEXT(Table5[[#This Row],[Date]],"yyyy")</f>
        <v>2025</v>
      </c>
      <c r="D71" s="189" t="s">
        <v>224</v>
      </c>
      <c r="E71" s="189" t="s">
        <v>224</v>
      </c>
      <c r="F71" s="190" t="str">
        <f>TEXT(Table5[[#This Row],[Date]],"mmm-yy")</f>
        <v>Jun-25</v>
      </c>
      <c r="G71" s="189">
        <f t="shared" si="124"/>
        <v>30</v>
      </c>
      <c r="H71" s="191">
        <f t="shared" si="125"/>
        <v>45814</v>
      </c>
      <c r="I71" s="189">
        <v>11.72</v>
      </c>
      <c r="J71" s="192">
        <f>IFERROR(Inv_SY!J72/Inv_SY!$P72-1,"")</f>
        <v>-2.5477419703672011E-2</v>
      </c>
      <c r="K71" s="192">
        <f>IFERROR(Inv_SY!K72/Inv_SY!$P72-1,"")</f>
        <v>-1.9783329006066719E-3</v>
      </c>
      <c r="L71" s="192">
        <f>IFERROR(Inv_SY!L72/Inv_SY!$P72-1,"")</f>
        <v>-4.3649542985744083E-2</v>
      </c>
      <c r="M71" s="192">
        <f>IFERROR(Inv_SY!M72/Inv_SY!$P72-1,"")</f>
        <v>4.3701906560930537E-2</v>
      </c>
      <c r="N71" s="192">
        <f>IFERROR(Inv_SY!N72/Inv_SY!$P72-1,"")</f>
        <v>2.8495129994688284E-2</v>
      </c>
      <c r="O71" s="192">
        <f>IFERROR(Inv_SY!O72/Inv_SY!$P72-1,"")</f>
        <v>-1.091740965594834E-3</v>
      </c>
      <c r="P71" s="192">
        <f>IFERROR(Inv_SY!P72/Inv_SY!$P72-1,"")</f>
        <v>0</v>
      </c>
      <c r="Q71" s="192">
        <f>IFERROR(Inv_SY!Q72/Inv_SY!$P72-1,"")</f>
        <v>4.3701906560930537E-2</v>
      </c>
      <c r="R71" s="192">
        <f>IFERROR(Inv_SY!L72/Inv_SY!$Q72-1,"")</f>
        <v>-8.3693867949809153E-2</v>
      </c>
      <c r="S71" s="192">
        <f>IFERROR(Inv_SY!M72/Inv_SY!$Q72-1,"")</f>
        <v>0</v>
      </c>
      <c r="T71" s="192">
        <f>IFERROR(Inv_SY!N72/Inv_SY!$Q72-1,"")</f>
        <v>-1.4570038121660245E-2</v>
      </c>
      <c r="U71" s="193">
        <f>IFERROR(Inv_SY!O72/Inv_SY!$Q72-1,"")</f>
        <v>-4.2918047044795959E-2</v>
      </c>
    </row>
    <row r="72" spans="1:21">
      <c r="A72" s="207">
        <f t="shared" ref="A72" si="134">YEAR(H72)+IF(MONTH(H72)&gt;=4,1,0)</f>
        <v>2026</v>
      </c>
      <c r="B72" s="208">
        <f t="shared" ref="B72" si="135">YEAR(H72)</f>
        <v>2025</v>
      </c>
      <c r="C72" s="189" t="str">
        <f>TEXT(Table5[[#This Row],[Date]],"yyyy")</f>
        <v>2025</v>
      </c>
      <c r="D72" s="189" t="s">
        <v>224</v>
      </c>
      <c r="E72" s="189" t="s">
        <v>224</v>
      </c>
      <c r="F72" s="190" t="str">
        <f>TEXT(Table5[[#This Row],[Date]],"mmm-yy")</f>
        <v>Jun-25</v>
      </c>
      <c r="G72" s="189">
        <f t="shared" si="124"/>
        <v>30</v>
      </c>
      <c r="H72" s="191">
        <f t="shared" si="125"/>
        <v>45815</v>
      </c>
      <c r="I72" s="189">
        <v>11.72</v>
      </c>
      <c r="J72" s="192">
        <f>IFERROR(Inv_SY!J73/Inv_SY!$P73-1,"")</f>
        <v>-3.513290101082589E-3</v>
      </c>
      <c r="K72" s="192">
        <f>IFERROR(Inv_SY!K73/Inv_SY!$P73-1,"")</f>
        <v>-5.2271524841938088E-3</v>
      </c>
      <c r="L72" s="192">
        <f>IFERROR(Inv_SY!L73/Inv_SY!$P73-1,"")</f>
        <v>-4.1022931739257529E-2</v>
      </c>
      <c r="M72" s="192">
        <f>IFERROR(Inv_SY!M73/Inv_SY!$P73-1,"")</f>
        <v>2.0132726684859215E-2</v>
      </c>
      <c r="N72" s="192">
        <f>IFERROR(Inv_SY!N73/Inv_SY!$P73-1,"")</f>
        <v>1.3875743433937604E-2</v>
      </c>
      <c r="O72" s="192">
        <f>IFERROR(Inv_SY!O73/Inv_SY!$P73-1,"")</f>
        <v>1.5754904205736775E-2</v>
      </c>
      <c r="P72" s="192">
        <f>IFERROR(Inv_SY!P73/Inv_SY!$P73-1,"")</f>
        <v>0</v>
      </c>
      <c r="Q72" s="192">
        <f>IFERROR(Inv_SY!Q73/Inv_SY!$P73-1,"")</f>
        <v>2.0132726684859215E-2</v>
      </c>
      <c r="R72" s="192">
        <f>IFERROR(Inv_SY!L73/Inv_SY!$Q73-1,"")</f>
        <v>-5.9948727086577391E-2</v>
      </c>
      <c r="S72" s="192">
        <f>IFERROR(Inv_SY!M73/Inv_SY!$Q73-1,"")</f>
        <v>0</v>
      </c>
      <c r="T72" s="192">
        <f>IFERROR(Inv_SY!N73/Inv_SY!$Q73-1,"")</f>
        <v>-6.1334991881447642E-3</v>
      </c>
      <c r="U72" s="193">
        <f>IFERROR(Inv_SY!O73/Inv_SY!$Q73-1,"")</f>
        <v>-4.2914244044979233E-3</v>
      </c>
    </row>
    <row r="73" spans="1:21">
      <c r="A73" s="207">
        <f t="shared" ref="A73" si="136">YEAR(H73)+IF(MONTH(H73)&gt;=4,1,0)</f>
        <v>2026</v>
      </c>
      <c r="B73" s="208">
        <f t="shared" ref="B73" si="137">YEAR(H73)</f>
        <v>2025</v>
      </c>
      <c r="C73" s="189" t="str">
        <f>TEXT(Table5[[#This Row],[Date]],"yyyy")</f>
        <v>2025</v>
      </c>
      <c r="D73" s="189" t="s">
        <v>224</v>
      </c>
      <c r="E73" s="189" t="s">
        <v>224</v>
      </c>
      <c r="F73" s="190" t="str">
        <f>TEXT(Table5[[#This Row],[Date]],"mmm-yy")</f>
        <v>Jun-25</v>
      </c>
      <c r="G73" s="189">
        <f t="shared" si="124"/>
        <v>30</v>
      </c>
      <c r="H73" s="191">
        <f t="shared" si="125"/>
        <v>45816</v>
      </c>
      <c r="I73" s="189">
        <v>11.72</v>
      </c>
      <c r="J73" s="192">
        <f>IFERROR(Inv_SY!J74/Inv_SY!$P74-1,"")</f>
        <v>-5.6533989944369534E-3</v>
      </c>
      <c r="K73" s="192">
        <f>IFERROR(Inv_SY!K74/Inv_SY!$P74-1,"")</f>
        <v>-7.3261258348736868E-3</v>
      </c>
      <c r="L73" s="192">
        <f>IFERROR(Inv_SY!L74/Inv_SY!$P74-1,"")</f>
        <v>-6.0485045371464374E-2</v>
      </c>
      <c r="M73" s="192">
        <f>IFERROR(Inv_SY!M74/Inv_SY!$P74-1,"")</f>
        <v>2.2528030174886693E-2</v>
      </c>
      <c r="N73" s="192">
        <f>IFERROR(Inv_SY!N74/Inv_SY!$P74-1,"")</f>
        <v>3.0995105892958952E-2</v>
      </c>
      <c r="O73" s="192">
        <f>IFERROR(Inv_SY!O74/Inv_SY!$P74-1,"")</f>
        <v>1.9941434132930036E-2</v>
      </c>
      <c r="P73" s="192">
        <f>IFERROR(Inv_SY!P74/Inv_SY!$P74-1,"")</f>
        <v>0</v>
      </c>
      <c r="Q73" s="192">
        <f>IFERROR(Inv_SY!Q74/Inv_SY!$P74-1,"")</f>
        <v>3.0995105892958952E-2</v>
      </c>
      <c r="R73" s="192">
        <f>IFERROR(Inv_SY!L74/Inv_SY!$Q74-1,"")</f>
        <v>-8.8729956855800096E-2</v>
      </c>
      <c r="S73" s="192">
        <f>IFERROR(Inv_SY!M74/Inv_SY!$Q74-1,"")</f>
        <v>-8.2125275568003531E-3</v>
      </c>
      <c r="T73" s="192">
        <f>IFERROR(Inv_SY!N74/Inv_SY!$Q74-1,"")</f>
        <v>0</v>
      </c>
      <c r="U73" s="193">
        <f>IFERROR(Inv_SY!O74/Inv_SY!$Q74-1,"")</f>
        <v>-1.0721362009236013E-2</v>
      </c>
    </row>
    <row r="74" spans="1:21">
      <c r="A74" s="207">
        <f t="shared" ref="A74" si="138">YEAR(H74)+IF(MONTH(H74)&gt;=4,1,0)</f>
        <v>2026</v>
      </c>
      <c r="B74" s="208">
        <f t="shared" ref="B74" si="139">YEAR(H74)</f>
        <v>2025</v>
      </c>
      <c r="C74" s="189" t="str">
        <f>TEXT(Table5[[#This Row],[Date]],"yyyy")</f>
        <v>2025</v>
      </c>
      <c r="D74" s="189" t="s">
        <v>224</v>
      </c>
      <c r="E74" s="189" t="s">
        <v>224</v>
      </c>
      <c r="F74" s="190" t="str">
        <f>TEXT(Table5[[#This Row],[Date]],"mmm-yy")</f>
        <v>Jun-25</v>
      </c>
      <c r="G74" s="189">
        <f t="shared" si="124"/>
        <v>30</v>
      </c>
      <c r="H74" s="191">
        <f t="shared" si="125"/>
        <v>45817</v>
      </c>
      <c r="I74" s="189">
        <v>11.72</v>
      </c>
      <c r="J74" s="192">
        <f>IFERROR(Inv_SY!J75/Inv_SY!$P75-1,"")</f>
        <v>6.8103340250940114E-3</v>
      </c>
      <c r="K74" s="192">
        <f>IFERROR(Inv_SY!K75/Inv_SY!$P75-1,"")</f>
        <v>1.3223159477998347E-2</v>
      </c>
      <c r="L74" s="192">
        <f>IFERROR(Inv_SY!L75/Inv_SY!$P75-1,"")</f>
        <v>-9.8012764121604423E-3</v>
      </c>
      <c r="M74" s="192">
        <f>IFERROR(Inv_SY!M75/Inv_SY!$P75-1,"")</f>
        <v>8.6553664642241568E-3</v>
      </c>
      <c r="N74" s="192">
        <f>IFERROR(Inv_SY!N75/Inv_SY!$P75-1,"")</f>
        <v>-1.6144250257301263E-2</v>
      </c>
      <c r="O74" s="192">
        <f>IFERROR(Inv_SY!O75/Inv_SY!$P75-1,"")</f>
        <v>-2.7433332978551439E-3</v>
      </c>
      <c r="P74" s="192">
        <f>IFERROR(Inv_SY!P75/Inv_SY!$P75-1,"")</f>
        <v>0</v>
      </c>
      <c r="Q74" s="192">
        <f>IFERROR(Inv_SY!Q75/Inv_SY!$P75-1,"")</f>
        <v>1.3223159477998347E-2</v>
      </c>
      <c r="R74" s="192">
        <f>IFERROR(Inv_SY!L75/Inv_SY!$Q75-1,"")</f>
        <v>-2.2723953429983568E-2</v>
      </c>
      <c r="S74" s="192">
        <f>IFERROR(Inv_SY!M75/Inv_SY!$Q75-1,"")</f>
        <v>-4.5081806224480658E-3</v>
      </c>
      <c r="T74" s="192">
        <f>IFERROR(Inv_SY!N75/Inv_SY!$Q75-1,"")</f>
        <v>-2.8984147727564191E-2</v>
      </c>
      <c r="U74" s="193">
        <f>IFERROR(Inv_SY!O75/Inv_SY!$Q75-1,"")</f>
        <v>-1.5758120633641348E-2</v>
      </c>
    </row>
    <row r="75" spans="1:21">
      <c r="A75" s="207">
        <f t="shared" ref="A75" si="140">YEAR(H75)+IF(MONTH(H75)&gt;=4,1,0)</f>
        <v>2026</v>
      </c>
      <c r="B75" s="208">
        <f t="shared" ref="B75" si="141">YEAR(H75)</f>
        <v>2025</v>
      </c>
      <c r="C75" s="189" t="str">
        <f>TEXT(Table5[[#This Row],[Date]],"yyyy")</f>
        <v>2025</v>
      </c>
      <c r="D75" s="189" t="s">
        <v>224</v>
      </c>
      <c r="E75" s="189" t="s">
        <v>224</v>
      </c>
      <c r="F75" s="190" t="str">
        <f>TEXT(Table5[[#This Row],[Date]],"mmm-yy")</f>
        <v>Jun-25</v>
      </c>
      <c r="G75" s="189">
        <f t="shared" si="124"/>
        <v>30</v>
      </c>
      <c r="H75" s="191">
        <f t="shared" si="125"/>
        <v>45818</v>
      </c>
      <c r="I75" s="189">
        <v>11.72</v>
      </c>
      <c r="J75" s="192">
        <f>IFERROR(Inv_SY!J76/Inv_SY!$P76-1,"")</f>
        <v>9.1409710256846743E-3</v>
      </c>
      <c r="K75" s="192">
        <f>IFERROR(Inv_SY!K76/Inv_SY!$P76-1,"")</f>
        <v>-8.6834700629637718E-3</v>
      </c>
      <c r="L75" s="192">
        <f>IFERROR(Inv_SY!L76/Inv_SY!$P76-1,"")</f>
        <v>-6.2815768467693323E-3</v>
      </c>
      <c r="M75" s="192">
        <f>IFERROR(Inv_SY!M76/Inv_SY!$P76-1,"")</f>
        <v>4.6484486351234811E-3</v>
      </c>
      <c r="N75" s="192">
        <f>IFERROR(Inv_SY!N76/Inv_SY!$P76-1,"")</f>
        <v>-8.300417661894044E-3</v>
      </c>
      <c r="O75" s="192">
        <f>IFERROR(Inv_SY!O76/Inv_SY!$P76-1,"")</f>
        <v>9.4760449108182154E-3</v>
      </c>
      <c r="P75" s="192">
        <f>IFERROR(Inv_SY!P76/Inv_SY!$P76-1,"")</f>
        <v>0</v>
      </c>
      <c r="Q75" s="192">
        <f>IFERROR(Inv_SY!Q76/Inv_SY!$P76-1,"")</f>
        <v>9.4760449108182154E-3</v>
      </c>
      <c r="R75" s="192">
        <f>IFERROR(Inv_SY!L76/Inv_SY!$Q76-1,"")</f>
        <v>-1.5609703506118899E-2</v>
      </c>
      <c r="S75" s="192">
        <f>IFERROR(Inv_SY!M76/Inv_SY!$Q76-1,"")</f>
        <v>-4.7822791833769251E-3</v>
      </c>
      <c r="T75" s="192">
        <f>IFERROR(Inv_SY!N76/Inv_SY!$Q76-1,"")</f>
        <v>-1.7609593275967894E-2</v>
      </c>
      <c r="U75" s="193">
        <f>IFERROR(Inv_SY!O76/Inv_SY!$Q76-1,"")</f>
        <v>0</v>
      </c>
    </row>
    <row r="76" spans="1:21">
      <c r="A76" s="207">
        <f t="shared" ref="A76" si="142">YEAR(H76)+IF(MONTH(H76)&gt;=4,1,0)</f>
        <v>2026</v>
      </c>
      <c r="B76" s="208">
        <f t="shared" ref="B76" si="143">YEAR(H76)</f>
        <v>2025</v>
      </c>
      <c r="C76" s="189" t="str">
        <f>TEXT(Table5[[#This Row],[Date]],"yyyy")</f>
        <v>2025</v>
      </c>
      <c r="D76" s="189" t="s">
        <v>224</v>
      </c>
      <c r="E76" s="189" t="s">
        <v>224</v>
      </c>
      <c r="F76" s="190" t="str">
        <f>TEXT(Table5[[#This Row],[Date]],"mmm-yy")</f>
        <v>Jun-25</v>
      </c>
      <c r="G76" s="189">
        <f t="shared" si="124"/>
        <v>30</v>
      </c>
      <c r="H76" s="191">
        <f t="shared" si="125"/>
        <v>45819</v>
      </c>
      <c r="I76" s="189">
        <v>11.72</v>
      </c>
      <c r="J76" s="192">
        <f>IFERROR(Inv_SY!J77/Inv_SY!$P77-1,"")</f>
        <v>-1.3266374582735496E-3</v>
      </c>
      <c r="K76" s="192">
        <f>IFERROR(Inv_SY!K77/Inv_SY!$P77-1,"")</f>
        <v>-1.6876735486914818E-4</v>
      </c>
      <c r="L76" s="192">
        <f>IFERROR(Inv_SY!L77/Inv_SY!$P77-1,"")</f>
        <v>-1.0498226211164141E-2</v>
      </c>
      <c r="M76" s="192">
        <f>IFERROR(Inv_SY!M77/Inv_SY!$P77-1,"")</f>
        <v>7.1117169812591197E-3</v>
      </c>
      <c r="N76" s="192">
        <f>IFERROR(Inv_SY!N77/Inv_SY!$P77-1,"")</f>
        <v>-5.4848777861852271E-3</v>
      </c>
      <c r="O76" s="192">
        <f>IFERROR(Inv_SY!O77/Inv_SY!$P77-1,"")</f>
        <v>1.0366791829233613E-2</v>
      </c>
      <c r="P76" s="192">
        <f>IFERROR(Inv_SY!P77/Inv_SY!$P77-1,"")</f>
        <v>0</v>
      </c>
      <c r="Q76" s="192">
        <f>IFERROR(Inv_SY!Q77/Inv_SY!$P77-1,"")</f>
        <v>1.0366791829233613E-2</v>
      </c>
      <c r="R76" s="192">
        <f>IFERROR(Inv_SY!L77/Inv_SY!$Q77-1,"")</f>
        <v>-2.0650934105447272E-2</v>
      </c>
      <c r="S76" s="192">
        <f>IFERROR(Inv_SY!M77/Inv_SY!$Q77-1,"")</f>
        <v>-3.2216763994007414E-3</v>
      </c>
      <c r="T76" s="192">
        <f>IFERROR(Inv_SY!N77/Inv_SY!$Q77-1,"")</f>
        <v>-1.5689024761710413E-2</v>
      </c>
      <c r="U76" s="193">
        <f>IFERROR(Inv_SY!O77/Inv_SY!$Q77-1,"")</f>
        <v>0</v>
      </c>
    </row>
    <row r="77" spans="1:21">
      <c r="A77" s="207">
        <f t="shared" ref="A77" si="144">YEAR(H77)+IF(MONTH(H77)&gt;=4,1,0)</f>
        <v>2026</v>
      </c>
      <c r="B77" s="208">
        <f t="shared" ref="B77" si="145">YEAR(H77)</f>
        <v>2025</v>
      </c>
      <c r="C77" s="189" t="str">
        <f>TEXT(Table5[[#This Row],[Date]],"yyyy")</f>
        <v>2025</v>
      </c>
      <c r="D77" s="189" t="s">
        <v>224</v>
      </c>
      <c r="E77" s="189" t="s">
        <v>224</v>
      </c>
      <c r="F77" s="190" t="str">
        <f>TEXT(Table5[[#This Row],[Date]],"mmm-yy")</f>
        <v>Jun-25</v>
      </c>
      <c r="G77" s="189">
        <f t="shared" si="124"/>
        <v>30</v>
      </c>
      <c r="H77" s="191">
        <f t="shared" si="125"/>
        <v>45820</v>
      </c>
      <c r="I77" s="189">
        <v>11.72</v>
      </c>
      <c r="J77" s="192">
        <f>IFERROR(Inv_SY!J78/Inv_SY!$P78-1,"")</f>
        <v>-6.5694359190709983E-3</v>
      </c>
      <c r="K77" s="192">
        <f>IFERROR(Inv_SY!K78/Inv_SY!$P78-1,"")</f>
        <v>7.0225956413851875E-3</v>
      </c>
      <c r="L77" s="192">
        <f>IFERROR(Inv_SY!L78/Inv_SY!$P78-1,"")</f>
        <v>-2.6901374859876759E-2</v>
      </c>
      <c r="M77" s="192">
        <f>IFERROR(Inv_SY!M78/Inv_SY!$P78-1,"")</f>
        <v>1.1356934179362455E-2</v>
      </c>
      <c r="N77" s="192">
        <f>IFERROR(Inv_SY!N78/Inv_SY!$P78-1,"")</f>
        <v>4.8286190091959558E-3</v>
      </c>
      <c r="O77" s="192">
        <f>IFERROR(Inv_SY!O78/Inv_SY!$P78-1,"")</f>
        <v>1.0262661949004048E-2</v>
      </c>
      <c r="P77" s="192">
        <f>IFERROR(Inv_SY!P78/Inv_SY!$P78-1,"")</f>
        <v>0</v>
      </c>
      <c r="Q77" s="192">
        <f>IFERROR(Inv_SY!Q78/Inv_SY!$P78-1,"")</f>
        <v>1.1356934179362455E-2</v>
      </c>
      <c r="R77" s="192">
        <f>IFERROR(Inv_SY!L78/Inv_SY!$Q78-1,"")</f>
        <v>-3.7828691084501154E-2</v>
      </c>
      <c r="S77" s="192">
        <f>IFERROR(Inv_SY!M78/Inv_SY!$Q78-1,"")</f>
        <v>0</v>
      </c>
      <c r="T77" s="192">
        <f>IFERROR(Inv_SY!N78/Inv_SY!$Q78-1,"")</f>
        <v>-6.4550060908652451E-3</v>
      </c>
      <c r="U77" s="193">
        <f>IFERROR(Inv_SY!O78/Inv_SY!$Q78-1,"")</f>
        <v>-1.0819842069371699E-3</v>
      </c>
    </row>
    <row r="78" spans="1:21">
      <c r="A78" s="207">
        <f t="shared" ref="A78" si="146">YEAR(H78)+IF(MONTH(H78)&gt;=4,1,0)</f>
        <v>2026</v>
      </c>
      <c r="B78" s="208">
        <f t="shared" ref="B78" si="147">YEAR(H78)</f>
        <v>2025</v>
      </c>
      <c r="C78" s="189" t="str">
        <f>TEXT(Table5[[#This Row],[Date]],"yyyy")</f>
        <v>2025</v>
      </c>
      <c r="D78" s="189" t="s">
        <v>224</v>
      </c>
      <c r="E78" s="189" t="s">
        <v>224</v>
      </c>
      <c r="F78" s="190" t="str">
        <f>TEXT(Table5[[#This Row],[Date]],"mmm-yy")</f>
        <v>Jun-25</v>
      </c>
      <c r="G78" s="189">
        <f t="shared" si="124"/>
        <v>30</v>
      </c>
      <c r="H78" s="191">
        <f t="shared" si="125"/>
        <v>45821</v>
      </c>
      <c r="I78" s="189">
        <v>11.72</v>
      </c>
      <c r="J78" s="192">
        <f>IFERROR(Inv_SY!J79/Inv_SY!$P79-1,"")</f>
        <v>-4.8779107041960756E-3</v>
      </c>
      <c r="K78" s="192">
        <f>IFERROR(Inv_SY!K79/Inv_SY!$P79-1,"")</f>
        <v>8.9803140986144392E-3</v>
      </c>
      <c r="L78" s="192">
        <f>IFERROR(Inv_SY!L79/Inv_SY!$P79-1,"")</f>
        <v>-2.4943820980118603E-2</v>
      </c>
      <c r="M78" s="192">
        <f>IFERROR(Inv_SY!M79/Inv_SY!$P79-1,"")</f>
        <v>1.1023678849164886E-2</v>
      </c>
      <c r="N78" s="192">
        <f>IFERROR(Inv_SY!N79/Inv_SY!$P79-1,"")</f>
        <v>2.5258233933798113E-3</v>
      </c>
      <c r="O78" s="192">
        <f>IFERROR(Inv_SY!O79/Inv_SY!$P79-1,"")</f>
        <v>7.2919153431552086E-3</v>
      </c>
      <c r="P78" s="192">
        <f>IFERROR(Inv_SY!P79/Inv_SY!$P79-1,"")</f>
        <v>0</v>
      </c>
      <c r="Q78" s="192">
        <f>IFERROR(Inv_SY!Q79/Inv_SY!$P79-1,"")</f>
        <v>1.1023678849164886E-2</v>
      </c>
      <c r="R78" s="192">
        <f>IFERROR(Inv_SY!L79/Inv_SY!$Q79-1,"")</f>
        <v>-3.5575328829315578E-2</v>
      </c>
      <c r="S78" s="192">
        <f>IFERROR(Inv_SY!M79/Inv_SY!$Q79-1,"")</f>
        <v>0</v>
      </c>
      <c r="T78" s="192">
        <f>IFERROR(Inv_SY!N79/Inv_SY!$Q79-1,"")</f>
        <v>-8.4051992387140784E-3</v>
      </c>
      <c r="U78" s="193">
        <f>IFERROR(Inv_SY!O79/Inv_SY!$Q79-1,"")</f>
        <v>-3.6910742884452841E-3</v>
      </c>
    </row>
    <row r="79" spans="1:21">
      <c r="A79" s="207">
        <f t="shared" ref="A79" si="148">YEAR(H79)+IF(MONTH(H79)&gt;=4,1,0)</f>
        <v>2026</v>
      </c>
      <c r="B79" s="208">
        <f t="shared" ref="B79" si="149">YEAR(H79)</f>
        <v>2025</v>
      </c>
      <c r="C79" s="189" t="str">
        <f>TEXT(Table5[[#This Row],[Date]],"yyyy")</f>
        <v>2025</v>
      </c>
      <c r="D79" s="189" t="s">
        <v>224</v>
      </c>
      <c r="E79" s="189" t="s">
        <v>224</v>
      </c>
      <c r="F79" s="190" t="str">
        <f>TEXT(Table5[[#This Row],[Date]],"mmm-yy")</f>
        <v>Jun-25</v>
      </c>
      <c r="G79" s="189">
        <f t="shared" si="124"/>
        <v>30</v>
      </c>
      <c r="H79" s="191">
        <f t="shared" si="125"/>
        <v>45822</v>
      </c>
      <c r="I79" s="189">
        <v>11.72</v>
      </c>
      <c r="J79" s="192">
        <f>IFERROR(Inv_SY!J80/Inv_SY!$P80-1,"")</f>
        <v>-7.5393561648594565E-3</v>
      </c>
      <c r="K79" s="192">
        <f>IFERROR(Inv_SY!K80/Inv_SY!$P80-1,"")</f>
        <v>1.2739655865026123E-2</v>
      </c>
      <c r="L79" s="192">
        <f>IFERROR(Inv_SY!L80/Inv_SY!$P80-1,"")</f>
        <v>-3.5525279927645537E-2</v>
      </c>
      <c r="M79" s="192">
        <f>IFERROR(Inv_SY!M80/Inv_SY!$P80-1,"")</f>
        <v>1.5491659988593476E-2</v>
      </c>
      <c r="N79" s="192">
        <f>IFERROR(Inv_SY!N80/Inv_SY!$P80-1,"")</f>
        <v>2.6291840547387757E-3</v>
      </c>
      <c r="O79" s="192">
        <f>IFERROR(Inv_SY!O80/Inv_SY!$P80-1,"")</f>
        <v>1.2204136184146952E-2</v>
      </c>
      <c r="P79" s="192">
        <f>IFERROR(Inv_SY!P80/Inv_SY!$P80-1,"")</f>
        <v>0</v>
      </c>
      <c r="Q79" s="192">
        <f>IFERROR(Inv_SY!Q80/Inv_SY!$P80-1,"")</f>
        <v>1.5491659988593476E-2</v>
      </c>
      <c r="R79" s="192">
        <f>IFERROR(Inv_SY!L80/Inv_SY!$Q80-1,"")</f>
        <v>-5.0238659682160458E-2</v>
      </c>
      <c r="S79" s="192">
        <f>IFERROR(Inv_SY!M80/Inv_SY!$Q80-1,"")</f>
        <v>0</v>
      </c>
      <c r="T79" s="192">
        <f>IFERROR(Inv_SY!N80/Inv_SY!$Q80-1,"")</f>
        <v>-1.2666254623892481E-2</v>
      </c>
      <c r="U79" s="193">
        <f>IFERROR(Inv_SY!O80/Inv_SY!$Q80-1,"")</f>
        <v>-3.2373715452114205E-3</v>
      </c>
    </row>
    <row r="80" spans="1:21">
      <c r="A80" s="201">
        <f t="shared" ref="A80" si="150">YEAR(H80)+IF(MONTH(H80)&gt;=4,1,0)</f>
        <v>2026</v>
      </c>
      <c r="B80" s="202">
        <f t="shared" ref="B80" si="151">YEAR(H80)</f>
        <v>2025</v>
      </c>
      <c r="C80" s="194" t="str">
        <f>TEXT(Table5[[#This Row],[Date]],"yyyy")</f>
        <v>2025</v>
      </c>
      <c r="D80" s="194" t="s">
        <v>224</v>
      </c>
      <c r="E80" s="194" t="s">
        <v>224</v>
      </c>
      <c r="F80" s="195" t="str">
        <f>TEXT(Table5[[#This Row],[Date]],"mmm-yy")</f>
        <v>Jun-25</v>
      </c>
      <c r="G80" s="194">
        <f t="shared" ref="G80" si="152">DAY(EOMONTH(F80,0))</f>
        <v>30</v>
      </c>
      <c r="H80" s="196">
        <f t="shared" si="125"/>
        <v>45823</v>
      </c>
      <c r="I80" s="194">
        <v>11.72</v>
      </c>
      <c r="J80" s="192">
        <f>IFERROR(Inv_SY!J81/Inv_SY!$P81-1,"")</f>
        <v>3.9500377959662547E-3</v>
      </c>
      <c r="K80" s="192">
        <f>IFERROR(Inv_SY!K81/Inv_SY!$P81-1,"")</f>
        <v>-8.5389374426041442E-3</v>
      </c>
      <c r="L80" s="192">
        <f>IFERROR(Inv_SY!L81/Inv_SY!$P81-1,"")</f>
        <v>-1.5081442976303761E-2</v>
      </c>
      <c r="M80" s="192">
        <f>IFERROR(Inv_SY!M81/Inv_SY!$P81-1,"")</f>
        <v>1.4163656953265713E-2</v>
      </c>
      <c r="N80" s="192">
        <f>IFERROR(Inv_SY!N81/Inv_SY!$P81-1,"")</f>
        <v>8.8692278670039482E-3</v>
      </c>
      <c r="O80" s="192">
        <f>IFERROR(Inv_SY!O81/Inv_SY!$P81-1,"")</f>
        <v>-3.3625421973274561E-3</v>
      </c>
      <c r="P80" s="192">
        <f>IFERROR(Inv_SY!P81/Inv_SY!$P81-1,"")</f>
        <v>0</v>
      </c>
      <c r="Q80" s="192">
        <f>IFERROR(Inv_SY!Q81/Inv_SY!$P81-1,"")</f>
        <v>1.4163656953265713E-2</v>
      </c>
      <c r="R80" s="192">
        <f>IFERROR(Inv_SY!L81/Inv_SY!$Q81-1,"")</f>
        <v>-2.8836667266728067E-2</v>
      </c>
      <c r="S80" s="192">
        <f>IFERROR(Inv_SY!M81/Inv_SY!$Q81-1,"")</f>
        <v>0</v>
      </c>
      <c r="T80" s="192">
        <f>IFERROR(Inv_SY!N81/Inv_SY!$Q81-1,"")</f>
        <v>-5.2204878867057047E-3</v>
      </c>
      <c r="U80" s="193">
        <f>IFERROR(Inv_SY!O81/Inv_SY!$Q81-1,"")</f>
        <v>-1.7281430891780358E-2</v>
      </c>
    </row>
    <row r="81" spans="1:21">
      <c r="A81" s="201">
        <f t="shared" ref="A81" si="153">YEAR(H81)+IF(MONTH(H81)&gt;=4,1,0)</f>
        <v>2026</v>
      </c>
      <c r="B81" s="202">
        <f t="shared" ref="B81" si="154">YEAR(H81)</f>
        <v>2025</v>
      </c>
      <c r="C81" s="194" t="str">
        <f>TEXT(Table5[[#This Row],[Date]],"yyyy")</f>
        <v>2025</v>
      </c>
      <c r="D81" s="194" t="s">
        <v>224</v>
      </c>
      <c r="E81" s="194" t="s">
        <v>224</v>
      </c>
      <c r="F81" s="195" t="str">
        <f>TEXT(Table5[[#This Row],[Date]],"mmm-yy")</f>
        <v>Jun-25</v>
      </c>
      <c r="G81" s="194">
        <f t="shared" ref="G81" si="155">DAY(EOMONTH(F81,0))</f>
        <v>30</v>
      </c>
      <c r="H81" s="196">
        <f t="shared" si="125"/>
        <v>45824</v>
      </c>
      <c r="I81" s="194">
        <v>11.72</v>
      </c>
      <c r="J81" s="197">
        <f>IFERROR(Inv_SY!J82/Inv_SY!$P82-1,"")</f>
        <v>-4.2819714039706858E-3</v>
      </c>
      <c r="K81" s="197">
        <f>IFERROR(Inv_SY!K82/Inv_SY!$P82-1,"")</f>
        <v>-6.9263721331315198E-3</v>
      </c>
      <c r="L81" s="197">
        <f>IFERROR(Inv_SY!L82/Inv_SY!$P82-1,"")</f>
        <v>-1.9594498086962897E-2</v>
      </c>
      <c r="M81" s="197">
        <f>IFERROR(Inv_SY!M82/Inv_SY!$P82-1,"")</f>
        <v>2.2088716422006049E-2</v>
      </c>
      <c r="N81" s="197">
        <f>IFERROR(Inv_SY!N82/Inv_SY!$P82-1,"")</f>
        <v>-4.1503000397991041E-4</v>
      </c>
      <c r="O81" s="197">
        <f>IFERROR(Inv_SY!O82/Inv_SY!$P82-1,"")</f>
        <v>9.1291552060392966E-3</v>
      </c>
      <c r="P81" s="197">
        <f>IFERROR(Inv_SY!P82/Inv_SY!$P82-1,"")</f>
        <v>0</v>
      </c>
      <c r="Q81" s="197">
        <f>IFERROR(Inv_SY!Q82/Inv_SY!$P82-1,"")</f>
        <v>2.2088716422006049E-2</v>
      </c>
      <c r="R81" s="197">
        <f>IFERROR(Inv_SY!L82/Inv_SY!$Q82-1,"")</f>
        <v>-4.0782383993913984E-2</v>
      </c>
      <c r="S81" s="197">
        <f>IFERROR(Inv_SY!M82/Inv_SY!$Q82-1,"")</f>
        <v>0</v>
      </c>
      <c r="T81" s="197">
        <f>IFERROR(Inv_SY!N82/Inv_SY!$Q82-1,"")</f>
        <v>-2.2017410097984524E-2</v>
      </c>
      <c r="U81" s="198">
        <f>IFERROR(Inv_SY!O82/Inv_SY!$Q82-1,"")</f>
        <v>-1.2679487609778106E-2</v>
      </c>
    </row>
    <row r="82" spans="1:21">
      <c r="A82" s="201">
        <f t="shared" ref="A82" si="156">YEAR(H82)+IF(MONTH(H82)&gt;=4,1,0)</f>
        <v>2026</v>
      </c>
      <c r="B82" s="202">
        <f t="shared" ref="B82" si="157">YEAR(H82)</f>
        <v>2025</v>
      </c>
      <c r="C82" s="194" t="str">
        <f>TEXT(Table5[[#This Row],[Date]],"yyyy")</f>
        <v>2025</v>
      </c>
      <c r="D82" s="194" t="s">
        <v>224</v>
      </c>
      <c r="E82" s="194" t="s">
        <v>224</v>
      </c>
      <c r="F82" s="195" t="str">
        <f>TEXT(Table5[[#This Row],[Date]],"mmm-yy")</f>
        <v>Jun-25</v>
      </c>
      <c r="G82" s="194">
        <f t="shared" ref="G82" si="158">DAY(EOMONTH(F82,0))</f>
        <v>30</v>
      </c>
      <c r="H82" s="196">
        <f t="shared" si="125"/>
        <v>45825</v>
      </c>
      <c r="I82" s="194">
        <v>11.72</v>
      </c>
      <c r="J82" s="197">
        <f>IFERROR(Inv_SY!J83/Inv_SY!$P83-1,"")</f>
        <v>-6.9422986902445416E-3</v>
      </c>
      <c r="K82" s="197">
        <f>IFERROR(Inv_SY!K83/Inv_SY!$P83-1,"")</f>
        <v>-2.0477924578820139E-2</v>
      </c>
      <c r="L82" s="197">
        <f>IFERROR(Inv_SY!L83/Inv_SY!$P83-1,"")</f>
        <v>-5.3941386533453595E-2</v>
      </c>
      <c r="M82" s="197">
        <f>IFERROR(Inv_SY!M83/Inv_SY!$P83-1,"")</f>
        <v>2.4272080267007334E-2</v>
      </c>
      <c r="N82" s="197">
        <f>IFERROR(Inv_SY!N83/Inv_SY!$P83-1,"")</f>
        <v>3.0531028929033477E-2</v>
      </c>
      <c r="O82" s="197">
        <f>IFERROR(Inv_SY!O83/Inv_SY!$P83-1,"")</f>
        <v>2.6558500606477464E-2</v>
      </c>
      <c r="P82" s="197">
        <f>IFERROR(Inv_SY!P83/Inv_SY!$P83-1,"")</f>
        <v>0</v>
      </c>
      <c r="Q82" s="197">
        <f>IFERROR(Inv_SY!Q83/Inv_SY!$P83-1,"")</f>
        <v>3.0531028929033477E-2</v>
      </c>
      <c r="R82" s="197">
        <f>IFERROR(Inv_SY!L83/Inv_SY!$Q83-1,"")</f>
        <v>-8.1969793330991636E-2</v>
      </c>
      <c r="S82" s="197">
        <f>IFERROR(Inv_SY!M83/Inv_SY!$Q83-1,"")</f>
        <v>-6.0735179109848714E-3</v>
      </c>
      <c r="T82" s="197">
        <f>IFERROR(Inv_SY!N83/Inv_SY!$Q83-1,"")</f>
        <v>0</v>
      </c>
      <c r="U82" s="198">
        <f>IFERROR(Inv_SY!O83/Inv_SY!$Q83-1,"")</f>
        <v>-3.8548362068091535E-3</v>
      </c>
    </row>
    <row r="83" spans="1:21">
      <c r="A83" s="201">
        <f t="shared" ref="A83" si="159">YEAR(H83)+IF(MONTH(H83)&gt;=4,1,0)</f>
        <v>2026</v>
      </c>
      <c r="B83" s="202">
        <f t="shared" ref="B83" si="160">YEAR(H83)</f>
        <v>2025</v>
      </c>
      <c r="C83" s="194" t="str">
        <f>TEXT(Table5[[#This Row],[Date]],"yyyy")</f>
        <v>2025</v>
      </c>
      <c r="D83" s="194" t="s">
        <v>224</v>
      </c>
      <c r="E83" s="194" t="s">
        <v>224</v>
      </c>
      <c r="F83" s="195" t="str">
        <f>TEXT(Table5[[#This Row],[Date]],"mmm-yy")</f>
        <v>Jun-25</v>
      </c>
      <c r="G83" s="194">
        <f t="shared" ref="G83" si="161">DAY(EOMONTH(F83,0))</f>
        <v>30</v>
      </c>
      <c r="H83" s="196">
        <f t="shared" si="125"/>
        <v>45826</v>
      </c>
      <c r="I83" s="194">
        <v>11.72</v>
      </c>
      <c r="J83" s="197">
        <f>IFERROR(Inv_SY!J84/Inv_SY!$P84-1,"")</f>
        <v>-4.518864669095124E-3</v>
      </c>
      <c r="K83" s="197">
        <f>IFERROR(Inv_SY!K84/Inv_SY!$P84-1,"")</f>
        <v>-9.3888193056644864E-3</v>
      </c>
      <c r="L83" s="197">
        <f>IFERROR(Inv_SY!L84/Inv_SY!$P84-1,"")</f>
        <v>-2.9837365927493975E-2</v>
      </c>
      <c r="M83" s="197">
        <f>IFERROR(Inv_SY!M84/Inv_SY!$P84-1,"")</f>
        <v>3.5198515032305977E-2</v>
      </c>
      <c r="N83" s="197">
        <f>IFERROR(Inv_SY!N84/Inv_SY!$P84-1,"")</f>
        <v>3.381607256520458E-2</v>
      </c>
      <c r="O83" s="197">
        <f>IFERROR(Inv_SY!O84/Inv_SY!$P84-1,"")</f>
        <v>-2.5269537695257305E-2</v>
      </c>
      <c r="P83" s="197">
        <f>IFERROR(Inv_SY!P84/Inv_SY!$P84-1,"")</f>
        <v>0</v>
      </c>
      <c r="Q83" s="197">
        <f>IFERROR(Inv_SY!Q84/Inv_SY!$P84-1,"")</f>
        <v>3.5198515032305977E-2</v>
      </c>
      <c r="R83" s="197">
        <f>IFERROR(Inv_SY!L84/Inv_SY!$Q84-1,"")</f>
        <v>-6.2824550089091269E-2</v>
      </c>
      <c r="S83" s="197">
        <f>IFERROR(Inv_SY!M84/Inv_SY!$Q84-1,"")</f>
        <v>0</v>
      </c>
      <c r="T83" s="197">
        <f>IFERROR(Inv_SY!N84/Inv_SY!$Q84-1,"")</f>
        <v>-1.3354370654775627E-3</v>
      </c>
      <c r="U83" s="198">
        <f>IFERROR(Inv_SY!O84/Inv_SY!$Q84-1,"")</f>
        <v>-5.8412035807138163E-2</v>
      </c>
    </row>
    <row r="84" spans="1:21">
      <c r="A84" s="201">
        <f t="shared" ref="A84" si="162">YEAR(H84)+IF(MONTH(H84)&gt;=4,1,0)</f>
        <v>2026</v>
      </c>
      <c r="B84" s="202">
        <f t="shared" ref="B84" si="163">YEAR(H84)</f>
        <v>2025</v>
      </c>
      <c r="C84" s="194" t="str">
        <f>TEXT(Table5[[#This Row],[Date]],"yyyy")</f>
        <v>2025</v>
      </c>
      <c r="D84" s="194" t="s">
        <v>224</v>
      </c>
      <c r="E84" s="194" t="s">
        <v>224</v>
      </c>
      <c r="F84" s="195" t="str">
        <f>TEXT(Table5[[#This Row],[Date]],"mmm-yy")</f>
        <v>Jun-25</v>
      </c>
      <c r="G84" s="194">
        <f t="shared" ref="G84" si="164">DAY(EOMONTH(F84,0))</f>
        <v>30</v>
      </c>
      <c r="H84" s="196">
        <f t="shared" si="125"/>
        <v>45827</v>
      </c>
      <c r="I84" s="194">
        <v>11.72</v>
      </c>
      <c r="J84" s="197">
        <f>IFERROR(Inv_SY!J85/Inv_SY!$P85-1,"")</f>
        <v>-2.1164451655884542E-2</v>
      </c>
      <c r="K84" s="197">
        <f>IFERROR(Inv_SY!K85/Inv_SY!$P85-1,"")</f>
        <v>-6.4361425536125894E-2</v>
      </c>
      <c r="L84" s="197">
        <f>IFERROR(Inv_SY!L85/Inv_SY!$P85-1,"")</f>
        <v>-6.374877975901605E-2</v>
      </c>
      <c r="M84" s="197">
        <f>IFERROR(Inv_SY!M85/Inv_SY!$P85-1,"")</f>
        <v>4.3997725524739906E-2</v>
      </c>
      <c r="N84" s="197">
        <f>IFERROR(Inv_SY!N85/Inv_SY!$P85-1,"")</f>
        <v>4.2825626872009082E-2</v>
      </c>
      <c r="O84" s="197">
        <f>IFERROR(Inv_SY!O85/Inv_SY!$P85-1,"")</f>
        <v>6.2451304554278053E-2</v>
      </c>
      <c r="P84" s="197">
        <f>IFERROR(Inv_SY!P85/Inv_SY!$P85-1,"")</f>
        <v>0</v>
      </c>
      <c r="Q84" s="197">
        <f>IFERROR(Inv_SY!Q85/Inv_SY!$P85-1,"")</f>
        <v>6.2451304554278053E-2</v>
      </c>
      <c r="R84" s="197">
        <f>IFERROR(Inv_SY!L85/Inv_SY!$Q85-1,"")</f>
        <v>-0.11878199384040278</v>
      </c>
      <c r="S84" s="197">
        <f>IFERROR(Inv_SY!M85/Inv_SY!$Q85-1,"")</f>
        <v>-1.7368870413576043E-2</v>
      </c>
      <c r="T84" s="197">
        <f>IFERROR(Inv_SY!N85/Inv_SY!$Q85-1,"")</f>
        <v>-1.8472072647604754E-2</v>
      </c>
      <c r="U84" s="198">
        <f>IFERROR(Inv_SY!O85/Inv_SY!$Q85-1,"")</f>
        <v>0</v>
      </c>
    </row>
    <row r="85" spans="1:21">
      <c r="A85" s="201">
        <f t="shared" ref="A85" si="165">YEAR(H85)+IF(MONTH(H85)&gt;=4,1,0)</f>
        <v>2026</v>
      </c>
      <c r="B85" s="202">
        <f t="shared" ref="B85" si="166">YEAR(H85)</f>
        <v>2025</v>
      </c>
      <c r="C85" s="194" t="str">
        <f>TEXT(Table5[[#This Row],[Date]],"yyyy")</f>
        <v>2025</v>
      </c>
      <c r="D85" s="194" t="s">
        <v>224</v>
      </c>
      <c r="E85" s="194" t="s">
        <v>224</v>
      </c>
      <c r="F85" s="195" t="str">
        <f>TEXT(Table5[[#This Row],[Date]],"mmm-yy")</f>
        <v>Jun-25</v>
      </c>
      <c r="G85" s="194">
        <f t="shared" ref="G85" si="167">DAY(EOMONTH(F85,0))</f>
        <v>30</v>
      </c>
      <c r="H85" s="196">
        <f t="shared" si="125"/>
        <v>45828</v>
      </c>
      <c r="I85" s="194">
        <v>11.72</v>
      </c>
      <c r="J85" s="197">
        <f>IFERROR(Inv_SY!J86/Inv_SY!$P86-1,"")</f>
        <v>-8.2056718470420065E-2</v>
      </c>
      <c r="K85" s="197">
        <f>IFERROR(Inv_SY!K86/Inv_SY!$P86-1,"")</f>
        <v>3.2895029398086306E-2</v>
      </c>
      <c r="L85" s="197">
        <f>IFERROR(Inv_SY!L86/Inv_SY!$P86-1,"")</f>
        <v>-1.482400866154221E-2</v>
      </c>
      <c r="M85" s="197">
        <f>IFERROR(Inv_SY!M86/Inv_SY!$P86-1,"")</f>
        <v>3.4178962901086463E-2</v>
      </c>
      <c r="N85" s="197">
        <f>IFERROR(Inv_SY!N86/Inv_SY!$P86-1,"")</f>
        <v>1.212462940958603E-2</v>
      </c>
      <c r="O85" s="197">
        <f>IFERROR(Inv_SY!O86/Inv_SY!$P86-1,"")</f>
        <v>1.7682105423204364E-2</v>
      </c>
      <c r="P85" s="197">
        <f>IFERROR(Inv_SY!P86/Inv_SY!$P86-1,"")</f>
        <v>0</v>
      </c>
      <c r="Q85" s="197">
        <f>IFERROR(Inv_SY!Q86/Inv_SY!$P86-1,"")</f>
        <v>3.4178962901086463E-2</v>
      </c>
      <c r="R85" s="197">
        <f>IFERROR(Inv_SY!L86/Inv_SY!$Q86-1,"")</f>
        <v>-4.738345423809931E-2</v>
      </c>
      <c r="S85" s="197">
        <f>IFERROR(Inv_SY!M86/Inv_SY!$Q86-1,"")</f>
        <v>0</v>
      </c>
      <c r="T85" s="197">
        <f>IFERROR(Inv_SY!N86/Inv_SY!$Q86-1,"")</f>
        <v>-2.1325451670021867E-2</v>
      </c>
      <c r="U85" s="198">
        <f>IFERROR(Inv_SY!O86/Inv_SY!$Q86-1,"")</f>
        <v>-1.5951646735885006E-2</v>
      </c>
    </row>
    <row r="86" spans="1:21">
      <c r="A86" s="201">
        <f t="shared" ref="A86" si="168">YEAR(H86)+IF(MONTH(H86)&gt;=4,1,0)</f>
        <v>2026</v>
      </c>
      <c r="B86" s="202">
        <f t="shared" ref="B86" si="169">YEAR(H86)</f>
        <v>2025</v>
      </c>
      <c r="C86" s="194" t="str">
        <f>TEXT(Table5[[#This Row],[Date]],"yyyy")</f>
        <v>2025</v>
      </c>
      <c r="D86" s="194" t="s">
        <v>224</v>
      </c>
      <c r="E86" s="194" t="s">
        <v>224</v>
      </c>
      <c r="F86" s="195" t="str">
        <f>TEXT(Table5[[#This Row],[Date]],"mmm-yy")</f>
        <v>Jun-25</v>
      </c>
      <c r="G86" s="194">
        <f t="shared" ref="G86" si="170">DAY(EOMONTH(F86,0))</f>
        <v>30</v>
      </c>
      <c r="H86" s="196">
        <f t="shared" si="125"/>
        <v>45829</v>
      </c>
      <c r="I86" s="194">
        <v>11.72</v>
      </c>
      <c r="J86" s="197">
        <f>IFERROR(Inv_SY!J87/Inv_SY!$P87-1,"")</f>
        <v>-1.8608981383975154E-2</v>
      </c>
      <c r="K86" s="197">
        <f>IFERROR(Inv_SY!K87/Inv_SY!$P87-1,"")</f>
        <v>1.7125496744099244E-2</v>
      </c>
      <c r="L86" s="197">
        <f>IFERROR(Inv_SY!L87/Inv_SY!$P87-1,"")</f>
        <v>-2.8208205364701477E-2</v>
      </c>
      <c r="M86" s="197">
        <f>IFERROR(Inv_SY!M87/Inv_SY!$P87-1,"")</f>
        <v>2.7318643220378247E-2</v>
      </c>
      <c r="N86" s="197">
        <f>IFERROR(Inv_SY!N87/Inv_SY!$P87-1,"")</f>
        <v>6.956608703150069E-3</v>
      </c>
      <c r="O86" s="197">
        <f>IFERROR(Inv_SY!O87/Inv_SY!$P87-1,"")</f>
        <v>-4.5835619189513732E-3</v>
      </c>
      <c r="P86" s="197">
        <f>IFERROR(Inv_SY!P87/Inv_SY!$P87-1,"")</f>
        <v>0</v>
      </c>
      <c r="Q86" s="197">
        <f>IFERROR(Inv_SY!Q87/Inv_SY!$P87-1,"")</f>
        <v>2.7318643220378247E-2</v>
      </c>
      <c r="R86" s="197">
        <f>IFERROR(Inv_SY!L87/Inv_SY!$Q87-1,"")</f>
        <v>-5.4050268581729788E-2</v>
      </c>
      <c r="S86" s="197">
        <f>IFERROR(Inv_SY!M87/Inv_SY!$Q87-1,"")</f>
        <v>0</v>
      </c>
      <c r="T86" s="197">
        <f>IFERROR(Inv_SY!N87/Inv_SY!$Q87-1,"")</f>
        <v>-1.9820563611498865E-2</v>
      </c>
      <c r="U86" s="198">
        <f>IFERROR(Inv_SY!O87/Inv_SY!$Q87-1,"")</f>
        <v>-3.1053855928598995E-2</v>
      </c>
    </row>
    <row r="87" spans="1:21">
      <c r="A87" s="201">
        <f t="shared" ref="A87" si="171">YEAR(H87)+IF(MONTH(H87)&gt;=4,1,0)</f>
        <v>2026</v>
      </c>
      <c r="B87" s="202">
        <f t="shared" ref="B87" si="172">YEAR(H87)</f>
        <v>2025</v>
      </c>
      <c r="C87" s="194" t="str">
        <f>TEXT(Table5[[#This Row],[Date]],"yyyy")</f>
        <v>2025</v>
      </c>
      <c r="D87" s="194" t="s">
        <v>224</v>
      </c>
      <c r="E87" s="194" t="s">
        <v>224</v>
      </c>
      <c r="F87" s="195" t="str">
        <f>TEXT(Table5[[#This Row],[Date]],"mmm-yy")</f>
        <v>Jun-25</v>
      </c>
      <c r="G87" s="194">
        <f t="shared" ref="G87" si="173">DAY(EOMONTH(F87,0))</f>
        <v>30</v>
      </c>
      <c r="H87" s="196">
        <f t="shared" si="125"/>
        <v>45830</v>
      </c>
      <c r="I87" s="194">
        <v>11.72</v>
      </c>
      <c r="J87" s="197">
        <f>IFERROR(Inv_SY!J88/Inv_SY!$P88-1,"")</f>
        <v>-3.5526205187528914E-2</v>
      </c>
      <c r="K87" s="197">
        <f>IFERROR(Inv_SY!K88/Inv_SY!$P88-1,"")</f>
        <v>2.4017075838397961E-2</v>
      </c>
      <c r="L87" s="197">
        <f>IFERROR(Inv_SY!L88/Inv_SY!$P88-1,"")</f>
        <v>-1.9380293918781266E-2</v>
      </c>
      <c r="M87" s="197">
        <f>IFERROR(Inv_SY!M88/Inv_SY!$P88-1,"")</f>
        <v>2.5596512403929461E-2</v>
      </c>
      <c r="N87" s="197">
        <f>IFERROR(Inv_SY!N88/Inv_SY!$P88-1,"")</f>
        <v>-5.1779080143173895E-3</v>
      </c>
      <c r="O87" s="197">
        <f>IFERROR(Inv_SY!O88/Inv_SY!$P88-1,"")</f>
        <v>1.0470818878300703E-2</v>
      </c>
      <c r="P87" s="197">
        <f>IFERROR(Inv_SY!P88/Inv_SY!$P88-1,"")</f>
        <v>0</v>
      </c>
      <c r="Q87" s="197">
        <f>IFERROR(Inv_SY!Q88/Inv_SY!$P88-1,"")</f>
        <v>2.5596512403929461E-2</v>
      </c>
      <c r="R87" s="197">
        <f>IFERROR(Inv_SY!L88/Inv_SY!$Q88-1,"")</f>
        <v>-4.385428945861769E-2</v>
      </c>
      <c r="S87" s="197">
        <f>IFERROR(Inv_SY!M88/Inv_SY!$Q88-1,"")</f>
        <v>0</v>
      </c>
      <c r="T87" s="197">
        <f>IFERROR(Inv_SY!N88/Inv_SY!$Q88-1,"")</f>
        <v>-3.0006362196097647E-2</v>
      </c>
      <c r="U87" s="198">
        <f>IFERROR(Inv_SY!O88/Inv_SY!$Q88-1,"")</f>
        <v>-1.4748191264979171E-2</v>
      </c>
    </row>
    <row r="88" spans="1:21">
      <c r="A88" s="201">
        <f t="shared" ref="A88" si="174">YEAR(H88)+IF(MONTH(H88)&gt;=4,1,0)</f>
        <v>2026</v>
      </c>
      <c r="B88" s="202">
        <f t="shared" ref="B88" si="175">YEAR(H88)</f>
        <v>2025</v>
      </c>
      <c r="C88" s="194" t="str">
        <f>TEXT(Table5[[#This Row],[Date]],"yyyy")</f>
        <v>2025</v>
      </c>
      <c r="D88" s="194" t="s">
        <v>224</v>
      </c>
      <c r="E88" s="194" t="s">
        <v>224</v>
      </c>
      <c r="F88" s="195" t="str">
        <f>TEXT(Table5[[#This Row],[Date]],"mmm-yy")</f>
        <v>Jun-25</v>
      </c>
      <c r="G88" s="194">
        <f t="shared" ref="G88" si="176">DAY(EOMONTH(F88,0))</f>
        <v>30</v>
      </c>
      <c r="H88" s="196">
        <f t="shared" si="125"/>
        <v>45831</v>
      </c>
      <c r="I88" s="194">
        <v>11.72</v>
      </c>
      <c r="J88" s="197">
        <f>IFERROR(Inv_SY!J89/Inv_SY!$P89-1,"")</f>
        <v>-8.7705264557602636E-3</v>
      </c>
      <c r="K88" s="197">
        <f>IFERROR(Inv_SY!K89/Inv_SY!$P89-1,"")</f>
        <v>-2.2213008772138387E-3</v>
      </c>
      <c r="L88" s="197">
        <f>IFERROR(Inv_SY!L89/Inv_SY!$P89-1,"")</f>
        <v>-1.5136981625573642E-2</v>
      </c>
      <c r="M88" s="197">
        <f>IFERROR(Inv_SY!M89/Inv_SY!$P89-1,"")</f>
        <v>2.075030413382084E-2</v>
      </c>
      <c r="N88" s="197">
        <f>IFERROR(Inv_SY!N89/Inv_SY!$P89-1,"")</f>
        <v>-5.9124804909611584E-3</v>
      </c>
      <c r="O88" s="197">
        <f>IFERROR(Inv_SY!O89/Inv_SY!$P89-1,"")</f>
        <v>1.129098531568884E-2</v>
      </c>
      <c r="P88" s="197">
        <f>IFERROR(Inv_SY!P89/Inv_SY!$P89-1,"")</f>
        <v>0</v>
      </c>
      <c r="Q88" s="197">
        <f>IFERROR(Inv_SY!Q89/Inv_SY!$P89-1,"")</f>
        <v>2.075030413382084E-2</v>
      </c>
      <c r="R88" s="197">
        <f>IFERROR(Inv_SY!L89/Inv_SY!$Q89-1,"")</f>
        <v>-3.5157751718572827E-2</v>
      </c>
      <c r="S88" s="197">
        <f>IFERROR(Inv_SY!M89/Inv_SY!$Q89-1,"")</f>
        <v>0</v>
      </c>
      <c r="T88" s="197">
        <f>IFERROR(Inv_SY!N89/Inv_SY!$Q89-1,"")</f>
        <v>-2.6120770688780048E-2</v>
      </c>
      <c r="U88" s="198">
        <f>IFERROR(Inv_SY!O89/Inv_SY!$Q89-1,"")</f>
        <v>-9.2670252262710973E-3</v>
      </c>
    </row>
    <row r="89" spans="1:21">
      <c r="A89" s="201">
        <f t="shared" ref="A89" si="177">YEAR(H89)+IF(MONTH(H89)&gt;=4,1,0)</f>
        <v>2026</v>
      </c>
      <c r="B89" s="202">
        <f t="shared" ref="B89" si="178">YEAR(H89)</f>
        <v>2025</v>
      </c>
      <c r="C89" s="194" t="str">
        <f>TEXT(Table5[[#This Row],[Date]],"yyyy")</f>
        <v>2025</v>
      </c>
      <c r="D89" s="194" t="s">
        <v>224</v>
      </c>
      <c r="E89" s="194" t="s">
        <v>224</v>
      </c>
      <c r="F89" s="195" t="str">
        <f>TEXT(Table5[[#This Row],[Date]],"mmm-yy")</f>
        <v>Jun-25</v>
      </c>
      <c r="G89" s="194">
        <f t="shared" ref="G89" si="179">DAY(EOMONTH(F89,0))</f>
        <v>30</v>
      </c>
      <c r="H89" s="196">
        <f t="shared" si="125"/>
        <v>45832</v>
      </c>
      <c r="I89" s="194">
        <v>11.72</v>
      </c>
      <c r="J89" s="197">
        <f>IFERROR(Inv_SY!J90/Inv_SY!$P90-1,"")</f>
        <v>-7.3652828572580153E-3</v>
      </c>
      <c r="K89" s="197">
        <f>IFERROR(Inv_SY!K90/Inv_SY!$P90-1,"")</f>
        <v>1.5587966582073509E-2</v>
      </c>
      <c r="L89" s="197">
        <f>IFERROR(Inv_SY!L90/Inv_SY!$P90-1,"")</f>
        <v>-1.3011710390510856E-2</v>
      </c>
      <c r="M89" s="197">
        <f>IFERROR(Inv_SY!M90/Inv_SY!$P90-1,"")</f>
        <v>1.3323040344379145E-2</v>
      </c>
      <c r="N89" s="197">
        <f>IFERROR(Inv_SY!N90/Inv_SY!$P90-1,"")</f>
        <v>-9.8674224155474999E-3</v>
      </c>
      <c r="O89" s="197">
        <f>IFERROR(Inv_SY!O90/Inv_SY!$P90-1,"")</f>
        <v>1.3334087368617187E-3</v>
      </c>
      <c r="P89" s="197">
        <f>IFERROR(Inv_SY!P90/Inv_SY!$P90-1,"")</f>
        <v>0</v>
      </c>
      <c r="Q89" s="197">
        <f>IFERROR(Inv_SY!Q90/Inv_SY!$P90-1,"")</f>
        <v>1.5587966582073509E-2</v>
      </c>
      <c r="R89" s="197">
        <f>IFERROR(Inv_SY!L90/Inv_SY!$Q90-1,"")</f>
        <v>-2.8160708785114341E-2</v>
      </c>
      <c r="S89" s="197">
        <f>IFERROR(Inv_SY!M90/Inv_SY!$Q90-1,"")</f>
        <v>-2.230162538570335E-3</v>
      </c>
      <c r="T89" s="197">
        <f>IFERROR(Inv_SY!N90/Inv_SY!$Q90-1,"")</f>
        <v>-2.5064681578780501E-2</v>
      </c>
      <c r="U89" s="198">
        <f>IFERROR(Inv_SY!O90/Inv_SY!$Q90-1,"")</f>
        <v>-1.4035768750967903E-2</v>
      </c>
    </row>
    <row r="90" spans="1:21">
      <c r="A90" s="201">
        <f t="shared" ref="A90" si="180">YEAR(H90)+IF(MONTH(H90)&gt;=4,1,0)</f>
        <v>2026</v>
      </c>
      <c r="B90" s="202">
        <f t="shared" ref="B90" si="181">YEAR(H90)</f>
        <v>2025</v>
      </c>
      <c r="C90" s="194" t="str">
        <f>TEXT(Table5[[#This Row],[Date]],"yyyy")</f>
        <v>2025</v>
      </c>
      <c r="D90" s="194" t="s">
        <v>224</v>
      </c>
      <c r="E90" s="194" t="s">
        <v>224</v>
      </c>
      <c r="F90" s="195" t="str">
        <f>TEXT(Table5[[#This Row],[Date]],"mmm-yy")</f>
        <v>Jun-25</v>
      </c>
      <c r="G90" s="194">
        <f t="shared" ref="G90" si="182">DAY(EOMONTH(F90,0))</f>
        <v>30</v>
      </c>
      <c r="H90" s="196">
        <f t="shared" si="125"/>
        <v>45833</v>
      </c>
      <c r="I90" s="194">
        <v>11.72</v>
      </c>
      <c r="J90" s="197">
        <f>IFERROR(Inv_SY!J91/Inv_SY!$P91-1,"")</f>
        <v>4.3717900690065647E-4</v>
      </c>
      <c r="K90" s="197">
        <f>IFERROR(Inv_SY!K91/Inv_SY!$P91-1,"")</f>
        <v>-5.0092038532114636E-3</v>
      </c>
      <c r="L90" s="197">
        <f>IFERROR(Inv_SY!L91/Inv_SY!$P91-1,"")</f>
        <v>-2.3297131699611007E-2</v>
      </c>
      <c r="M90" s="197">
        <f>IFERROR(Inv_SY!M91/Inv_SY!$P91-1,"")</f>
        <v>1.5921975232080721E-2</v>
      </c>
      <c r="N90" s="197">
        <f>IFERROR(Inv_SY!N91/Inv_SY!$P91-1,"")</f>
        <v>8.6922581559525369E-3</v>
      </c>
      <c r="O90" s="197">
        <f>IFERROR(Inv_SY!O91/Inv_SY!$P91-1,"")</f>
        <v>3.2549231578886673E-3</v>
      </c>
      <c r="P90" s="197">
        <f>IFERROR(Inv_SY!P91/Inv_SY!$P91-1,"")</f>
        <v>0</v>
      </c>
      <c r="Q90" s="197">
        <f>IFERROR(Inv_SY!Q91/Inv_SY!$P91-1,"")</f>
        <v>1.5921975232080721E-2</v>
      </c>
      <c r="R90" s="197">
        <f>IFERROR(Inv_SY!L91/Inv_SY!$Q91-1,"")</f>
        <v>-3.8604447868875291E-2</v>
      </c>
      <c r="S90" s="197">
        <f>IFERROR(Inv_SY!M91/Inv_SY!$Q91-1,"")</f>
        <v>0</v>
      </c>
      <c r="T90" s="197">
        <f>IFERROR(Inv_SY!N91/Inv_SY!$Q91-1,"")</f>
        <v>-7.1164097759345291E-3</v>
      </c>
      <c r="U90" s="198">
        <f>IFERROR(Inv_SY!O91/Inv_SY!$Q91-1,"")</f>
        <v>-1.2468528472669771E-2</v>
      </c>
    </row>
    <row r="91" spans="1:21">
      <c r="A91" s="201">
        <f t="shared" ref="A91" si="183">YEAR(H91)+IF(MONTH(H91)&gt;=4,1,0)</f>
        <v>2026</v>
      </c>
      <c r="B91" s="202">
        <f t="shared" ref="B91" si="184">YEAR(H91)</f>
        <v>2025</v>
      </c>
      <c r="C91" s="194" t="str">
        <f>TEXT(Table5[[#This Row],[Date]],"yyyy")</f>
        <v>2025</v>
      </c>
      <c r="D91" s="194" t="s">
        <v>224</v>
      </c>
      <c r="E91" s="194" t="s">
        <v>224</v>
      </c>
      <c r="F91" s="195" t="str">
        <f>TEXT(Table5[[#This Row],[Date]],"mmm-yy")</f>
        <v>Jun-25</v>
      </c>
      <c r="G91" s="194">
        <f t="shared" ref="G91" si="185">DAY(EOMONTH(F91,0))</f>
        <v>30</v>
      </c>
      <c r="H91" s="196">
        <f t="shared" si="125"/>
        <v>45834</v>
      </c>
      <c r="I91" s="194">
        <v>11.72</v>
      </c>
      <c r="J91" s="197">
        <f>IFERROR(Inv_SY!J92/Inv_SY!$P92-1,"")</f>
        <v>9.0444257673683026E-5</v>
      </c>
      <c r="K91" s="197">
        <f>IFERROR(Inv_SY!K92/Inv_SY!$P92-1,"")</f>
        <v>-1.0149599379807306E-3</v>
      </c>
      <c r="L91" s="197">
        <f>IFERROR(Inv_SY!L92/Inv_SY!$P92-1,"")</f>
        <v>-2.0555465099037051E-2</v>
      </c>
      <c r="M91" s="197">
        <f>IFERROR(Inv_SY!M92/Inv_SY!$P92-1,"")</f>
        <v>1.3482894885229468E-2</v>
      </c>
      <c r="N91" s="197">
        <f>IFERROR(Inv_SY!N92/Inv_SY!$P92-1,"")</f>
        <v>-4.0595370644885831E-3</v>
      </c>
      <c r="O91" s="197">
        <f>IFERROR(Inv_SY!O92/Inv_SY!$P92-1,"")</f>
        <v>1.2056622958603436E-2</v>
      </c>
      <c r="P91" s="197">
        <f>IFERROR(Inv_SY!P92/Inv_SY!$P92-1,"")</f>
        <v>0</v>
      </c>
      <c r="Q91" s="197">
        <f>IFERROR(Inv_SY!Q92/Inv_SY!$P92-1,"")</f>
        <v>1.3482894885229468E-2</v>
      </c>
      <c r="R91" s="197">
        <f>IFERROR(Inv_SY!L92/Inv_SY!$Q92-1,"")</f>
        <v>-3.3585529816091308E-2</v>
      </c>
      <c r="S91" s="197">
        <f>IFERROR(Inv_SY!M92/Inv_SY!$Q92-1,"")</f>
        <v>0</v>
      </c>
      <c r="T91" s="197">
        <f>IFERROR(Inv_SY!N92/Inv_SY!$Q92-1,"")</f>
        <v>-1.7309055770205695E-2</v>
      </c>
      <c r="U91" s="198">
        <f>IFERROR(Inv_SY!O92/Inv_SY!$Q92-1,"")</f>
        <v>-1.4072974825958262E-3</v>
      </c>
    </row>
    <row r="92" spans="1:21">
      <c r="A92" s="201">
        <f t="shared" ref="A92" si="186">YEAR(H92)+IF(MONTH(H92)&gt;=4,1,0)</f>
        <v>2026</v>
      </c>
      <c r="B92" s="202">
        <f t="shared" ref="B92" si="187">YEAR(H92)</f>
        <v>2025</v>
      </c>
      <c r="C92" s="194" t="str">
        <f>TEXT(Table5[[#This Row],[Date]],"yyyy")</f>
        <v>2025</v>
      </c>
      <c r="D92" s="194" t="s">
        <v>224</v>
      </c>
      <c r="E92" s="194" t="s">
        <v>224</v>
      </c>
      <c r="F92" s="195" t="str">
        <f>TEXT(Table5[[#This Row],[Date]],"mmm-yy")</f>
        <v>Jun-25</v>
      </c>
      <c r="G92" s="194">
        <f t="shared" ref="G92" si="188">DAY(EOMONTH(F92,0))</f>
        <v>30</v>
      </c>
      <c r="H92" s="196">
        <f t="shared" si="125"/>
        <v>45835</v>
      </c>
      <c r="I92" s="194">
        <v>11.72</v>
      </c>
      <c r="J92" s="197">
        <f>IFERROR(Inv_SY!J93/Inv_SY!$P93-1,"")</f>
        <v>-1.4500883007628751E-3</v>
      </c>
      <c r="K92" s="197">
        <f>IFERROR(Inv_SY!K93/Inv_SY!$P93-1,"")</f>
        <v>3.4327953742669948E-3</v>
      </c>
      <c r="L92" s="197">
        <f>IFERROR(Inv_SY!L93/Inv_SY!$P93-1,"")</f>
        <v>-4.6004011777502463E-2</v>
      </c>
      <c r="M92" s="197">
        <f>IFERROR(Inv_SY!M93/Inv_SY!$P93-1,"")</f>
        <v>2.4686396681081524E-2</v>
      </c>
      <c r="N92" s="197">
        <f>IFERROR(Inv_SY!N93/Inv_SY!$P93-1,"")</f>
        <v>9.6946603457672698E-3</v>
      </c>
      <c r="O92" s="197">
        <f>IFERROR(Inv_SY!O93/Inv_SY!$P93-1,"")</f>
        <v>9.6402476771504375E-3</v>
      </c>
      <c r="P92" s="197">
        <f>IFERROR(Inv_SY!P93/Inv_SY!$P93-1,"")</f>
        <v>0</v>
      </c>
      <c r="Q92" s="197">
        <f>IFERROR(Inv_SY!Q93/Inv_SY!$P93-1,"")</f>
        <v>2.4686396681081524E-2</v>
      </c>
      <c r="R92" s="197">
        <f>IFERROR(Inv_SY!L93/Inv_SY!$Q93-1,"")</f>
        <v>-6.8987359144756288E-2</v>
      </c>
      <c r="S92" s="197">
        <f>IFERROR(Inv_SY!M93/Inv_SY!$Q93-1,"")</f>
        <v>0</v>
      </c>
      <c r="T92" s="197">
        <f>IFERROR(Inv_SY!N93/Inv_SY!$Q93-1,"")</f>
        <v>-1.4630560514779845E-2</v>
      </c>
      <c r="U92" s="198">
        <f>IFERROR(Inv_SY!O93/Inv_SY!$Q93-1,"")</f>
        <v>-1.4683662291863131E-2</v>
      </c>
    </row>
    <row r="93" spans="1:21">
      <c r="A93" s="201">
        <f t="shared" ref="A93" si="189">YEAR(H93)+IF(MONTH(H93)&gt;=4,1,0)</f>
        <v>2026</v>
      </c>
      <c r="B93" s="202">
        <f t="shared" ref="B93" si="190">YEAR(H93)</f>
        <v>2025</v>
      </c>
      <c r="C93" s="194" t="str">
        <f>TEXT(Table5[[#This Row],[Date]],"yyyy")</f>
        <v>2025</v>
      </c>
      <c r="D93" s="194" t="s">
        <v>224</v>
      </c>
      <c r="E93" s="194" t="s">
        <v>224</v>
      </c>
      <c r="F93" s="195" t="str">
        <f>TEXT(Table5[[#This Row],[Date]],"mmm-yy")</f>
        <v>Jun-25</v>
      </c>
      <c r="G93" s="194">
        <f t="shared" ref="G93" si="191">DAY(EOMONTH(F93,0))</f>
        <v>30</v>
      </c>
      <c r="H93" s="196">
        <f t="shared" si="125"/>
        <v>45836</v>
      </c>
      <c r="I93" s="194">
        <v>11.72</v>
      </c>
      <c r="J93" s="197">
        <f>IFERROR(Inv_SY!J94/Inv_SY!$P94-1,"")</f>
        <v>-2.1984633023103273E-3</v>
      </c>
      <c r="K93" s="197">
        <f>IFERROR(Inv_SY!K94/Inv_SY!$P94-1,"")</f>
        <v>-1.19662168865039E-2</v>
      </c>
      <c r="L93" s="197">
        <f>IFERROR(Inv_SY!L94/Inv_SY!$P94-1,"")</f>
        <v>-3.3830207631448062E-2</v>
      </c>
      <c r="M93" s="197">
        <f>IFERROR(Inv_SY!M94/Inv_SY!$P94-1,"")</f>
        <v>1.975831716978127E-2</v>
      </c>
      <c r="N93" s="197">
        <f>IFERROR(Inv_SY!N94/Inv_SY!$P94-1,"")</f>
        <v>1.4907792455765456E-2</v>
      </c>
      <c r="O93" s="197">
        <f>IFERROR(Inv_SY!O94/Inv_SY!$P94-1,"")</f>
        <v>1.3328778194715563E-2</v>
      </c>
      <c r="P93" s="197">
        <f>IFERROR(Inv_SY!P94/Inv_SY!$P94-1,"")</f>
        <v>0</v>
      </c>
      <c r="Q93" s="197">
        <f>IFERROR(Inv_SY!Q94/Inv_SY!$P94-1,"")</f>
        <v>1.975831716978127E-2</v>
      </c>
      <c r="R93" s="197">
        <f>IFERROR(Inv_SY!L94/Inv_SY!$Q94-1,"")</f>
        <v>-5.2550220869939102E-2</v>
      </c>
      <c r="S93" s="197">
        <f>IFERROR(Inv_SY!M94/Inv_SY!$Q94-1,"")</f>
        <v>0</v>
      </c>
      <c r="T93" s="197">
        <f>IFERROR(Inv_SY!N94/Inv_SY!$Q94-1,"")</f>
        <v>-4.7565434204821511E-3</v>
      </c>
      <c r="U93" s="198">
        <f>IFERROR(Inv_SY!O94/Inv_SY!$Q94-1,"")</f>
        <v>-6.3049635063631149E-3</v>
      </c>
    </row>
    <row r="94" spans="1:21">
      <c r="A94" s="201">
        <f t="shared" ref="A94" si="192">YEAR(H94)+IF(MONTH(H94)&gt;=4,1,0)</f>
        <v>2026</v>
      </c>
      <c r="B94" s="202">
        <f t="shared" ref="B94" si="193">YEAR(H94)</f>
        <v>2025</v>
      </c>
      <c r="C94" s="194" t="str">
        <f>TEXT(Table5[[#This Row],[Date]],"yyyy")</f>
        <v>2025</v>
      </c>
      <c r="D94" s="194" t="s">
        <v>224</v>
      </c>
      <c r="E94" s="194" t="s">
        <v>224</v>
      </c>
      <c r="F94" s="195" t="str">
        <f>TEXT(Table5[[#This Row],[Date]],"mmm-yy")</f>
        <v>Jun-25</v>
      </c>
      <c r="G94" s="194">
        <f t="shared" ref="G94" si="194">DAY(EOMONTH(F94,0))</f>
        <v>30</v>
      </c>
      <c r="H94" s="196">
        <f t="shared" si="125"/>
        <v>45837</v>
      </c>
      <c r="I94" s="194">
        <v>11.72</v>
      </c>
      <c r="J94" s="197">
        <f>IFERROR(Inv_SY!J95/Inv_SY!$P95-1,"")</f>
        <v>-3.1125094084741844E-3</v>
      </c>
      <c r="K94" s="197">
        <f>IFERROR(Inv_SY!K95/Inv_SY!$P95-1,"")</f>
        <v>-5.776575058320188E-3</v>
      </c>
      <c r="L94" s="197">
        <f>IFERROR(Inv_SY!L95/Inv_SY!$P95-1,"")</f>
        <v>-1.762720625909886E-2</v>
      </c>
      <c r="M94" s="197">
        <f>IFERROR(Inv_SY!M95/Inv_SY!$P95-1,"")</f>
        <v>2.5022038286782067E-2</v>
      </c>
      <c r="N94" s="197">
        <f>IFERROR(Inv_SY!N95/Inv_SY!$P95-1,"")</f>
        <v>-1.0498195938403287E-2</v>
      </c>
      <c r="O94" s="197">
        <f>IFERROR(Inv_SY!O95/Inv_SY!$P95-1,"")</f>
        <v>1.1992448377514897E-2</v>
      </c>
      <c r="P94" s="197">
        <f>IFERROR(Inv_SY!P95/Inv_SY!$P95-1,"")</f>
        <v>0</v>
      </c>
      <c r="Q94" s="197">
        <f>IFERROR(Inv_SY!Q95/Inv_SY!$P95-1,"")</f>
        <v>2.5022038286782067E-2</v>
      </c>
      <c r="R94" s="197">
        <f>IFERROR(Inv_SY!L95/Inv_SY!$Q95-1,"")</f>
        <v>-4.1608124462538254E-2</v>
      </c>
      <c r="S94" s="197">
        <f>IFERROR(Inv_SY!M95/Inv_SY!$Q95-1,"")</f>
        <v>0</v>
      </c>
      <c r="T94" s="197">
        <f>IFERROR(Inv_SY!N95/Inv_SY!$Q95-1,"")</f>
        <v>-3.4653141979809399E-2</v>
      </c>
      <c r="U94" s="198">
        <f>IFERROR(Inv_SY!O95/Inv_SY!$Q95-1,"")</f>
        <v>-1.2711521725957131E-2</v>
      </c>
    </row>
    <row r="95" spans="1:21">
      <c r="A95" s="201">
        <f t="shared" ref="A95" si="195">YEAR(H95)+IF(MONTH(H95)&gt;=4,1,0)</f>
        <v>2026</v>
      </c>
      <c r="B95" s="202">
        <f t="shared" ref="B95" si="196">YEAR(H95)</f>
        <v>2025</v>
      </c>
      <c r="C95" s="194" t="str">
        <f>TEXT(Table5[[#This Row],[Date]],"yyyy")</f>
        <v>2025</v>
      </c>
      <c r="D95" s="194" t="s">
        <v>224</v>
      </c>
      <c r="E95" s="194" t="s">
        <v>224</v>
      </c>
      <c r="F95" s="195" t="str">
        <f>TEXT(Table5[[#This Row],[Date]],"mmm-yy")</f>
        <v>Jun-25</v>
      </c>
      <c r="G95" s="194">
        <f t="shared" ref="G95" si="197">DAY(EOMONTH(F95,0))</f>
        <v>30</v>
      </c>
      <c r="H95" s="196">
        <f t="shared" si="125"/>
        <v>45838</v>
      </c>
      <c r="I95" s="194">
        <v>11.72</v>
      </c>
      <c r="J95" s="197">
        <f>IFERROR(Inv_SY!J96/Inv_SY!$P96-1,"")</f>
        <v>-3.8629945685148104E-2</v>
      </c>
      <c r="K95" s="197">
        <f>IFERROR(Inv_SY!K96/Inv_SY!$P96-1,"")</f>
        <v>2.2261139265817853E-3</v>
      </c>
      <c r="L95" s="197">
        <f>IFERROR(Inv_SY!L96/Inv_SY!$P96-1,"")</f>
        <v>-4.1431577262535102E-3</v>
      </c>
      <c r="M95" s="197">
        <f>IFERROR(Inv_SY!M96/Inv_SY!$P96-1,"")</f>
        <v>1.9269105564172273E-2</v>
      </c>
      <c r="N95" s="197">
        <f>IFERROR(Inv_SY!N96/Inv_SY!$P96-1,"")</f>
        <v>-2.0388476451718152E-3</v>
      </c>
      <c r="O95" s="197">
        <f>IFERROR(Inv_SY!O96/Inv_SY!$P96-1,"")</f>
        <v>2.3316731565818261E-2</v>
      </c>
      <c r="P95" s="197">
        <f>IFERROR(Inv_SY!P96/Inv_SY!$P96-1,"")</f>
        <v>0</v>
      </c>
      <c r="Q95" s="197">
        <f>IFERROR(Inv_SY!Q96/Inv_SY!$P96-1,"")</f>
        <v>2.3316731565818261E-2</v>
      </c>
      <c r="R95" s="197">
        <f>IFERROR(Inv_SY!L96/Inv_SY!$Q96-1,"")</f>
        <v>-2.6834203375189936E-2</v>
      </c>
      <c r="S95" s="197">
        <f>IFERROR(Inv_SY!M96/Inv_SY!$Q96-1,"")</f>
        <v>-3.9553990243592629E-3</v>
      </c>
      <c r="T95" s="197">
        <f>IFERROR(Inv_SY!N96/Inv_SY!$Q96-1,"")</f>
        <v>-2.4777840944897433E-2</v>
      </c>
      <c r="U95" s="198">
        <f>IFERROR(Inv_SY!O96/Inv_SY!$Q96-1,"")</f>
        <v>0</v>
      </c>
    </row>
    <row r="96" spans="1:21">
      <c r="A96" s="201">
        <f t="shared" ref="A96" si="198">YEAR(H96)+IF(MONTH(H96)&gt;=4,1,0)</f>
        <v>2026</v>
      </c>
      <c r="B96" s="202">
        <f t="shared" ref="B96" si="199">YEAR(H96)</f>
        <v>2025</v>
      </c>
      <c r="C96" s="194" t="str">
        <f>TEXT(Table5[[#This Row],[Date]],"yyyy")</f>
        <v>2025</v>
      </c>
      <c r="D96" s="194" t="s">
        <v>224</v>
      </c>
      <c r="E96" s="194" t="s">
        <v>224</v>
      </c>
      <c r="F96" s="195" t="str">
        <f>TEXT(Table5[[#This Row],[Date]],"mmm-yy")</f>
        <v>Jul-25</v>
      </c>
      <c r="G96" s="194">
        <f t="shared" ref="G96" si="200">DAY(EOMONTH(F96,0))</f>
        <v>31</v>
      </c>
      <c r="H96" s="196">
        <f t="shared" si="125"/>
        <v>45839</v>
      </c>
      <c r="I96" s="194">
        <v>11.72</v>
      </c>
      <c r="J96" s="197">
        <f>IFERROR(Inv_SY!J97/Inv_SY!$P97-1,"")</f>
        <v>-5.9109953560176898E-5</v>
      </c>
      <c r="K96" s="197">
        <f>IFERROR(Inv_SY!K97/Inv_SY!$P97-1,"")</f>
        <v>1.3124660119838261E-2</v>
      </c>
      <c r="L96" s="197">
        <f>IFERROR(Inv_SY!L97/Inv_SY!$P97-1,"")</f>
        <v>6.0977655835046107E-3</v>
      </c>
      <c r="M96" s="197">
        <f>IFERROR(Inv_SY!M97/Inv_SY!$P97-1,"")</f>
        <v>5.066108082171894E-3</v>
      </c>
      <c r="N96" s="197">
        <f>IFERROR(Inv_SY!N97/Inv_SY!$P97-1,"")</f>
        <v>-1.756697155890441E-2</v>
      </c>
      <c r="O96" s="197">
        <f>IFERROR(Inv_SY!O97/Inv_SY!$P97-1,"")</f>
        <v>-6.66245227305029E-3</v>
      </c>
      <c r="P96" s="197">
        <f>IFERROR(Inv_SY!P97/Inv_SY!$P97-1,"")</f>
        <v>0</v>
      </c>
      <c r="Q96" s="197">
        <f>IFERROR(Inv_SY!Q97/Inv_SY!$P97-1,"")</f>
        <v>1.3124660119838261E-2</v>
      </c>
      <c r="R96" s="197">
        <f>IFERROR(Inv_SY!L97/Inv_SY!$Q97-1,"")</f>
        <v>-6.9358636828588116E-3</v>
      </c>
      <c r="S96" s="197">
        <f>IFERROR(Inv_SY!M97/Inv_SY!$Q97-1,"")</f>
        <v>-7.9541564378792229E-3</v>
      </c>
      <c r="T96" s="197">
        <f>IFERROR(Inv_SY!N97/Inv_SY!$Q97-1,"")</f>
        <v>-3.0294032794653702E-2</v>
      </c>
      <c r="U96" s="198">
        <f>IFERROR(Inv_SY!O97/Inv_SY!$Q97-1,"")</f>
        <v>-1.9530777575336167E-2</v>
      </c>
    </row>
    <row r="97" spans="1:21">
      <c r="A97" s="201">
        <f t="shared" ref="A97" si="201">YEAR(H97)+IF(MONTH(H97)&gt;=4,1,0)</f>
        <v>2026</v>
      </c>
      <c r="B97" s="202">
        <f t="shared" ref="B97" si="202">YEAR(H97)</f>
        <v>2025</v>
      </c>
      <c r="C97" s="194" t="str">
        <f>TEXT(Table5[[#This Row],[Date]],"yyyy")</f>
        <v>2025</v>
      </c>
      <c r="D97" s="194" t="s">
        <v>224</v>
      </c>
      <c r="E97" s="194" t="s">
        <v>224</v>
      </c>
      <c r="F97" s="195" t="str">
        <f>TEXT(Table5[[#This Row],[Date]],"mmm-yy")</f>
        <v>Jul-25</v>
      </c>
      <c r="G97" s="194">
        <f t="shared" ref="G97" si="203">DAY(EOMONTH(F97,0))</f>
        <v>31</v>
      </c>
      <c r="H97" s="196">
        <f t="shared" si="125"/>
        <v>45840</v>
      </c>
      <c r="I97" s="194">
        <v>11.72</v>
      </c>
      <c r="J97" s="197">
        <f>IFERROR(Inv_SY!J98/Inv_SY!$P98-1,"")</f>
        <v>-2.8992371907526904E-3</v>
      </c>
      <c r="K97" s="197">
        <f>IFERROR(Inv_SY!K98/Inv_SY!$P98-1,"")</f>
        <v>8.6924512308024227E-3</v>
      </c>
      <c r="L97" s="197">
        <f>IFERROR(Inv_SY!L98/Inv_SY!$P98-1,"")</f>
        <v>1.5055863150068571E-3</v>
      </c>
      <c r="M97" s="197">
        <f>IFERROR(Inv_SY!M98/Inv_SY!$P98-1,"")</f>
        <v>-8.4714885524728167E-4</v>
      </c>
      <c r="N97" s="197">
        <f>IFERROR(Inv_SY!N98/Inv_SY!$P98-1,"")</f>
        <v>-7.1205951500499243E-3</v>
      </c>
      <c r="O97" s="197">
        <f>IFERROR(Inv_SY!O98/Inv_SY!$P98-1,"")</f>
        <v>6.6894365024072755E-4</v>
      </c>
      <c r="P97" s="197">
        <f>IFERROR(Inv_SY!P98/Inv_SY!$P98-1,"")</f>
        <v>0</v>
      </c>
      <c r="Q97" s="197">
        <f>IFERROR(Inv_SY!Q98/Inv_SY!$P98-1,"")</f>
        <v>8.6924512308024227E-3</v>
      </c>
      <c r="R97" s="197">
        <f>IFERROR(Inv_SY!L98/Inv_SY!$Q98-1,"")</f>
        <v>-7.1249317936563639E-3</v>
      </c>
      <c r="S97" s="197">
        <f>IFERROR(Inv_SY!M98/Inv_SY!$Q98-1,"")</f>
        <v>-9.4573921658772653E-3</v>
      </c>
      <c r="T97" s="197">
        <f>IFERROR(Inv_SY!N98/Inv_SY!$Q98-1,"")</f>
        <v>-1.5676776763380418E-2</v>
      </c>
      <c r="U97" s="198">
        <f>IFERROR(Inv_SY!O98/Inv_SY!$Q98-1,"")</f>
        <v>-7.9543646537372226E-3</v>
      </c>
    </row>
    <row r="98" spans="1:21">
      <c r="A98" s="201">
        <f t="shared" ref="A98" si="204">YEAR(H98)+IF(MONTH(H98)&gt;=4,1,0)</f>
        <v>2026</v>
      </c>
      <c r="B98" s="202">
        <f t="shared" ref="B98" si="205">YEAR(H98)</f>
        <v>2025</v>
      </c>
      <c r="C98" s="194" t="str">
        <f>TEXT(Table5[[#This Row],[Date]],"yyyy")</f>
        <v>2025</v>
      </c>
      <c r="D98" s="194" t="s">
        <v>224</v>
      </c>
      <c r="E98" s="194" t="s">
        <v>224</v>
      </c>
      <c r="F98" s="195" t="str">
        <f>TEXT(Table5[[#This Row],[Date]],"mmm-yy")</f>
        <v>Jul-25</v>
      </c>
      <c r="G98" s="194">
        <f t="shared" ref="G98" si="206">DAY(EOMONTH(F98,0))</f>
        <v>31</v>
      </c>
      <c r="H98" s="196">
        <f t="shared" si="125"/>
        <v>45841</v>
      </c>
      <c r="I98" s="194">
        <v>11.72</v>
      </c>
      <c r="J98" s="197">
        <f>IFERROR(Inv_SY!J99/Inv_SY!$P99-1,"")</f>
        <v>4.442670398621118E-3</v>
      </c>
      <c r="K98" s="197">
        <f>IFERROR(Inv_SY!K99/Inv_SY!$P99-1,"")</f>
        <v>6.7435491981517881E-3</v>
      </c>
      <c r="L98" s="197">
        <f>IFERROR(Inv_SY!L99/Inv_SY!$P99-1,"")</f>
        <v>-8.0949493700954722E-4</v>
      </c>
      <c r="M98" s="197">
        <f>IFERROR(Inv_SY!M99/Inv_SY!$P99-1,"")</f>
        <v>-9.4632235342673177E-5</v>
      </c>
      <c r="N98" s="197">
        <f>IFERROR(Inv_SY!N99/Inv_SY!$P99-1,"")</f>
        <v>-1.5308173068286579E-2</v>
      </c>
      <c r="O98" s="197">
        <f>IFERROR(Inv_SY!O99/Inv_SY!$P99-1,"")</f>
        <v>5.0260806438671146E-3</v>
      </c>
      <c r="P98" s="197">
        <f>IFERROR(Inv_SY!P99/Inv_SY!$P99-1,"")</f>
        <v>0</v>
      </c>
      <c r="Q98" s="197">
        <f>IFERROR(Inv_SY!Q99/Inv_SY!$P99-1,"")</f>
        <v>6.7435491981517881E-3</v>
      </c>
      <c r="R98" s="197">
        <f>IFERROR(Inv_SY!L99/Inv_SY!$Q99-1,"")</f>
        <v>-7.502450987818321E-3</v>
      </c>
      <c r="S98" s="197">
        <f>IFERROR(Inv_SY!M99/Inv_SY!$Q99-1,"")</f>
        <v>-6.7923767069983931E-3</v>
      </c>
      <c r="T98" s="197">
        <f>IFERROR(Inv_SY!N99/Inv_SY!$Q99-1,"")</f>
        <v>-2.1904011487336672E-2</v>
      </c>
      <c r="U98" s="198">
        <f>IFERROR(Inv_SY!O99/Inv_SY!$Q99-1,"")</f>
        <v>-1.7059643000966185E-3</v>
      </c>
    </row>
    <row r="99" spans="1:21">
      <c r="A99" s="201">
        <f t="shared" ref="A99" si="207">YEAR(H99)+IF(MONTH(H99)&gt;=4,1,0)</f>
        <v>2026</v>
      </c>
      <c r="B99" s="202">
        <f t="shared" ref="B99" si="208">YEAR(H99)</f>
        <v>2025</v>
      </c>
      <c r="C99" s="194" t="str">
        <f>TEXT(Table5[[#This Row],[Date]],"yyyy")</f>
        <v>2025</v>
      </c>
      <c r="D99" s="194" t="s">
        <v>224</v>
      </c>
      <c r="E99" s="194" t="s">
        <v>224</v>
      </c>
      <c r="F99" s="195" t="str">
        <f>TEXT(Table5[[#This Row],[Date]],"mmm-yy")</f>
        <v>Jul-25</v>
      </c>
      <c r="G99" s="194">
        <f t="shared" ref="G99" si="209">DAY(EOMONTH(F99,0))</f>
        <v>31</v>
      </c>
      <c r="H99" s="196">
        <f t="shared" si="125"/>
        <v>45842</v>
      </c>
      <c r="I99" s="194">
        <v>11.72</v>
      </c>
      <c r="J99" s="197">
        <f>IFERROR(Inv_SY!J100/Inv_SY!$P100-1,"")</f>
        <v>-7.4651074265167372E-3</v>
      </c>
      <c r="K99" s="197">
        <f>IFERROR(Inv_SY!K100/Inv_SY!$P100-1,"")</f>
        <v>-9.5444259243014917E-3</v>
      </c>
      <c r="L99" s="197">
        <f>IFERROR(Inv_SY!L100/Inv_SY!$P100-1,"")</f>
        <v>-1.574880756879149E-2</v>
      </c>
      <c r="M99" s="197">
        <f>IFERROR(Inv_SY!M100/Inv_SY!$P100-1,"")</f>
        <v>7.1205008508694601E-3</v>
      </c>
      <c r="N99" s="197">
        <f>IFERROR(Inv_SY!N100/Inv_SY!$P100-1,"")</f>
        <v>3.907125209588358E-3</v>
      </c>
      <c r="O99" s="197">
        <f>IFERROR(Inv_SY!O100/Inv_SY!$P100-1,"")</f>
        <v>2.1730714859153011E-2</v>
      </c>
      <c r="P99" s="197">
        <f>IFERROR(Inv_SY!P100/Inv_SY!$P100-1,"")</f>
        <v>0</v>
      </c>
      <c r="Q99" s="197">
        <f>IFERROR(Inv_SY!Q100/Inv_SY!$P100-1,"")</f>
        <v>2.1730714859153011E-2</v>
      </c>
      <c r="R99" s="197">
        <f>IFERROR(Inv_SY!L100/Inv_SY!$Q100-1,"")</f>
        <v>-3.6682387915793702E-2</v>
      </c>
      <c r="S99" s="197">
        <f>IFERROR(Inv_SY!M100/Inv_SY!$Q100-1,"")</f>
        <v>-1.4299476169019276E-2</v>
      </c>
      <c r="T99" s="197">
        <f>IFERROR(Inv_SY!N100/Inv_SY!$Q100-1,"")</f>
        <v>-1.7444508019925475E-2</v>
      </c>
      <c r="U99" s="198">
        <f>IFERROR(Inv_SY!O100/Inv_SY!$Q100-1,"")</f>
        <v>0</v>
      </c>
    </row>
    <row r="100" spans="1:21">
      <c r="A100" s="201">
        <f t="shared" ref="A100" si="210">YEAR(H100)+IF(MONTH(H100)&gt;=4,1,0)</f>
        <v>2026</v>
      </c>
      <c r="B100" s="202">
        <f t="shared" ref="B100" si="211">YEAR(H100)</f>
        <v>2025</v>
      </c>
      <c r="C100" s="194" t="str">
        <f>TEXT(Table5[[#This Row],[Date]],"yyyy")</f>
        <v>2025</v>
      </c>
      <c r="D100" s="194" t="s">
        <v>224</v>
      </c>
      <c r="E100" s="194" t="s">
        <v>224</v>
      </c>
      <c r="F100" s="195" t="str">
        <f>TEXT(Table5[[#This Row],[Date]],"mmm-yy")</f>
        <v>Jul-25</v>
      </c>
      <c r="G100" s="194">
        <f t="shared" ref="G100" si="212">DAY(EOMONTH(F100,0))</f>
        <v>31</v>
      </c>
      <c r="H100" s="196">
        <f t="shared" si="125"/>
        <v>45843</v>
      </c>
      <c r="I100" s="194">
        <v>11.72</v>
      </c>
      <c r="J100" s="197">
        <f>IFERROR(Inv_SY!J101/Inv_SY!$P101-1,"")</f>
        <v>-2.7360281975014833E-2</v>
      </c>
      <c r="K100" s="197">
        <f>IFERROR(Inv_SY!K101/Inv_SY!$P101-1,"")</f>
        <v>1.7978164432357335E-3</v>
      </c>
      <c r="L100" s="197">
        <f>IFERROR(Inv_SY!L101/Inv_SY!$P101-1,"")</f>
        <v>-1.1803398703711943E-2</v>
      </c>
      <c r="M100" s="197">
        <f>IFERROR(Inv_SY!M101/Inv_SY!$P101-1,"")</f>
        <v>1.4450330890905194E-2</v>
      </c>
      <c r="N100" s="197">
        <f>IFERROR(Inv_SY!N101/Inv_SY!$P101-1,"")</f>
        <v>1.8760725482871443E-3</v>
      </c>
      <c r="O100" s="197">
        <f>IFERROR(Inv_SY!O101/Inv_SY!$P101-1,"")</f>
        <v>2.1039460796298703E-2</v>
      </c>
      <c r="P100" s="197">
        <f>IFERROR(Inv_SY!P101/Inv_SY!$P101-1,"")</f>
        <v>0</v>
      </c>
      <c r="Q100" s="197">
        <f>IFERROR(Inv_SY!Q101/Inv_SY!$P101-1,"")</f>
        <v>2.1039460796298703E-2</v>
      </c>
      <c r="R100" s="197">
        <f>IFERROR(Inv_SY!L101/Inv_SY!$Q101-1,"")</f>
        <v>-3.216610205681647E-2</v>
      </c>
      <c r="S100" s="197">
        <f>IFERROR(Inv_SY!M101/Inv_SY!$Q101-1,"")</f>
        <v>-6.453354800072586E-3</v>
      </c>
      <c r="T100" s="197">
        <f>IFERROR(Inv_SY!N101/Inv_SY!$Q101-1,"")</f>
        <v>-1.8768508939964179E-2</v>
      </c>
      <c r="U100" s="198">
        <f>IFERROR(Inv_SY!O101/Inv_SY!$Q101-1,"")</f>
        <v>0</v>
      </c>
    </row>
    <row r="101" spans="1:21">
      <c r="A101" s="201">
        <f t="shared" ref="A101:A102" si="213">YEAR(H101)+IF(MONTH(H101)&gt;=4,1,0)</f>
        <v>2026</v>
      </c>
      <c r="B101" s="202">
        <f t="shared" ref="B101:B102" si="214">YEAR(H101)</f>
        <v>2025</v>
      </c>
      <c r="C101" s="194" t="str">
        <f>TEXT(Table5[[#This Row],[Date]],"yyyy")</f>
        <v>2025</v>
      </c>
      <c r="D101" s="194" t="s">
        <v>224</v>
      </c>
      <c r="E101" s="194" t="s">
        <v>224</v>
      </c>
      <c r="F101" s="195" t="str">
        <f>TEXT(Table5[[#This Row],[Date]],"mmm-yy")</f>
        <v>Jul-25</v>
      </c>
      <c r="G101" s="194">
        <f t="shared" ref="G101" si="215">DAY(EOMONTH(F101,0))</f>
        <v>31</v>
      </c>
      <c r="H101" s="196">
        <f t="shared" si="125"/>
        <v>45844</v>
      </c>
      <c r="I101" s="194">
        <v>11.72</v>
      </c>
      <c r="J101" s="197">
        <f>IFERROR(Inv_SY!J102/Inv_SY!$P102-1,"")</f>
        <v>-3.129238811718893E-3</v>
      </c>
      <c r="K101" s="197">
        <f>IFERROR(Inv_SY!K102/Inv_SY!$P102-1,"")</f>
        <v>3.3976215498510154E-3</v>
      </c>
      <c r="L101" s="197">
        <f>IFERROR(Inv_SY!L102/Inv_SY!$P102-1,"")</f>
        <v>-1.8656480247185026E-2</v>
      </c>
      <c r="M101" s="197">
        <f>IFERROR(Inv_SY!M102/Inv_SY!$P102-1,"")</f>
        <v>1.1290250471194918E-2</v>
      </c>
      <c r="N101" s="197">
        <f>IFERROR(Inv_SY!N102/Inv_SY!$P102-1,"")</f>
        <v>1.3107576610196237E-3</v>
      </c>
      <c r="O101" s="197">
        <f>IFERROR(Inv_SY!O102/Inv_SY!$P102-1,"")</f>
        <v>5.7870893768379172E-3</v>
      </c>
      <c r="P101" s="197">
        <f>IFERROR(Inv_SY!P102/Inv_SY!$P102-1,"")</f>
        <v>0</v>
      </c>
      <c r="Q101" s="197">
        <f>IFERROR(Inv_SY!Q102/Inv_SY!$P102-1,"")</f>
        <v>1.1290250471194918E-2</v>
      </c>
      <c r="R101" s="197">
        <f>IFERROR(Inv_SY!L102/Inv_SY!$Q102-1,"")</f>
        <v>-2.9612399313082238E-2</v>
      </c>
      <c r="S101" s="197">
        <f>IFERROR(Inv_SY!M102/Inv_SY!$Q102-1,"")</f>
        <v>0</v>
      </c>
      <c r="T101" s="197">
        <f>IFERROR(Inv_SY!N102/Inv_SY!$Q102-1,"")</f>
        <v>-9.8680797184838021E-3</v>
      </c>
      <c r="U101" s="198">
        <f>IFERROR(Inv_SY!O102/Inv_SY!$Q102-1,"")</f>
        <v>-5.4417226822792708E-3</v>
      </c>
    </row>
    <row r="102" spans="1:21">
      <c r="A102" s="201">
        <f t="shared" si="213"/>
        <v>2026</v>
      </c>
      <c r="B102" s="202">
        <f t="shared" si="214"/>
        <v>2025</v>
      </c>
      <c r="C102" s="194" t="str">
        <f>TEXT(Table5[[#This Row],[Date]],"yyyy")</f>
        <v>2025</v>
      </c>
      <c r="D102" s="194" t="s">
        <v>224</v>
      </c>
      <c r="E102" s="194" t="s">
        <v>224</v>
      </c>
      <c r="F102" s="195" t="str">
        <f>TEXT(Table5[[#This Row],[Date]],"mmm-yy")</f>
        <v>Jul-25</v>
      </c>
      <c r="G102" s="194">
        <f t="shared" ref="G102:G107" si="216">DAY(EOMONTH(F102,0))</f>
        <v>31</v>
      </c>
      <c r="H102" s="196">
        <f t="shared" ref="H102:H111" si="217">H101+1</f>
        <v>45845</v>
      </c>
      <c r="I102" s="194">
        <v>11.72</v>
      </c>
      <c r="J102" s="197">
        <f>IFERROR(Inv_SY!J103/Inv_SY!$P103-1,"")</f>
        <v>4.3002265713749654E-3</v>
      </c>
      <c r="K102" s="197">
        <f>IFERROR(Inv_SY!K103/Inv_SY!$P103-1,"")</f>
        <v>8.6099370253374108E-3</v>
      </c>
      <c r="L102" s="197">
        <f>IFERROR(Inv_SY!L103/Inv_SY!$P103-1,"")</f>
        <v>6.0518480223465954E-3</v>
      </c>
      <c r="M102" s="197">
        <f>IFERROR(Inv_SY!M103/Inv_SY!$P103-1,"")</f>
        <v>-3.0980064564134491E-3</v>
      </c>
      <c r="N102" s="197">
        <f>IFERROR(Inv_SY!N103/Inv_SY!$P103-1,"")</f>
        <v>-1.974132041622767E-2</v>
      </c>
      <c r="O102" s="197">
        <f>IFERROR(Inv_SY!O103/Inv_SY!$P103-1,"")</f>
        <v>3.8773152535831468E-3</v>
      </c>
      <c r="P102" s="197">
        <f>IFERROR(Inv_SY!P103/Inv_SY!$P103-1,"")</f>
        <v>0</v>
      </c>
      <c r="Q102" s="197">
        <f>IFERROR(Inv_SY!Q103/Inv_SY!$P103-1,"")</f>
        <v>8.6099370253374108E-3</v>
      </c>
      <c r="R102" s="197">
        <f>IFERROR(Inv_SY!L103/Inv_SY!$Q103-1,"")</f>
        <v>-2.5362520327089078E-3</v>
      </c>
      <c r="S102" s="197">
        <f>IFERROR(Inv_SY!M103/Inv_SY!$Q103-1,"")</f>
        <v>-1.1607999338456687E-2</v>
      </c>
      <c r="T102" s="197">
        <f>IFERROR(Inv_SY!N103/Inv_SY!$Q103-1,"")</f>
        <v>-2.8109238666813696E-2</v>
      </c>
      <c r="U102" s="198">
        <f>IFERROR(Inv_SY!O103/Inv_SY!$Q103-1,"")</f>
        <v>-4.6922220355195554E-3</v>
      </c>
    </row>
    <row r="103" spans="1:21">
      <c r="A103" s="201">
        <f t="shared" ref="A103" si="218">YEAR(H103)+IF(MONTH(H103)&gt;=4,1,0)</f>
        <v>2026</v>
      </c>
      <c r="B103" s="202">
        <f t="shared" ref="B103" si="219">YEAR(H103)</f>
        <v>2025</v>
      </c>
      <c r="C103" s="194" t="str">
        <f>TEXT(Table5[[#This Row],[Date]],"yyyy")</f>
        <v>2025</v>
      </c>
      <c r="D103" s="194" t="s">
        <v>224</v>
      </c>
      <c r="E103" s="194" t="s">
        <v>224</v>
      </c>
      <c r="F103" s="195" t="str">
        <f>TEXT(Table5[[#This Row],[Date]],"mmm-yy")</f>
        <v>Jul-25</v>
      </c>
      <c r="G103" s="194">
        <f t="shared" si="216"/>
        <v>31</v>
      </c>
      <c r="H103" s="196">
        <f t="shared" si="217"/>
        <v>45846</v>
      </c>
      <c r="I103" s="194">
        <v>11.72</v>
      </c>
      <c r="J103" s="197">
        <f>IFERROR(Inv_SY!J104/Inv_SY!$P104-1,"")</f>
        <v>7.6995507674371133E-3</v>
      </c>
      <c r="K103" s="197">
        <f>IFERROR(Inv_SY!K104/Inv_SY!$P104-1,"")</f>
        <v>3.77030860180394E-3</v>
      </c>
      <c r="L103" s="197">
        <f>IFERROR(Inv_SY!L104/Inv_SY!$P104-1,"")</f>
        <v>-8.300304029404626E-3</v>
      </c>
      <c r="M103" s="197">
        <f>IFERROR(Inv_SY!M104/Inv_SY!$P104-1,"")</f>
        <v>5.538181380506213E-3</v>
      </c>
      <c r="N103" s="197">
        <f>IFERROR(Inv_SY!N104/Inv_SY!$P104-1,"")</f>
        <v>-1.8589033292319312E-2</v>
      </c>
      <c r="O103" s="197">
        <f>IFERROR(Inv_SY!O104/Inv_SY!$P104-1,"")</f>
        <v>9.8812965719772272E-3</v>
      </c>
      <c r="P103" s="197">
        <f>IFERROR(Inv_SY!P104/Inv_SY!$P104-1,"")</f>
        <v>0</v>
      </c>
      <c r="Q103" s="197">
        <f>IFERROR(Inv_SY!Q104/Inv_SY!$P104-1,"")</f>
        <v>9.8812965719772272E-3</v>
      </c>
      <c r="R103" s="197">
        <f>IFERROR(Inv_SY!L104/Inv_SY!$Q104-1,"")</f>
        <v>-1.8003700695417346E-2</v>
      </c>
      <c r="S103" s="197">
        <f>IFERROR(Inv_SY!M104/Inv_SY!$Q104-1,"")</f>
        <v>-4.3006194947996512E-3</v>
      </c>
      <c r="T103" s="197">
        <f>IFERROR(Inv_SY!N104/Inv_SY!$Q104-1,"")</f>
        <v>-2.8191758735346961E-2</v>
      </c>
      <c r="U103" s="198">
        <f>IFERROR(Inv_SY!O104/Inv_SY!$Q104-1,"")</f>
        <v>0</v>
      </c>
    </row>
    <row r="104" spans="1:21">
      <c r="A104" s="201">
        <f t="shared" ref="A104" si="220">YEAR(H104)+IF(MONTH(H104)&gt;=4,1,0)</f>
        <v>2026</v>
      </c>
      <c r="B104" s="202">
        <f t="shared" ref="B104" si="221">YEAR(H104)</f>
        <v>2025</v>
      </c>
      <c r="C104" s="194" t="str">
        <f>TEXT(Table5[[#This Row],[Date]],"yyyy")</f>
        <v>2025</v>
      </c>
      <c r="D104" s="194" t="s">
        <v>224</v>
      </c>
      <c r="E104" s="194" t="s">
        <v>224</v>
      </c>
      <c r="F104" s="195" t="str">
        <f>TEXT(Table5[[#This Row],[Date]],"mmm-yy")</f>
        <v>Jul-25</v>
      </c>
      <c r="G104" s="194">
        <f t="shared" si="216"/>
        <v>31</v>
      </c>
      <c r="H104" s="196">
        <f t="shared" si="217"/>
        <v>45847</v>
      </c>
      <c r="I104" s="194">
        <v>11.72</v>
      </c>
      <c r="J104" s="197">
        <f>IFERROR(Inv_SY!J105/Inv_SY!$P105-1,"")</f>
        <v>8.9345713952082573E-3</v>
      </c>
      <c r="K104" s="197">
        <f>IFERROR(Inv_SY!K105/Inv_SY!$P105-1,"")</f>
        <v>-7.0798795443853813E-3</v>
      </c>
      <c r="L104" s="197">
        <f>IFERROR(Inv_SY!L105/Inv_SY!$P105-1,"")</f>
        <v>-1.6047640018159948E-2</v>
      </c>
      <c r="M104" s="197">
        <f>IFERROR(Inv_SY!M105/Inv_SY!$P105-1,"")</f>
        <v>1.7718607055188684E-2</v>
      </c>
      <c r="N104" s="197">
        <f>IFERROR(Inv_SY!N105/Inv_SY!$P105-1,"")</f>
        <v>-1.5162438716943782E-2</v>
      </c>
      <c r="O104" s="197">
        <f>IFERROR(Inv_SY!O105/Inv_SY!$P105-1,"")</f>
        <v>1.1636779829092392E-2</v>
      </c>
      <c r="P104" s="197">
        <f>IFERROR(Inv_SY!P105/Inv_SY!$P105-1,"")</f>
        <v>0</v>
      </c>
      <c r="Q104" s="197">
        <f>IFERROR(Inv_SY!Q105/Inv_SY!$P105-1,"")</f>
        <v>1.7718607055188684E-2</v>
      </c>
      <c r="R104" s="197">
        <f>IFERROR(Inv_SY!L105/Inv_SY!$Q105-1,"")</f>
        <v>-3.3178372527798095E-2</v>
      </c>
      <c r="S104" s="197">
        <f>IFERROR(Inv_SY!M105/Inv_SY!$Q105-1,"")</f>
        <v>0</v>
      </c>
      <c r="T104" s="197">
        <f>IFERROR(Inv_SY!N105/Inv_SY!$Q105-1,"")</f>
        <v>-3.2308582690922072E-2</v>
      </c>
      <c r="U104" s="198">
        <f>IFERROR(Inv_SY!O105/Inv_SY!$Q105-1,"")</f>
        <v>-5.9759418604857784E-3</v>
      </c>
    </row>
    <row r="105" spans="1:21">
      <c r="A105" s="201">
        <f t="shared" ref="A105" si="222">YEAR(H105)+IF(MONTH(H105)&gt;=4,1,0)</f>
        <v>2026</v>
      </c>
      <c r="B105" s="202">
        <f t="shared" ref="B105" si="223">YEAR(H105)</f>
        <v>2025</v>
      </c>
      <c r="C105" s="194" t="str">
        <f>TEXT(Table5[[#This Row],[Date]],"yyyy")</f>
        <v>2025</v>
      </c>
      <c r="D105" s="194" t="s">
        <v>224</v>
      </c>
      <c r="E105" s="194" t="s">
        <v>224</v>
      </c>
      <c r="F105" s="195" t="str">
        <f>TEXT(Table5[[#This Row],[Date]],"mmm-yy")</f>
        <v>Jul-25</v>
      </c>
      <c r="G105" s="194">
        <f t="shared" si="216"/>
        <v>31</v>
      </c>
      <c r="H105" s="196">
        <f t="shared" si="217"/>
        <v>45848</v>
      </c>
      <c r="I105" s="194">
        <v>11.72</v>
      </c>
      <c r="J105" s="197">
        <f>IFERROR(Inv_SY!J106/Inv_SY!$P106-1,"")</f>
        <v>-2.3638084998764963E-3</v>
      </c>
      <c r="K105" s="197">
        <f>IFERROR(Inv_SY!K106/Inv_SY!$P106-1,"")</f>
        <v>-1.1773221185545357E-2</v>
      </c>
      <c r="L105" s="197">
        <f>IFERROR(Inv_SY!L106/Inv_SY!$P106-1,"")</f>
        <v>-2.7926900372362784E-2</v>
      </c>
      <c r="M105" s="197">
        <f>IFERROR(Inv_SY!M106/Inv_SY!$P106-1,"")</f>
        <v>2.0746235725737527E-2</v>
      </c>
      <c r="N105" s="197">
        <f>IFERROR(Inv_SY!N106/Inv_SY!$P106-1,"")</f>
        <v>7.0167377564129829E-3</v>
      </c>
      <c r="O105" s="197">
        <f>IFERROR(Inv_SY!O106/Inv_SY!$P106-1,"")</f>
        <v>1.4300956575634682E-2</v>
      </c>
      <c r="P105" s="197">
        <f>IFERROR(Inv_SY!P106/Inv_SY!$P106-1,"")</f>
        <v>0</v>
      </c>
      <c r="Q105" s="197">
        <f>IFERROR(Inv_SY!Q106/Inv_SY!$P106-1,"")</f>
        <v>2.0746235725737527E-2</v>
      </c>
      <c r="R105" s="197">
        <f>IFERROR(Inv_SY!L106/Inv_SY!$Q106-1,"")</f>
        <v>-4.768387518323236E-2</v>
      </c>
      <c r="S105" s="197">
        <f>IFERROR(Inv_SY!M106/Inv_SY!$Q106-1,"")</f>
        <v>0</v>
      </c>
      <c r="T105" s="197">
        <f>IFERROR(Inv_SY!N106/Inv_SY!$Q106-1,"")</f>
        <v>-1.3450451727174961E-2</v>
      </c>
      <c r="U105" s="198">
        <f>IFERROR(Inv_SY!O106/Inv_SY!$Q106-1,"")</f>
        <v>-6.3142815760866E-3</v>
      </c>
    </row>
    <row r="106" spans="1:21">
      <c r="A106" s="201">
        <f t="shared" ref="A106" si="224">YEAR(H106)+IF(MONTH(H106)&gt;=4,1,0)</f>
        <v>2026</v>
      </c>
      <c r="B106" s="202">
        <f t="shared" ref="B106" si="225">YEAR(H106)</f>
        <v>2025</v>
      </c>
      <c r="C106" s="194" t="str">
        <f>TEXT(Table5[[#This Row],[Date]],"yyyy")</f>
        <v>2025</v>
      </c>
      <c r="D106" s="194" t="s">
        <v>224</v>
      </c>
      <c r="E106" s="194" t="s">
        <v>224</v>
      </c>
      <c r="F106" s="195" t="str">
        <f>TEXT(Table5[[#This Row],[Date]],"mmm-yy")</f>
        <v>Jul-25</v>
      </c>
      <c r="G106" s="194">
        <f t="shared" si="216"/>
        <v>31</v>
      </c>
      <c r="H106" s="196">
        <f t="shared" si="217"/>
        <v>45849</v>
      </c>
      <c r="I106" s="194">
        <v>11.72</v>
      </c>
      <c r="J106" s="197">
        <f>IFERROR(Inv_SY!J107/Inv_SY!$P107-1,"")</f>
        <v>-8.0358658507396763E-3</v>
      </c>
      <c r="K106" s="197">
        <f>IFERROR(Inv_SY!K107/Inv_SY!$P107-1,"")</f>
        <v>-2.5116305072056311E-2</v>
      </c>
      <c r="L106" s="197">
        <f>IFERROR(Inv_SY!L107/Inv_SY!$P107-1,"")</f>
        <v>-4.3194722170117661E-2</v>
      </c>
      <c r="M106" s="197">
        <f>IFERROR(Inv_SY!M107/Inv_SY!$P107-1,"")</f>
        <v>1.7227880066786661E-2</v>
      </c>
      <c r="N106" s="197">
        <f>IFERROR(Inv_SY!N107/Inv_SY!$P107-1,"")</f>
        <v>2.881834942428152E-2</v>
      </c>
      <c r="O106" s="197">
        <f>IFERROR(Inv_SY!O107/Inv_SY!$P107-1,"")</f>
        <v>3.0300663601845246E-2</v>
      </c>
      <c r="P106" s="197">
        <f>IFERROR(Inv_SY!P107/Inv_SY!$P107-1,"")</f>
        <v>0</v>
      </c>
      <c r="Q106" s="197">
        <f>IFERROR(Inv_SY!Q107/Inv_SY!$P107-1,"")</f>
        <v>3.0300663601845246E-2</v>
      </c>
      <c r="R106" s="197">
        <f>IFERROR(Inv_SY!L107/Inv_SY!$Q107-1,"")</f>
        <v>-7.1333920639271464E-2</v>
      </c>
      <c r="S106" s="197">
        <f>IFERROR(Inv_SY!M107/Inv_SY!$Q107-1,"")</f>
        <v>-1.2688319047914676E-2</v>
      </c>
      <c r="T106" s="197">
        <f>IFERROR(Inv_SY!N107/Inv_SY!$Q107-1,"")</f>
        <v>-1.4387200066255934E-3</v>
      </c>
      <c r="U106" s="198">
        <f>IFERROR(Inv_SY!O107/Inv_SY!$Q107-1,"")</f>
        <v>0</v>
      </c>
    </row>
    <row r="107" spans="1:21">
      <c r="A107" s="201">
        <f t="shared" ref="A107" si="226">YEAR(H107)+IF(MONTH(H107)&gt;=4,1,0)</f>
        <v>2026</v>
      </c>
      <c r="B107" s="202">
        <f t="shared" ref="B107" si="227">YEAR(H107)</f>
        <v>2025</v>
      </c>
      <c r="C107" s="194" t="str">
        <f>TEXT(Table5[[#This Row],[Date]],"yyyy")</f>
        <v>2025</v>
      </c>
      <c r="D107" s="194" t="s">
        <v>224</v>
      </c>
      <c r="E107" s="194" t="s">
        <v>224</v>
      </c>
      <c r="F107" s="195" t="str">
        <f>TEXT(Table5[[#This Row],[Date]],"mmm-yy")</f>
        <v>Jul-25</v>
      </c>
      <c r="G107" s="194">
        <f t="shared" si="216"/>
        <v>31</v>
      </c>
      <c r="H107" s="196">
        <f t="shared" si="217"/>
        <v>45850</v>
      </c>
      <c r="I107" s="194">
        <v>11.72</v>
      </c>
      <c r="J107" s="197">
        <f>IFERROR(Inv_SY!J108/Inv_SY!$P108-1,"")</f>
        <v>-1.020717560258666E-2</v>
      </c>
      <c r="K107" s="197">
        <f>IFERROR(Inv_SY!K108/Inv_SY!$P108-1,"")</f>
        <v>-2.0919887404384108E-2</v>
      </c>
      <c r="L107" s="197">
        <f>IFERROR(Inv_SY!L108/Inv_SY!$P108-1,"")</f>
        <v>-4.397873299915378E-2</v>
      </c>
      <c r="M107" s="197">
        <f>IFERROR(Inv_SY!M108/Inv_SY!$P108-1,"")</f>
        <v>2.6613358197846493E-2</v>
      </c>
      <c r="N107" s="197">
        <f>IFERROR(Inv_SY!N108/Inv_SY!$P108-1,"")</f>
        <v>2.4061609791289573E-2</v>
      </c>
      <c r="O107" s="197">
        <f>IFERROR(Inv_SY!O108/Inv_SY!$P108-1,"")</f>
        <v>2.4430828016988038E-2</v>
      </c>
      <c r="P107" s="197">
        <f>IFERROR(Inv_SY!P108/Inv_SY!$P108-1,"")</f>
        <v>0</v>
      </c>
      <c r="Q107" s="197">
        <f>IFERROR(Inv_SY!Q108/Inv_SY!$P108-1,"")</f>
        <v>2.6613358197846493E-2</v>
      </c>
      <c r="R107" s="197">
        <f>IFERROR(Inv_SY!L108/Inv_SY!$Q108-1,"")</f>
        <v>-6.8762100778544388E-2</v>
      </c>
      <c r="S107" s="197">
        <f>IFERROR(Inv_SY!M108/Inv_SY!$Q108-1,"")</f>
        <v>0</v>
      </c>
      <c r="T107" s="197">
        <f>IFERROR(Inv_SY!N108/Inv_SY!$Q108-1,"")</f>
        <v>-2.4855982889570027E-3</v>
      </c>
      <c r="U107" s="198">
        <f>IFERROR(Inv_SY!O108/Inv_SY!$Q108-1,"")</f>
        <v>-2.1259514728014794E-3</v>
      </c>
    </row>
    <row r="108" spans="1:21">
      <c r="A108" s="201">
        <f t="shared" ref="A108" si="228">YEAR(H108)+IF(MONTH(H108)&gt;=4,1,0)</f>
        <v>2026</v>
      </c>
      <c r="B108" s="202">
        <f t="shared" ref="B108" si="229">YEAR(H108)</f>
        <v>2025</v>
      </c>
      <c r="C108" s="194" t="str">
        <f>TEXT(Table5[[#This Row],[Date]],"yyyy")</f>
        <v>2025</v>
      </c>
      <c r="D108" s="194" t="s">
        <v>224</v>
      </c>
      <c r="E108" s="194" t="s">
        <v>224</v>
      </c>
      <c r="F108" s="195" t="str">
        <f>TEXT(Table5[[#This Row],[Date]],"mmm-yy")</f>
        <v>Jul-25</v>
      </c>
      <c r="G108" s="194">
        <f t="shared" ref="G108" si="230">DAY(EOMONTH(F108,0))</f>
        <v>31</v>
      </c>
      <c r="H108" s="196">
        <f t="shared" si="217"/>
        <v>45851</v>
      </c>
      <c r="I108" s="194">
        <v>11.72</v>
      </c>
      <c r="J108" s="197">
        <f>IFERROR(Inv_SY!J109/Inv_SY!$P109-1,"")</f>
        <v>-3.0883794074920701E-3</v>
      </c>
      <c r="K108" s="197">
        <f>IFERROR(Inv_SY!K109/Inv_SY!$P109-1,"")</f>
        <v>-8.7233676898815782E-3</v>
      </c>
      <c r="L108" s="197">
        <f>IFERROR(Inv_SY!L109/Inv_SY!$P109-1,"")</f>
        <v>-3.2465440344791707E-2</v>
      </c>
      <c r="M108" s="197">
        <f>IFERROR(Inv_SY!M109/Inv_SY!$P109-1,"")</f>
        <v>2.074100875990692E-2</v>
      </c>
      <c r="N108" s="197">
        <f>IFERROR(Inv_SY!N109/Inv_SY!$P109-1,"")</f>
        <v>7.2141268800203218E-3</v>
      </c>
      <c r="O108" s="197">
        <f>IFERROR(Inv_SY!O109/Inv_SY!$P109-1,"")</f>
        <v>1.6322051802238891E-2</v>
      </c>
      <c r="P108" s="197">
        <f>IFERROR(Inv_SY!P109/Inv_SY!$P109-1,"")</f>
        <v>0</v>
      </c>
      <c r="Q108" s="197">
        <f>IFERROR(Inv_SY!Q109/Inv_SY!$P109-1,"")</f>
        <v>2.074100875990692E-2</v>
      </c>
      <c r="R108" s="197">
        <f>IFERROR(Inv_SY!L109/Inv_SY!$Q109-1,"")</f>
        <v>-5.2125317439081664E-2</v>
      </c>
      <c r="S108" s="197">
        <f>IFERROR(Inv_SY!M109/Inv_SY!$Q109-1,"")</f>
        <v>0</v>
      </c>
      <c r="T108" s="197">
        <f>IFERROR(Inv_SY!N109/Inv_SY!$Q109-1,"")</f>
        <v>-1.3252021584123863E-2</v>
      </c>
      <c r="U108" s="198">
        <f>IFERROR(Inv_SY!O109/Inv_SY!$Q109-1,"")</f>
        <v>-4.3291656940840362E-3</v>
      </c>
    </row>
    <row r="109" spans="1:21">
      <c r="A109" s="201">
        <f t="shared" ref="A109" si="231">YEAR(H109)+IF(MONTH(H109)&gt;=4,1,0)</f>
        <v>2026</v>
      </c>
      <c r="B109" s="202">
        <f t="shared" ref="B109" si="232">YEAR(H109)</f>
        <v>2025</v>
      </c>
      <c r="C109" s="194" t="str">
        <f>TEXT(Table5[[#This Row],[Date]],"yyyy")</f>
        <v>2025</v>
      </c>
      <c r="D109" s="194" t="s">
        <v>224</v>
      </c>
      <c r="E109" s="194" t="s">
        <v>224</v>
      </c>
      <c r="F109" s="195" t="str">
        <f>TEXT(Table5[[#This Row],[Date]],"mmm-yy")</f>
        <v>Jul-25</v>
      </c>
      <c r="G109" s="194">
        <f t="shared" ref="G109" si="233">DAY(EOMONTH(F109,0))</f>
        <v>31</v>
      </c>
      <c r="H109" s="196">
        <f t="shared" si="217"/>
        <v>45852</v>
      </c>
      <c r="I109" s="194">
        <v>11.72</v>
      </c>
      <c r="J109" s="197">
        <f>IFERROR(Inv_SY!J110/Inv_SY!$P110-1,"")</f>
        <v>-6.8848416348350483E-3</v>
      </c>
      <c r="K109" s="197">
        <f>IFERROR(Inv_SY!K110/Inv_SY!$P110-1,"")</f>
        <v>-1.7227180030505385E-2</v>
      </c>
      <c r="L109" s="197">
        <f>IFERROR(Inv_SY!L110/Inv_SY!$P110-1,"")</f>
        <v>-3.9271298555687228E-2</v>
      </c>
      <c r="M109" s="197">
        <f>IFERROR(Inv_SY!M110/Inv_SY!$P110-1,"")</f>
        <v>2.4716591437214941E-2</v>
      </c>
      <c r="N109" s="197">
        <f>IFERROR(Inv_SY!N110/Inv_SY!$P110-1,"")</f>
        <v>7.9712609585202987E-3</v>
      </c>
      <c r="O109" s="197">
        <f>IFERROR(Inv_SY!O110/Inv_SY!$P110-1,"")</f>
        <v>3.069546782529331E-2</v>
      </c>
      <c r="P109" s="197">
        <f>IFERROR(Inv_SY!P110/Inv_SY!$P110-1,"")</f>
        <v>0</v>
      </c>
      <c r="Q109" s="197">
        <f>IFERROR(Inv_SY!Q110/Inv_SY!$P110-1,"")</f>
        <v>3.069546782529331E-2</v>
      </c>
      <c r="R109" s="197">
        <f>IFERROR(Inv_SY!L110/Inv_SY!$Q110-1,"")</f>
        <v>-6.7883063974857993E-2</v>
      </c>
      <c r="S109" s="197">
        <f>IFERROR(Inv_SY!M110/Inv_SY!$Q110-1,"")</f>
        <v>-5.8008175787299665E-3</v>
      </c>
      <c r="T109" s="197">
        <f>IFERROR(Inv_SY!N110/Inv_SY!$Q110-1,"")</f>
        <v>-2.2047450072444574E-2</v>
      </c>
      <c r="U109" s="198">
        <f>IFERROR(Inv_SY!O110/Inv_SY!$Q110-1,"")</f>
        <v>0</v>
      </c>
    </row>
    <row r="110" spans="1:21">
      <c r="A110" s="201">
        <f t="shared" ref="A110" si="234">YEAR(H110)+IF(MONTH(H110)&gt;=4,1,0)</f>
        <v>2026</v>
      </c>
      <c r="B110" s="202">
        <f t="shared" ref="B110" si="235">YEAR(H110)</f>
        <v>2025</v>
      </c>
      <c r="C110" s="194" t="str">
        <f>TEXT(Table5[[#This Row],[Date]],"yyyy")</f>
        <v>2025</v>
      </c>
      <c r="D110" s="194" t="s">
        <v>224</v>
      </c>
      <c r="E110" s="194" t="s">
        <v>224</v>
      </c>
      <c r="F110" s="195" t="str">
        <f>TEXT(Table5[[#This Row],[Date]],"mmm-yy")</f>
        <v>Jul-25</v>
      </c>
      <c r="G110" s="194">
        <f t="shared" ref="G110" si="236">DAY(EOMONTH(F110,0))</f>
        <v>31</v>
      </c>
      <c r="H110" s="196">
        <f t="shared" si="217"/>
        <v>45853</v>
      </c>
      <c r="I110" s="194">
        <v>11.72</v>
      </c>
      <c r="J110" s="197">
        <f>IFERROR(Inv_SY!J111/Inv_SY!$P111-1,"")</f>
        <v>-1.2541024070366946E-2</v>
      </c>
      <c r="K110" s="197">
        <f>IFERROR(Inv_SY!K111/Inv_SY!$P111-1,"")</f>
        <v>2.7624833785797609E-3</v>
      </c>
      <c r="L110" s="197">
        <f>IFERROR(Inv_SY!L111/Inv_SY!$P111-1,"")</f>
        <v>-2.7007336965489737E-2</v>
      </c>
      <c r="M110" s="197">
        <f>IFERROR(Inv_SY!M111/Inv_SY!$P111-1,"")</f>
        <v>2.6978758407648629E-2</v>
      </c>
      <c r="N110" s="197">
        <f>IFERROR(Inv_SY!N111/Inv_SY!$P111-1,"")</f>
        <v>-8.5627662941903937E-3</v>
      </c>
      <c r="O110" s="197">
        <f>IFERROR(Inv_SY!O111/Inv_SY!$P111-1,"")</f>
        <v>1.8369885543818798E-2</v>
      </c>
      <c r="P110" s="197">
        <f>IFERROR(Inv_SY!P111/Inv_SY!$P111-1,"")</f>
        <v>0</v>
      </c>
      <c r="Q110" s="197">
        <f>IFERROR(Inv_SY!Q111/Inv_SY!$P111-1,"")</f>
        <v>2.6978758407648629E-2</v>
      </c>
      <c r="R110" s="197">
        <f>IFERROR(Inv_SY!L111/Inv_SY!$Q111-1,"")</f>
        <v>-5.2567879258617611E-2</v>
      </c>
      <c r="S110" s="197">
        <f>IFERROR(Inv_SY!M111/Inv_SY!$Q111-1,"")</f>
        <v>0</v>
      </c>
      <c r="T110" s="197">
        <f>IFERROR(Inv_SY!N111/Inv_SY!$Q111-1,"")</f>
        <v>-3.4607847933434188E-2</v>
      </c>
      <c r="U110" s="198">
        <f>IFERROR(Inv_SY!O111/Inv_SY!$Q111-1,"")</f>
        <v>-8.3827175521897779E-3</v>
      </c>
    </row>
    <row r="111" spans="1:21">
      <c r="A111" s="201">
        <f t="shared" ref="A111" si="237">YEAR(H111)+IF(MONTH(H111)&gt;=4,1,0)</f>
        <v>2026</v>
      </c>
      <c r="B111" s="202">
        <f t="shared" ref="B111" si="238">YEAR(H111)</f>
        <v>2025</v>
      </c>
      <c r="C111" s="194" t="str">
        <f>TEXT(Table5[[#This Row],[Date]],"yyyy")</f>
        <v>2025</v>
      </c>
      <c r="D111" s="194" t="s">
        <v>224</v>
      </c>
      <c r="E111" s="194" t="s">
        <v>224</v>
      </c>
      <c r="F111" s="195" t="str">
        <f>TEXT(Table5[[#This Row],[Date]],"mmm-yy")</f>
        <v>Jul-25</v>
      </c>
      <c r="G111" s="194">
        <f t="shared" ref="G111" si="239">DAY(EOMONTH(F111,0))</f>
        <v>31</v>
      </c>
      <c r="H111" s="196">
        <f t="shared" si="217"/>
        <v>45854</v>
      </c>
      <c r="I111" s="194">
        <v>11.72</v>
      </c>
      <c r="J111" s="197">
        <f>IFERROR(Inv_SY!J112/Inv_SY!$P112-1,"")</f>
        <v>-1.1224477682119538E-2</v>
      </c>
      <c r="K111" s="197">
        <f>IFERROR(Inv_SY!K112/Inv_SY!$P112-1,"")</f>
        <v>-5.3600172024741433E-3</v>
      </c>
      <c r="L111" s="197">
        <f>IFERROR(Inv_SY!L112/Inv_SY!$P112-1,"")</f>
        <v>-9.7346788782672888E-3</v>
      </c>
      <c r="M111" s="197">
        <f>IFERROR(Inv_SY!M112/Inv_SY!$P112-1,"")</f>
        <v>2.2943156354433558E-2</v>
      </c>
      <c r="N111" s="197">
        <f>IFERROR(Inv_SY!N112/Inv_SY!$P112-1,"")</f>
        <v>-5.6417488200016797E-3</v>
      </c>
      <c r="O111" s="197">
        <f>IFERROR(Inv_SY!O112/Inv_SY!$P112-1,"")</f>
        <v>9.0177662284294247E-3</v>
      </c>
      <c r="P111" s="197">
        <f>IFERROR(Inv_SY!P112/Inv_SY!$P112-1,"")</f>
        <v>0</v>
      </c>
      <c r="Q111" s="197">
        <f>IFERROR(Inv_SY!Q112/Inv_SY!$P112-1,"")</f>
        <v>2.2943156354433558E-2</v>
      </c>
      <c r="R111" s="197">
        <f>IFERROR(Inv_SY!L112/Inv_SY!$Q112-1,"")</f>
        <v>-3.194491798464949E-2</v>
      </c>
      <c r="S111" s="197">
        <f>IFERROR(Inv_SY!M112/Inv_SY!$Q112-1,"")</f>
        <v>0</v>
      </c>
      <c r="T111" s="197">
        <f>IFERROR(Inv_SY!N112/Inv_SY!$Q112-1,"")</f>
        <v>-2.7943786511369972E-2</v>
      </c>
      <c r="U111" s="198">
        <f>IFERROR(Inv_SY!O112/Inv_SY!$Q112-1,"")</f>
        <v>-1.3613063482072252E-2</v>
      </c>
    </row>
    <row r="112" spans="1:21">
      <c r="A112" s="201">
        <f t="shared" ref="A112" si="240">YEAR(H112)+IF(MONTH(H112)&gt;=4,1,0)</f>
        <v>2026</v>
      </c>
      <c r="B112" s="202">
        <f t="shared" ref="B112" si="241">YEAR(H112)</f>
        <v>2025</v>
      </c>
      <c r="C112" s="194" t="str">
        <f>TEXT(Table5[[#This Row],[Date]],"yyyy")</f>
        <v>2025</v>
      </c>
      <c r="D112" s="194" t="s">
        <v>224</v>
      </c>
      <c r="E112" s="194" t="s">
        <v>224</v>
      </c>
      <c r="F112" s="195" t="str">
        <f>TEXT(Table5[[#This Row],[Date]],"mmm-yy")</f>
        <v>Jul-25</v>
      </c>
      <c r="G112" s="194">
        <f t="shared" ref="G112:G117" si="242">DAY(EOMONTH(F112,0))</f>
        <v>31</v>
      </c>
      <c r="H112" s="196">
        <f t="shared" ref="H112:H129" si="243">H111+1</f>
        <v>45855</v>
      </c>
      <c r="I112" s="194">
        <v>11.72</v>
      </c>
      <c r="J112" s="197">
        <f>IFERROR(Inv_SY!J113/Inv_SY!$P113-1,"")</f>
        <v>-9.6024957971918568E-4</v>
      </c>
      <c r="K112" s="197">
        <f>IFERROR(Inv_SY!K113/Inv_SY!$P113-1,"")</f>
        <v>-1.6599408877262523E-2</v>
      </c>
      <c r="L112" s="197">
        <f>IFERROR(Inv_SY!L113/Inv_SY!$P113-1,"")</f>
        <v>-1.3464654140618815E-2</v>
      </c>
      <c r="M112" s="197">
        <f>IFERROR(Inv_SY!M113/Inv_SY!$P113-1,"")</f>
        <v>1.1342433820913156E-2</v>
      </c>
      <c r="N112" s="197">
        <f>IFERROR(Inv_SY!N113/Inv_SY!$P113-1,"")</f>
        <v>5.8751330744755137E-3</v>
      </c>
      <c r="O112" s="197">
        <f>IFERROR(Inv_SY!O113/Inv_SY!$P113-1,"")</f>
        <v>1.3806745702212186E-2</v>
      </c>
      <c r="P112" s="197">
        <f>IFERROR(Inv_SY!P113/Inv_SY!$P113-1,"")</f>
        <v>0</v>
      </c>
      <c r="Q112" s="197">
        <f>IFERROR(Inv_SY!Q113/Inv_SY!$P113-1,"")</f>
        <v>1.3806745702212186E-2</v>
      </c>
      <c r="R112" s="197">
        <f>IFERROR(Inv_SY!L113/Inv_SY!$Q113-1,"")</f>
        <v>-2.6899998405456982E-2</v>
      </c>
      <c r="S112" s="197">
        <f>IFERROR(Inv_SY!M113/Inv_SY!$Q113-1,"")</f>
        <v>-2.430751118737362E-3</v>
      </c>
      <c r="T112" s="197">
        <f>IFERROR(Inv_SY!N113/Inv_SY!$Q113-1,"")</f>
        <v>-7.8235942514299772E-3</v>
      </c>
      <c r="U112" s="198">
        <f>IFERROR(Inv_SY!O113/Inv_SY!$Q113-1,"")</f>
        <v>0</v>
      </c>
    </row>
    <row r="113" spans="1:21">
      <c r="A113" s="201">
        <f t="shared" ref="A113" si="244">YEAR(H113)+IF(MONTH(H113)&gt;=4,1,0)</f>
        <v>2026</v>
      </c>
      <c r="B113" s="202">
        <f t="shared" ref="B113" si="245">YEAR(H113)</f>
        <v>2025</v>
      </c>
      <c r="C113" s="194" t="str">
        <f>TEXT(Table5[[#This Row],[Date]],"yyyy")</f>
        <v>2025</v>
      </c>
      <c r="D113" s="194" t="s">
        <v>224</v>
      </c>
      <c r="E113" s="194" t="s">
        <v>224</v>
      </c>
      <c r="F113" s="195" t="str">
        <f>TEXT(Table5[[#This Row],[Date]],"mmm-yy")</f>
        <v>Jul-25</v>
      </c>
      <c r="G113" s="194">
        <f t="shared" si="242"/>
        <v>31</v>
      </c>
      <c r="H113" s="196">
        <f t="shared" si="243"/>
        <v>45856</v>
      </c>
      <c r="I113" s="194">
        <v>11.72</v>
      </c>
      <c r="J113" s="197">
        <f>IFERROR(Inv_SY!J114/Inv_SY!$P114-1,"")</f>
        <v>-5.810550595148567E-3</v>
      </c>
      <c r="K113" s="197">
        <f>IFERROR(Inv_SY!K114/Inv_SY!$P114-1,"")</f>
        <v>-8.7851710947758344E-3</v>
      </c>
      <c r="L113" s="197">
        <f>IFERROR(Inv_SY!L114/Inv_SY!$P114-1,"")</f>
        <v>-1.0741285828637537E-2</v>
      </c>
      <c r="M113" s="197">
        <f>IFERROR(Inv_SY!M114/Inv_SY!$P114-1,"")</f>
        <v>1.0461927356150813E-2</v>
      </c>
      <c r="N113" s="197">
        <f>IFERROR(Inv_SY!N114/Inv_SY!$P114-1,"")</f>
        <v>7.5586220208931909E-3</v>
      </c>
      <c r="O113" s="197">
        <f>IFERROR(Inv_SY!O114/Inv_SY!$P114-1,"")</f>
        <v>7.3164581415177121E-3</v>
      </c>
      <c r="P113" s="197">
        <f>IFERROR(Inv_SY!P114/Inv_SY!$P114-1,"")</f>
        <v>0</v>
      </c>
      <c r="Q113" s="197">
        <f>IFERROR(Inv_SY!Q114/Inv_SY!$P114-1,"")</f>
        <v>1.0461927356150813E-2</v>
      </c>
      <c r="R113" s="197">
        <f>IFERROR(Inv_SY!L114/Inv_SY!$Q114-1,"")</f>
        <v>-2.0983683413254406E-2</v>
      </c>
      <c r="S113" s="197">
        <f>IFERROR(Inv_SY!M114/Inv_SY!$Q114-1,"")</f>
        <v>0</v>
      </c>
      <c r="T113" s="197">
        <f>IFERROR(Inv_SY!N114/Inv_SY!$Q114-1,"")</f>
        <v>-2.8732456480117241E-3</v>
      </c>
      <c r="U113" s="198">
        <f>IFERROR(Inv_SY!O114/Inv_SY!$Q114-1,"")</f>
        <v>-3.1129022573499476E-3</v>
      </c>
    </row>
    <row r="114" spans="1:21">
      <c r="A114" s="201">
        <f t="shared" ref="A114" si="246">YEAR(H114)+IF(MONTH(H114)&gt;=4,1,0)</f>
        <v>2026</v>
      </c>
      <c r="B114" s="202">
        <f t="shared" ref="B114" si="247">YEAR(H114)</f>
        <v>2025</v>
      </c>
      <c r="C114" s="194" t="str">
        <f>TEXT(Table5[[#This Row],[Date]],"yyyy")</f>
        <v>2025</v>
      </c>
      <c r="D114" s="194" t="s">
        <v>224</v>
      </c>
      <c r="E114" s="194" t="s">
        <v>224</v>
      </c>
      <c r="F114" s="195" t="str">
        <f>TEXT(Table5[[#This Row],[Date]],"mmm-yy")</f>
        <v>Jul-25</v>
      </c>
      <c r="G114" s="194">
        <f t="shared" si="242"/>
        <v>31</v>
      </c>
      <c r="H114" s="196">
        <f t="shared" si="243"/>
        <v>45857</v>
      </c>
      <c r="I114" s="194">
        <v>11.72</v>
      </c>
      <c r="J114" s="197">
        <f>IFERROR(Inv_SY!J115/Inv_SY!$P115-1,"")</f>
        <v>-6.3577720932322945E-3</v>
      </c>
      <c r="K114" s="197">
        <f>IFERROR(Inv_SY!K115/Inv_SY!$P115-1,"")</f>
        <v>-4.9408526931309149E-2</v>
      </c>
      <c r="L114" s="197">
        <f>IFERROR(Inv_SY!L115/Inv_SY!$P115-1,"")</f>
        <v>-4.4342908497232103E-2</v>
      </c>
      <c r="M114" s="197">
        <f>IFERROR(Inv_SY!M115/Inv_SY!$P115-1,"")</f>
        <v>-3.1570569341589083E-3</v>
      </c>
      <c r="N114" s="197">
        <f>IFERROR(Inv_SY!N115/Inv_SY!$P115-1,"")</f>
        <v>4.7987360521089428E-2</v>
      </c>
      <c r="O114" s="197">
        <f>IFERROR(Inv_SY!O115/Inv_SY!$P115-1,"")</f>
        <v>5.5278903934842694E-2</v>
      </c>
      <c r="P114" s="197">
        <f>IFERROR(Inv_SY!P115/Inv_SY!$P115-1,"")</f>
        <v>0</v>
      </c>
      <c r="Q114" s="197">
        <f>IFERROR(Inv_SY!Q115/Inv_SY!$P115-1,"")</f>
        <v>5.5278903934842694E-2</v>
      </c>
      <c r="R114" s="197">
        <f>IFERROR(Inv_SY!L115/Inv_SY!$Q115-1,"")</f>
        <v>-9.4403301402702811E-2</v>
      </c>
      <c r="S114" s="197">
        <f>IFERROR(Inv_SY!M115/Inv_SY!$Q115-1,"")</f>
        <v>-5.537489724385658E-2</v>
      </c>
      <c r="T114" s="197">
        <f>IFERROR(Inv_SY!N115/Inv_SY!$Q115-1,"")</f>
        <v>-6.9095889120546206E-3</v>
      </c>
      <c r="U114" s="198">
        <f>IFERROR(Inv_SY!O115/Inv_SY!$Q115-1,"")</f>
        <v>0</v>
      </c>
    </row>
    <row r="115" spans="1:21">
      <c r="A115" s="201">
        <f t="shared" ref="A115" si="248">YEAR(H115)+IF(MONTH(H115)&gt;=4,1,0)</f>
        <v>2026</v>
      </c>
      <c r="B115" s="202">
        <f t="shared" ref="B115" si="249">YEAR(H115)</f>
        <v>2025</v>
      </c>
      <c r="C115" s="194" t="str">
        <f>TEXT(Table5[[#This Row],[Date]],"yyyy")</f>
        <v>2025</v>
      </c>
      <c r="D115" s="194" t="s">
        <v>224</v>
      </c>
      <c r="E115" s="194" t="s">
        <v>224</v>
      </c>
      <c r="F115" s="195" t="str">
        <f>TEXT(Table5[[#This Row],[Date]],"mmm-yy")</f>
        <v>Jul-25</v>
      </c>
      <c r="G115" s="194">
        <f t="shared" si="242"/>
        <v>31</v>
      </c>
      <c r="H115" s="196">
        <f t="shared" si="243"/>
        <v>45858</v>
      </c>
      <c r="I115" s="194">
        <v>11.72</v>
      </c>
      <c r="J115" s="197">
        <f>IFERROR(Inv_SY!J116/Inv_SY!$P116-1,"")</f>
        <v>-1.3739775956315148E-2</v>
      </c>
      <c r="K115" s="197">
        <f>IFERROR(Inv_SY!K116/Inv_SY!$P116-1,"")</f>
        <v>-3.1202101092341339E-3</v>
      </c>
      <c r="L115" s="197">
        <f>IFERROR(Inv_SY!L116/Inv_SY!$P116-1,"")</f>
        <v>-2.6650911660544119E-2</v>
      </c>
      <c r="M115" s="197">
        <f>IFERROR(Inv_SY!M116/Inv_SY!$P116-1,"")</f>
        <v>2.3716877466131159E-2</v>
      </c>
      <c r="N115" s="197">
        <f>IFERROR(Inv_SY!N116/Inv_SY!$P116-1,"")</f>
        <v>8.0181192467618789E-3</v>
      </c>
      <c r="O115" s="197">
        <f>IFERROR(Inv_SY!O116/Inv_SY!$P116-1,"")</f>
        <v>1.1775901013200363E-2</v>
      </c>
      <c r="P115" s="197">
        <f>IFERROR(Inv_SY!P116/Inv_SY!$P116-1,"")</f>
        <v>0</v>
      </c>
      <c r="Q115" s="197">
        <f>IFERROR(Inv_SY!Q116/Inv_SY!$P116-1,"")</f>
        <v>2.3716877466131159E-2</v>
      </c>
      <c r="R115" s="197">
        <f>IFERROR(Inv_SY!L116/Inv_SY!$Q116-1,"")</f>
        <v>-4.9200897470151883E-2</v>
      </c>
      <c r="S115" s="197">
        <f>IFERROR(Inv_SY!M116/Inv_SY!$Q116-1,"")</f>
        <v>0</v>
      </c>
      <c r="T115" s="197">
        <f>IFERROR(Inv_SY!N116/Inv_SY!$Q116-1,"")</f>
        <v>-1.5335058515618227E-2</v>
      </c>
      <c r="U115" s="198">
        <f>IFERROR(Inv_SY!O116/Inv_SY!$Q116-1,"")</f>
        <v>-1.1664334852509728E-2</v>
      </c>
    </row>
    <row r="116" spans="1:21">
      <c r="A116" s="201">
        <f t="shared" ref="A116" si="250">YEAR(H116)+IF(MONTH(H116)&gt;=4,1,0)</f>
        <v>2026</v>
      </c>
      <c r="B116" s="202">
        <f t="shared" ref="B116" si="251">YEAR(H116)</f>
        <v>2025</v>
      </c>
      <c r="C116" s="194" t="str">
        <f>TEXT(Table5[[#This Row],[Date]],"yyyy")</f>
        <v>2025</v>
      </c>
      <c r="D116" s="194" t="s">
        <v>224</v>
      </c>
      <c r="E116" s="194" t="s">
        <v>224</v>
      </c>
      <c r="F116" s="195" t="str">
        <f>TEXT(Table5[[#This Row],[Date]],"mmm-yy")</f>
        <v>Jul-25</v>
      </c>
      <c r="G116" s="194">
        <f t="shared" si="242"/>
        <v>31</v>
      </c>
      <c r="H116" s="196">
        <f t="shared" si="243"/>
        <v>45859</v>
      </c>
      <c r="I116" s="194">
        <v>11.72</v>
      </c>
      <c r="J116" s="197">
        <f>IFERROR(Inv_SY!J117/Inv_SY!$P117-1,"")</f>
        <v>-1.3679536398625292E-4</v>
      </c>
      <c r="K116" s="197">
        <f>IFERROR(Inv_SY!K117/Inv_SY!$P117-1,"")</f>
        <v>-5.1207959258126046E-3</v>
      </c>
      <c r="L116" s="197">
        <f>IFERROR(Inv_SY!L117/Inv_SY!$P117-1,"")</f>
        <v>-2.2697934693952204E-2</v>
      </c>
      <c r="M116" s="197">
        <f>IFERROR(Inv_SY!M117/Inv_SY!$P117-1,"")</f>
        <v>2.1197328621135547E-2</v>
      </c>
      <c r="N116" s="197">
        <f>IFERROR(Inv_SY!N117/Inv_SY!$P117-1,"")</f>
        <v>-2.0126414430242656E-3</v>
      </c>
      <c r="O116" s="197">
        <f>IFERROR(Inv_SY!O117/Inv_SY!$P117-1,"")</f>
        <v>8.7708388056397801E-3</v>
      </c>
      <c r="P116" s="197">
        <f>IFERROR(Inv_SY!P117/Inv_SY!$P117-1,"")</f>
        <v>0</v>
      </c>
      <c r="Q116" s="197">
        <f>IFERROR(Inv_SY!Q117/Inv_SY!$P117-1,"")</f>
        <v>2.1197328621135547E-2</v>
      </c>
      <c r="R116" s="197">
        <f>IFERROR(Inv_SY!L117/Inv_SY!$Q117-1,"")</f>
        <v>-4.2984114905938009E-2</v>
      </c>
      <c r="S116" s="197">
        <f>IFERROR(Inv_SY!M117/Inv_SY!$Q117-1,"")</f>
        <v>0</v>
      </c>
      <c r="T116" s="197">
        <f>IFERROR(Inv_SY!N117/Inv_SY!$Q117-1,"")</f>
        <v>-2.2728193086343995E-2</v>
      </c>
      <c r="U116" s="198">
        <f>IFERROR(Inv_SY!O117/Inv_SY!$Q117-1,"")</f>
        <v>-1.2168549081767122E-2</v>
      </c>
    </row>
    <row r="117" spans="1:21">
      <c r="A117" s="201">
        <f t="shared" ref="A117" si="252">YEAR(H117)+IF(MONTH(H117)&gt;=4,1,0)</f>
        <v>2026</v>
      </c>
      <c r="B117" s="202">
        <f t="shared" ref="B117" si="253">YEAR(H117)</f>
        <v>2025</v>
      </c>
      <c r="C117" s="194" t="str">
        <f>TEXT(Table5[[#This Row],[Date]],"yyyy")</f>
        <v>2025</v>
      </c>
      <c r="D117" s="194" t="s">
        <v>224</v>
      </c>
      <c r="E117" s="194" t="s">
        <v>224</v>
      </c>
      <c r="F117" s="195" t="str">
        <f>TEXT(Table5[[#This Row],[Date]],"mmm-yy")</f>
        <v>Jul-25</v>
      </c>
      <c r="G117" s="194">
        <f t="shared" si="242"/>
        <v>31</v>
      </c>
      <c r="H117" s="196">
        <f t="shared" si="243"/>
        <v>45860</v>
      </c>
      <c r="I117" s="194">
        <v>11.72</v>
      </c>
      <c r="J117" s="197">
        <f>IFERROR(Inv_SY!J118/Inv_SY!$P118-1,"")</f>
        <v>-7.7117292013459626E-2</v>
      </c>
      <c r="K117" s="197">
        <f>IFERROR(Inv_SY!K118/Inv_SY!$P118-1,"")</f>
        <v>1.0011629344901962E-2</v>
      </c>
      <c r="L117" s="197">
        <f>IFERROR(Inv_SY!L118/Inv_SY!$P118-1,"")</f>
        <v>-2.2618440200740442E-2</v>
      </c>
      <c r="M117" s="197">
        <f>IFERROR(Inv_SY!M118/Inv_SY!$P118-1,"")</f>
        <v>4.1562725980159865E-2</v>
      </c>
      <c r="N117" s="197">
        <f>IFERROR(Inv_SY!N118/Inv_SY!$P118-1,"")</f>
        <v>9.7046492641297277E-3</v>
      </c>
      <c r="O117" s="197">
        <f>IFERROR(Inv_SY!O118/Inv_SY!$P118-1,"")</f>
        <v>3.8456727625008957E-2</v>
      </c>
      <c r="P117" s="197">
        <f>IFERROR(Inv_SY!P118/Inv_SY!$P118-1,"")</f>
        <v>0</v>
      </c>
      <c r="Q117" s="197">
        <f>IFERROR(Inv_SY!Q118/Inv_SY!$P118-1,"")</f>
        <v>4.1562725980159865E-2</v>
      </c>
      <c r="R117" s="197">
        <f>IFERROR(Inv_SY!L118/Inv_SY!$Q118-1,"")</f>
        <v>-6.1620068172565157E-2</v>
      </c>
      <c r="S117" s="197">
        <f>IFERROR(Inv_SY!M118/Inv_SY!$Q118-1,"")</f>
        <v>0</v>
      </c>
      <c r="T117" s="197">
        <f>IFERROR(Inv_SY!N118/Inv_SY!$Q118-1,"")</f>
        <v>-3.0586805692427221E-2</v>
      </c>
      <c r="U117" s="198">
        <f>IFERROR(Inv_SY!O118/Inv_SY!$Q118-1,"")</f>
        <v>-2.9820559796127633E-3</v>
      </c>
    </row>
    <row r="118" spans="1:21">
      <c r="A118" s="201">
        <f t="shared" ref="A118" si="254">YEAR(H118)+IF(MONTH(H118)&gt;=4,1,0)</f>
        <v>2026</v>
      </c>
      <c r="B118" s="202">
        <f t="shared" ref="B118" si="255">YEAR(H118)</f>
        <v>2025</v>
      </c>
      <c r="C118" s="194" t="str">
        <f>TEXT(Table5[[#This Row],[Date]],"yyyy")</f>
        <v>2025</v>
      </c>
      <c r="D118" s="194" t="s">
        <v>224</v>
      </c>
      <c r="E118" s="194" t="s">
        <v>224</v>
      </c>
      <c r="F118" s="195" t="str">
        <f>TEXT(Table5[[#This Row],[Date]],"mmm-yy")</f>
        <v>Jul-25</v>
      </c>
      <c r="G118" s="194">
        <f t="shared" ref="G118" si="256">DAY(EOMONTH(F118,0))</f>
        <v>31</v>
      </c>
      <c r="H118" s="196">
        <f t="shared" si="243"/>
        <v>45861</v>
      </c>
      <c r="I118" s="194">
        <v>11.72</v>
      </c>
      <c r="J118" s="197">
        <f>IFERROR(Inv_SY!J119/Inv_SY!$P119-1,"")</f>
        <v>5.4016818538089595E-3</v>
      </c>
      <c r="K118" s="197">
        <f>IFERROR(Inv_SY!K119/Inv_SY!$P119-1,"")</f>
        <v>1.9928538055315803E-2</v>
      </c>
      <c r="L118" s="197">
        <f>IFERROR(Inv_SY!L119/Inv_SY!$P119-1,"")</f>
        <v>2.2404319069027068E-3</v>
      </c>
      <c r="M118" s="197">
        <f>IFERROR(Inv_SY!M119/Inv_SY!$P119-1,"")</f>
        <v>6.3411110068960497E-3</v>
      </c>
      <c r="N118" s="197">
        <f>IFERROR(Inv_SY!N119/Inv_SY!$P119-1,"")</f>
        <v>-3.7966834953352624E-2</v>
      </c>
      <c r="O118" s="197">
        <f>IFERROR(Inv_SY!O119/Inv_SY!$P119-1,"")</f>
        <v>4.0550721304293269E-3</v>
      </c>
      <c r="P118" s="197">
        <f>IFERROR(Inv_SY!P119/Inv_SY!$P119-1,"")</f>
        <v>0</v>
      </c>
      <c r="Q118" s="197">
        <f>IFERROR(Inv_SY!Q119/Inv_SY!$P119-1,"")</f>
        <v>1.9928538055315803E-2</v>
      </c>
      <c r="R118" s="197">
        <f>IFERROR(Inv_SY!L119/Inv_SY!$Q119-1,"")</f>
        <v>-1.7342495565560556E-2</v>
      </c>
      <c r="S118" s="197">
        <f>IFERROR(Inv_SY!M119/Inv_SY!$Q119-1,"")</f>
        <v>-1.3321940255075937E-2</v>
      </c>
      <c r="T118" s="197">
        <f>IFERROR(Inv_SY!N119/Inv_SY!$Q119-1,"")</f>
        <v>-5.6764146553891726E-2</v>
      </c>
      <c r="U118" s="198">
        <f>IFERROR(Inv_SY!O119/Inv_SY!$Q119-1,"")</f>
        <v>-1.5563311871979013E-2</v>
      </c>
    </row>
    <row r="119" spans="1:21">
      <c r="A119" s="201">
        <f t="shared" ref="A119" si="257">YEAR(H119)+IF(MONTH(H119)&gt;=4,1,0)</f>
        <v>2026</v>
      </c>
      <c r="B119" s="202">
        <f t="shared" ref="B119" si="258">YEAR(H119)</f>
        <v>2025</v>
      </c>
      <c r="C119" s="194" t="str">
        <f>TEXT(Table5[[#This Row],[Date]],"yyyy")</f>
        <v>2025</v>
      </c>
      <c r="D119" s="194" t="s">
        <v>224</v>
      </c>
      <c r="E119" s="194" t="s">
        <v>224</v>
      </c>
      <c r="F119" s="195" t="str">
        <f>TEXT(Table5[[#This Row],[Date]],"mmm-yy")</f>
        <v>Jul-25</v>
      </c>
      <c r="G119" s="194">
        <f t="shared" ref="G119" si="259">DAY(EOMONTH(F119,0))</f>
        <v>31</v>
      </c>
      <c r="H119" s="196">
        <f t="shared" si="243"/>
        <v>45862</v>
      </c>
      <c r="I119" s="194">
        <v>11.72</v>
      </c>
      <c r="J119" s="197">
        <f>IFERROR(Inv_SY!J120/Inv_SY!$P120-1,"")</f>
        <v>1.2496822216603753E-2</v>
      </c>
      <c r="K119" s="197">
        <f>IFERROR(Inv_SY!K120/Inv_SY!$P120-1,"")</f>
        <v>-1.9836347363166862E-4</v>
      </c>
      <c r="L119" s="197">
        <f>IFERROR(Inv_SY!L120/Inv_SY!$P120-1,"")</f>
        <v>4.0040205242437565E-3</v>
      </c>
      <c r="M119" s="197">
        <f>IFERROR(Inv_SY!M120/Inv_SY!$P120-1,"")</f>
        <v>2.7165797326182961E-3</v>
      </c>
      <c r="N119" s="197">
        <f>IFERROR(Inv_SY!N120/Inv_SY!$P120-1,"")</f>
        <v>-3.210502823067285E-2</v>
      </c>
      <c r="O119" s="197">
        <f>IFERROR(Inv_SY!O120/Inv_SY!$P120-1,"")</f>
        <v>1.3085969230838268E-2</v>
      </c>
      <c r="P119" s="197">
        <f>IFERROR(Inv_SY!P120/Inv_SY!$P120-1,"")</f>
        <v>0</v>
      </c>
      <c r="Q119" s="197">
        <f>IFERROR(Inv_SY!Q120/Inv_SY!$P120-1,"")</f>
        <v>1.3085969230838268E-2</v>
      </c>
      <c r="R119" s="197">
        <f>IFERROR(Inv_SY!L120/Inv_SY!$Q120-1,"")</f>
        <v>-8.964637733054337E-3</v>
      </c>
      <c r="S119" s="197">
        <f>IFERROR(Inv_SY!M120/Inv_SY!$Q120-1,"")</f>
        <v>-1.0235448731061525E-2</v>
      </c>
      <c r="T119" s="197">
        <f>IFERROR(Inv_SY!N120/Inv_SY!$Q120-1,"")</f>
        <v>-4.4607268123377009E-2</v>
      </c>
      <c r="U119" s="198">
        <f>IFERROR(Inv_SY!O120/Inv_SY!$Q120-1,"")</f>
        <v>0</v>
      </c>
    </row>
    <row r="120" spans="1:21">
      <c r="A120" s="201">
        <f t="shared" ref="A120" si="260">YEAR(H120)+IF(MONTH(H120)&gt;=4,1,0)</f>
        <v>2026</v>
      </c>
      <c r="B120" s="202">
        <f t="shared" ref="B120" si="261">YEAR(H120)</f>
        <v>2025</v>
      </c>
      <c r="C120" s="194" t="str">
        <f>TEXT(Table5[[#This Row],[Date]],"yyyy")</f>
        <v>2025</v>
      </c>
      <c r="D120" s="194" t="s">
        <v>224</v>
      </c>
      <c r="E120" s="194" t="s">
        <v>224</v>
      </c>
      <c r="F120" s="195" t="str">
        <f>TEXT(Table5[[#This Row],[Date]],"mmm-yy")</f>
        <v>Jul-25</v>
      </c>
      <c r="G120" s="194">
        <f t="shared" ref="G120" si="262">DAY(EOMONTH(F120,0))</f>
        <v>31</v>
      </c>
      <c r="H120" s="196">
        <f t="shared" si="243"/>
        <v>45863</v>
      </c>
      <c r="I120" s="194">
        <v>11.72</v>
      </c>
      <c r="J120" s="197">
        <f>IFERROR(Inv_SY!J121/Inv_SY!$P121-1,"")</f>
        <v>1.0640924470852964E-2</v>
      </c>
      <c r="K120" s="197">
        <f>IFERROR(Inv_SY!K121/Inv_SY!$P121-1,"")</f>
        <v>1.1890656785799258E-2</v>
      </c>
      <c r="L120" s="197">
        <f>IFERROR(Inv_SY!L121/Inv_SY!$P121-1,"")</f>
        <v>1.006370542886259E-2</v>
      </c>
      <c r="M120" s="197">
        <f>IFERROR(Inv_SY!M121/Inv_SY!$P121-1,"")</f>
        <v>-4.1267422566737544E-4</v>
      </c>
      <c r="N120" s="197">
        <f>IFERROR(Inv_SY!N121/Inv_SY!$P121-1,"")</f>
        <v>-4.2121173917633925E-2</v>
      </c>
      <c r="O120" s="197">
        <f>IFERROR(Inv_SY!O121/Inv_SY!$P121-1,"")</f>
        <v>9.9385614577864878E-3</v>
      </c>
      <c r="P120" s="197">
        <f>IFERROR(Inv_SY!P121/Inv_SY!$P121-1,"")</f>
        <v>0</v>
      </c>
      <c r="Q120" s="197">
        <f>IFERROR(Inv_SY!Q121/Inv_SY!$P121-1,"")</f>
        <v>1.1890656785799258E-2</v>
      </c>
      <c r="R120" s="197">
        <f>IFERROR(Inv_SY!L121/Inv_SY!$Q121-1,"")</f>
        <v>-1.8054829785068005E-3</v>
      </c>
      <c r="S120" s="197">
        <f>IFERROR(Inv_SY!M121/Inv_SY!$Q121-1,"")</f>
        <v>-1.2158755423779977E-2</v>
      </c>
      <c r="T120" s="197">
        <f>IFERROR(Inv_SY!N121/Inv_SY!$Q121-1,"")</f>
        <v>-5.3377141434429287E-2</v>
      </c>
      <c r="U120" s="198">
        <f>IFERROR(Inv_SY!O121/Inv_SY!$Q121-1,"")</f>
        <v>-1.9291563914756171E-3</v>
      </c>
    </row>
    <row r="121" spans="1:21">
      <c r="A121" s="201">
        <f t="shared" ref="A121" si="263">YEAR(H121)+IF(MONTH(H121)&gt;=4,1,0)</f>
        <v>2026</v>
      </c>
      <c r="B121" s="202">
        <f t="shared" ref="B121" si="264">YEAR(H121)</f>
        <v>2025</v>
      </c>
      <c r="C121" s="194" t="str">
        <f>TEXT(Table5[[#This Row],[Date]],"yyyy")</f>
        <v>2025</v>
      </c>
      <c r="D121" s="194" t="s">
        <v>224</v>
      </c>
      <c r="E121" s="194" t="s">
        <v>224</v>
      </c>
      <c r="F121" s="195" t="str">
        <f>TEXT(Table5[[#This Row],[Date]],"mmm-yy")</f>
        <v>Jul-25</v>
      </c>
      <c r="G121" s="194">
        <f t="shared" ref="G121" si="265">DAY(EOMONTH(F121,0))</f>
        <v>31</v>
      </c>
      <c r="H121" s="196">
        <f t="shared" si="243"/>
        <v>45864</v>
      </c>
      <c r="I121" s="194">
        <v>11.72</v>
      </c>
      <c r="J121" s="197">
        <f>IFERROR(Inv_SY!J122/Inv_SY!$P122-1,"")</f>
        <v>1.07213774021091E-2</v>
      </c>
      <c r="K121" s="197">
        <f>IFERROR(Inv_SY!K122/Inv_SY!$P122-1,"")</f>
        <v>7.4022676405585131E-3</v>
      </c>
      <c r="L121" s="197">
        <f>IFERROR(Inv_SY!L122/Inv_SY!$P122-1,"")</f>
        <v>6.3314875403261972E-3</v>
      </c>
      <c r="M121" s="197">
        <f>IFERROR(Inv_SY!M122/Inv_SY!$P122-1,"")</f>
        <v>6.8066893211851109E-3</v>
      </c>
      <c r="N121" s="197">
        <f>IFERROR(Inv_SY!N122/Inv_SY!$P122-1,"")</f>
        <v>-4.2313442319018013E-2</v>
      </c>
      <c r="O121" s="197">
        <f>IFERROR(Inv_SY!O122/Inv_SY!$P122-1,"")</f>
        <v>1.1051620414838537E-2</v>
      </c>
      <c r="P121" s="197">
        <f>IFERROR(Inv_SY!P122/Inv_SY!$P122-1,"")</f>
        <v>0</v>
      </c>
      <c r="Q121" s="197">
        <f>IFERROR(Inv_SY!Q122/Inv_SY!$P122-1,"")</f>
        <v>1.1051620414838537E-2</v>
      </c>
      <c r="R121" s="197">
        <f>IFERROR(Inv_SY!L122/Inv_SY!$Q122-1,"")</f>
        <v>-4.6685379650307501E-3</v>
      </c>
      <c r="S121" s="197">
        <f>IFERROR(Inv_SY!M122/Inv_SY!$Q122-1,"")</f>
        <v>-4.1985305279582663E-3</v>
      </c>
      <c r="T121" s="197">
        <f>IFERROR(Inv_SY!N122/Inv_SY!$Q122-1,"")</f>
        <v>-5.2781738989707283E-2</v>
      </c>
      <c r="U121" s="198">
        <f>IFERROR(Inv_SY!O122/Inv_SY!$Q122-1,"")</f>
        <v>0</v>
      </c>
    </row>
    <row r="122" spans="1:21">
      <c r="A122" s="201">
        <f t="shared" ref="A122" si="266">YEAR(H122)+IF(MONTH(H122)&gt;=4,1,0)</f>
        <v>2026</v>
      </c>
      <c r="B122" s="202">
        <f t="shared" ref="B122" si="267">YEAR(H122)</f>
        <v>2025</v>
      </c>
      <c r="C122" s="194" t="str">
        <f>TEXT(Table5[[#This Row],[Date]],"yyyy")</f>
        <v>2025</v>
      </c>
      <c r="D122" s="194" t="s">
        <v>224</v>
      </c>
      <c r="E122" s="194" t="s">
        <v>224</v>
      </c>
      <c r="F122" s="195" t="str">
        <f>TEXT(Table5[[#This Row],[Date]],"mmm-yy")</f>
        <v>Jul-25</v>
      </c>
      <c r="G122" s="194">
        <f t="shared" ref="G122" si="268">DAY(EOMONTH(F122,0))</f>
        <v>31</v>
      </c>
      <c r="H122" s="196">
        <f t="shared" si="243"/>
        <v>45865</v>
      </c>
      <c r="I122" s="194">
        <v>11.72</v>
      </c>
      <c r="J122" s="197">
        <f>IFERROR(Inv_SY!J123/Inv_SY!$P123-1,"")</f>
        <v>2.4464767311300761E-3</v>
      </c>
      <c r="K122" s="197">
        <f>IFERROR(Inv_SY!K123/Inv_SY!$P123-1,"")</f>
        <v>-4.6644652651349761E-3</v>
      </c>
      <c r="L122" s="197">
        <f>IFERROR(Inv_SY!L123/Inv_SY!$P123-1,"")</f>
        <v>-1.7344993470540304E-2</v>
      </c>
      <c r="M122" s="197">
        <f>IFERROR(Inv_SY!M123/Inv_SY!$P123-1,"")</f>
        <v>1.2654772866573571E-2</v>
      </c>
      <c r="N122" s="197">
        <f>IFERROR(Inv_SY!N123/Inv_SY!$P123-1,"")</f>
        <v>-1.1872967821644043E-2</v>
      </c>
      <c r="O122" s="197">
        <f>IFERROR(Inv_SY!O123/Inv_SY!$P123-1,"")</f>
        <v>1.8781176959614676E-2</v>
      </c>
      <c r="P122" s="197">
        <f>IFERROR(Inv_SY!P123/Inv_SY!$P123-1,"")</f>
        <v>0</v>
      </c>
      <c r="Q122" s="197">
        <f>IFERROR(Inv_SY!Q123/Inv_SY!$P123-1,"")</f>
        <v>1.8781176959614676E-2</v>
      </c>
      <c r="R122" s="197">
        <f>IFERROR(Inv_SY!L123/Inv_SY!$Q123-1,"")</f>
        <v>-3.5460186394459692E-2</v>
      </c>
      <c r="S122" s="197">
        <f>IFERROR(Inv_SY!M123/Inv_SY!$Q123-1,"")</f>
        <v>-6.0134641585392057E-3</v>
      </c>
      <c r="T122" s="197">
        <f>IFERROR(Inv_SY!N123/Inv_SY!$Q123-1,"")</f>
        <v>-3.0089037248156703E-2</v>
      </c>
      <c r="U122" s="198">
        <f>IFERROR(Inv_SY!O123/Inv_SY!$Q123-1,"")</f>
        <v>0</v>
      </c>
    </row>
    <row r="123" spans="1:21">
      <c r="A123" s="201">
        <f t="shared" ref="A123" si="269">YEAR(H123)+IF(MONTH(H123)&gt;=4,1,0)</f>
        <v>2026</v>
      </c>
      <c r="B123" s="202">
        <f t="shared" ref="B123" si="270">YEAR(H123)</f>
        <v>2025</v>
      </c>
      <c r="C123" s="194" t="str">
        <f>TEXT(Table5[[#This Row],[Date]],"yyyy")</f>
        <v>2025</v>
      </c>
      <c r="D123" s="194" t="s">
        <v>224</v>
      </c>
      <c r="E123" s="194" t="s">
        <v>224</v>
      </c>
      <c r="F123" s="195" t="str">
        <f>TEXT(Table5[[#This Row],[Date]],"mmm-yy")</f>
        <v>Jul-25</v>
      </c>
      <c r="G123" s="194">
        <f t="shared" ref="G123" si="271">DAY(EOMONTH(F123,0))</f>
        <v>31</v>
      </c>
      <c r="H123" s="196">
        <f t="shared" si="243"/>
        <v>45866</v>
      </c>
      <c r="I123" s="194">
        <v>11.72</v>
      </c>
      <c r="J123" s="197">
        <f>IFERROR(Inv_SY!J124/Inv_SY!$P124-1,"")</f>
        <v>-1.5284400612009419E-2</v>
      </c>
      <c r="K123" s="197">
        <f>IFERROR(Inv_SY!K124/Inv_SY!$P124-1,"")</f>
        <v>-8.0378077575151696E-3</v>
      </c>
      <c r="L123" s="197">
        <f>IFERROR(Inv_SY!L124/Inv_SY!$P124-1,"")</f>
        <v>-2.4850122301063204E-2</v>
      </c>
      <c r="M123" s="197">
        <f>IFERROR(Inv_SY!M124/Inv_SY!$P124-1,"")</f>
        <v>2.6394890785432779E-2</v>
      </c>
      <c r="N123" s="197">
        <f>IFERROR(Inv_SY!N124/Inv_SY!$P124-1,"")</f>
        <v>7.2119727825104007E-4</v>
      </c>
      <c r="O123" s="197">
        <f>IFERROR(Inv_SY!O124/Inv_SY!$P124-1,"")</f>
        <v>2.1056242606904307E-2</v>
      </c>
      <c r="P123" s="197">
        <f>IFERROR(Inv_SY!P124/Inv_SY!$P124-1,"")</f>
        <v>0</v>
      </c>
      <c r="Q123" s="197">
        <f>IFERROR(Inv_SY!Q124/Inv_SY!$P124-1,"")</f>
        <v>2.6394890785432779E-2</v>
      </c>
      <c r="R123" s="197">
        <f>IFERROR(Inv_SY!L124/Inv_SY!$Q124-1,"")</f>
        <v>-4.9927190349984607E-2</v>
      </c>
      <c r="S123" s="197">
        <f>IFERROR(Inv_SY!M124/Inv_SY!$Q124-1,"")</f>
        <v>0</v>
      </c>
      <c r="T123" s="197">
        <f>IFERROR(Inv_SY!N124/Inv_SY!$Q124-1,"")</f>
        <v>-2.5013465808988222E-2</v>
      </c>
      <c r="U123" s="198">
        <f>IFERROR(Inv_SY!O124/Inv_SY!$Q124-1,"")</f>
        <v>-5.2013588789817655E-3</v>
      </c>
    </row>
    <row r="124" spans="1:21">
      <c r="A124" s="201">
        <f t="shared" ref="A124" si="272">YEAR(H124)+IF(MONTH(H124)&gt;=4,1,0)</f>
        <v>2026</v>
      </c>
      <c r="B124" s="202">
        <f t="shared" ref="B124" si="273">YEAR(H124)</f>
        <v>2025</v>
      </c>
      <c r="C124" s="194" t="str">
        <f>TEXT(Table5[[#This Row],[Date]],"yyyy")</f>
        <v>2025</v>
      </c>
      <c r="D124" s="194" t="s">
        <v>224</v>
      </c>
      <c r="E124" s="194" t="s">
        <v>224</v>
      </c>
      <c r="F124" s="195" t="str">
        <f>TEXT(Table5[[#This Row],[Date]],"mmm-yy")</f>
        <v>Jul-25</v>
      </c>
      <c r="G124" s="194">
        <f t="shared" ref="G124" si="274">DAY(EOMONTH(F124,0))</f>
        <v>31</v>
      </c>
      <c r="H124" s="196">
        <f t="shared" si="243"/>
        <v>45867</v>
      </c>
      <c r="I124" s="194">
        <v>11.72</v>
      </c>
      <c r="J124" s="197">
        <f>IFERROR(Inv_SY!J125/Inv_SY!$P125-1,"")</f>
        <v>1.3330597851777259E-3</v>
      </c>
      <c r="K124" s="197">
        <f>IFERROR(Inv_SY!K125/Inv_SY!$P125-1,"")</f>
        <v>3.490088672741809E-3</v>
      </c>
      <c r="L124" s="197">
        <f>IFERROR(Inv_SY!L125/Inv_SY!$P125-1,"")</f>
        <v>-1.117923037887425E-2</v>
      </c>
      <c r="M124" s="197">
        <f>IFERROR(Inv_SY!M125/Inv_SY!$P125-1,"")</f>
        <v>1.5117278460826888E-2</v>
      </c>
      <c r="N124" s="197">
        <f>IFERROR(Inv_SY!N125/Inv_SY!$P125-1,"")</f>
        <v>-2.3864571074929786E-2</v>
      </c>
      <c r="O124" s="197">
        <f>IFERROR(Inv_SY!O125/Inv_SY!$P125-1,"")</f>
        <v>1.5103374535057723E-2</v>
      </c>
      <c r="P124" s="197">
        <f>IFERROR(Inv_SY!P125/Inv_SY!$P125-1,"")</f>
        <v>0</v>
      </c>
      <c r="Q124" s="197">
        <f>IFERROR(Inv_SY!Q125/Inv_SY!$P125-1,"")</f>
        <v>1.5117278460826888E-2</v>
      </c>
      <c r="R124" s="197">
        <f>IFERROR(Inv_SY!L125/Inv_SY!$Q125-1,"")</f>
        <v>-2.5904897293811402E-2</v>
      </c>
      <c r="S124" s="197">
        <f>IFERROR(Inv_SY!M125/Inv_SY!$Q125-1,"")</f>
        <v>0</v>
      </c>
      <c r="T124" s="197">
        <f>IFERROR(Inv_SY!N125/Inv_SY!$Q125-1,"")</f>
        <v>-3.8401325997389102E-2</v>
      </c>
      <c r="U124" s="198">
        <f>IFERROR(Inv_SY!O125/Inv_SY!$Q125-1,"")</f>
        <v>-1.3696866425272347E-5</v>
      </c>
    </row>
    <row r="125" spans="1:21">
      <c r="A125" s="201">
        <f t="shared" ref="A125" si="275">YEAR(H125)+IF(MONTH(H125)&gt;=4,1,0)</f>
        <v>2026</v>
      </c>
      <c r="B125" s="202">
        <f t="shared" ref="B125" si="276">YEAR(H125)</f>
        <v>2025</v>
      </c>
      <c r="C125" s="194" t="str">
        <f>TEXT(Table5[[#This Row],[Date]],"yyyy")</f>
        <v>2025</v>
      </c>
      <c r="D125" s="194" t="s">
        <v>224</v>
      </c>
      <c r="E125" s="194" t="s">
        <v>224</v>
      </c>
      <c r="F125" s="195" t="str">
        <f>TEXT(Table5[[#This Row],[Date]],"mmm-yy")</f>
        <v>Jul-25</v>
      </c>
      <c r="G125" s="194">
        <f t="shared" ref="G125" si="277">DAY(EOMONTH(F125,0))</f>
        <v>31</v>
      </c>
      <c r="H125" s="196">
        <f t="shared" si="243"/>
        <v>45868</v>
      </c>
      <c r="I125" s="194">
        <v>11.72</v>
      </c>
      <c r="J125" s="197">
        <f>IFERROR(Inv_SY!J126/Inv_SY!$P126-1,"")</f>
        <v>6.2214668797662132E-3</v>
      </c>
      <c r="K125" s="197">
        <f>IFERROR(Inv_SY!K126/Inv_SY!$P126-1,"")</f>
        <v>-7.2386728600950523E-3</v>
      </c>
      <c r="L125" s="197">
        <f>IFERROR(Inv_SY!L126/Inv_SY!$P126-1,"")</f>
        <v>-3.0057566987816031E-2</v>
      </c>
      <c r="M125" s="197">
        <f>IFERROR(Inv_SY!M126/Inv_SY!$P126-1,"")</f>
        <v>1.6021349568694498E-2</v>
      </c>
      <c r="N125" s="197">
        <f>IFERROR(Inv_SY!N126/Inv_SY!$P126-1,"")</f>
        <v>-3.1375908084285697E-3</v>
      </c>
      <c r="O125" s="197">
        <f>IFERROR(Inv_SY!O126/Inv_SY!$P126-1,"")</f>
        <v>1.8191014207878498E-2</v>
      </c>
      <c r="P125" s="197">
        <f>IFERROR(Inv_SY!P126/Inv_SY!$P126-1,"")</f>
        <v>0</v>
      </c>
      <c r="Q125" s="197">
        <f>IFERROR(Inv_SY!Q126/Inv_SY!$P126-1,"")</f>
        <v>1.8191014207878498E-2</v>
      </c>
      <c r="R125" s="197">
        <f>IFERROR(Inv_SY!L126/Inv_SY!$Q126-1,"")</f>
        <v>-4.7386571402057154E-2</v>
      </c>
      <c r="S125" s="197">
        <f>IFERROR(Inv_SY!M126/Inv_SY!$Q126-1,"")</f>
        <v>-2.1309013818708866E-3</v>
      </c>
      <c r="T125" s="197">
        <f>IFERROR(Inv_SY!N126/Inv_SY!$Q126-1,"")</f>
        <v>-2.0947547875287631E-2</v>
      </c>
      <c r="U125" s="198">
        <f>IFERROR(Inv_SY!O126/Inv_SY!$Q126-1,"")</f>
        <v>0</v>
      </c>
    </row>
    <row r="126" spans="1:21">
      <c r="A126" s="201">
        <f t="shared" ref="A126" si="278">YEAR(H126)+IF(MONTH(H126)&gt;=4,1,0)</f>
        <v>2026</v>
      </c>
      <c r="B126" s="202">
        <f t="shared" ref="B126" si="279">YEAR(H126)</f>
        <v>2025</v>
      </c>
      <c r="C126" s="194" t="str">
        <f>TEXT(Table5[[#This Row],[Date]],"yyyy")</f>
        <v>2025</v>
      </c>
      <c r="D126" s="194" t="s">
        <v>224</v>
      </c>
      <c r="E126" s="194" t="s">
        <v>224</v>
      </c>
      <c r="F126" s="195" t="str">
        <f>TEXT(Table5[[#This Row],[Date]],"mmm-yy")</f>
        <v>Jul-25</v>
      </c>
      <c r="G126" s="194">
        <f t="shared" ref="G126" si="280">DAY(EOMONTH(F126,0))</f>
        <v>31</v>
      </c>
      <c r="H126" s="196">
        <f t="shared" si="243"/>
        <v>45869</v>
      </c>
      <c r="I126" s="194">
        <v>11.72</v>
      </c>
      <c r="J126" s="197">
        <f>IFERROR(Inv_SY!J127/Inv_SY!$P127-1,"")</f>
        <v>-3.5446053158744606E-2</v>
      </c>
      <c r="K126" s="197">
        <f>IFERROR(Inv_SY!K127/Inv_SY!$P127-1,"")</f>
        <v>-3.238588381980434E-3</v>
      </c>
      <c r="L126" s="197">
        <f>IFERROR(Inv_SY!L127/Inv_SY!$P127-1,"")</f>
        <v>-7.6177355772574229E-3</v>
      </c>
      <c r="M126" s="197">
        <f>IFERROR(Inv_SY!M127/Inv_SY!$P127-1,"")</f>
        <v>2.4949583575935685E-2</v>
      </c>
      <c r="N126" s="197">
        <f>IFERROR(Inv_SY!N127/Inv_SY!$P127-1,"")</f>
        <v>-4.3799388235477021E-4</v>
      </c>
      <c r="O126" s="197">
        <f>IFERROR(Inv_SY!O127/Inv_SY!$P127-1,"")</f>
        <v>2.1790787424401215E-2</v>
      </c>
      <c r="P126" s="197">
        <f>IFERROR(Inv_SY!P127/Inv_SY!$P127-1,"")</f>
        <v>0</v>
      </c>
      <c r="Q126" s="197">
        <f>IFERROR(Inv_SY!Q127/Inv_SY!$P127-1,"")</f>
        <v>2.4949583575935685E-2</v>
      </c>
      <c r="R126" s="197">
        <f>IFERROR(Inv_SY!L127/Inv_SY!$Q127-1,"")</f>
        <v>-3.1774557183163354E-2</v>
      </c>
      <c r="S126" s="197">
        <f>IFERROR(Inv_SY!M127/Inv_SY!$Q127-1,"")</f>
        <v>0</v>
      </c>
      <c r="T126" s="197">
        <f>IFERROR(Inv_SY!N127/Inv_SY!$Q127-1,"")</f>
        <v>-2.4769586587582104E-2</v>
      </c>
      <c r="U126" s="198">
        <f>IFERROR(Inv_SY!O127/Inv_SY!$Q127-1,"")</f>
        <v>-3.0819039318147334E-3</v>
      </c>
    </row>
    <row r="127" spans="1:21">
      <c r="A127" s="201">
        <f t="shared" ref="A127" si="281">YEAR(H127)+IF(MONTH(H127)&gt;=4,1,0)</f>
        <v>2026</v>
      </c>
      <c r="B127" s="202">
        <f t="shared" ref="B127" si="282">YEAR(H127)</f>
        <v>2025</v>
      </c>
      <c r="C127" s="194" t="str">
        <f>TEXT(Table5[[#This Row],[Date]],"yyyy")</f>
        <v>2025</v>
      </c>
      <c r="D127" s="194" t="s">
        <v>224</v>
      </c>
      <c r="E127" s="194" t="s">
        <v>224</v>
      </c>
      <c r="F127" s="195" t="str">
        <f>TEXT(Table5[[#This Row],[Date]],"mmm-yy")</f>
        <v>Aug-25</v>
      </c>
      <c r="G127" s="194">
        <f t="shared" ref="G127" si="283">DAY(EOMONTH(F127,0))</f>
        <v>31</v>
      </c>
      <c r="H127" s="196">
        <f t="shared" si="243"/>
        <v>45870</v>
      </c>
      <c r="I127" s="194">
        <v>11.72</v>
      </c>
      <c r="J127" s="197">
        <f>IFERROR(Inv_SY!J128/Inv_SY!$P128-1,"")</f>
        <v>-1.0043388938195341E-2</v>
      </c>
      <c r="K127" s="197">
        <f>IFERROR(Inv_SY!K128/Inv_SY!$P128-1,"")</f>
        <v>-5.5422560499867046E-3</v>
      </c>
      <c r="L127" s="197">
        <f>IFERROR(Inv_SY!L128/Inv_SY!$P128-1,"")</f>
        <v>-1.6881371264417244E-2</v>
      </c>
      <c r="M127" s="197">
        <f>IFERROR(Inv_SY!M128/Inv_SY!$P128-1,"")</f>
        <v>2.4073800806752255E-2</v>
      </c>
      <c r="N127" s="197">
        <f>IFERROR(Inv_SY!N128/Inv_SY!$P128-1,"")</f>
        <v>-7.6557220586621622E-3</v>
      </c>
      <c r="O127" s="197">
        <f>IFERROR(Inv_SY!O128/Inv_SY!$P128-1,"")</f>
        <v>1.6048937504509642E-2</v>
      </c>
      <c r="P127" s="197">
        <f>IFERROR(Inv_SY!P128/Inv_SY!$P128-1,"")</f>
        <v>0</v>
      </c>
      <c r="Q127" s="197">
        <f>IFERROR(Inv_SY!Q128/Inv_SY!$P128-1,"")</f>
        <v>2.4073800806752255E-2</v>
      </c>
      <c r="R127" s="197">
        <f>IFERROR(Inv_SY!L128/Inv_SY!$Q128-1,"")</f>
        <v>-3.999240292926709E-2</v>
      </c>
      <c r="S127" s="197">
        <f>IFERROR(Inv_SY!M128/Inv_SY!$Q128-1,"")</f>
        <v>0</v>
      </c>
      <c r="T127" s="197">
        <f>IFERROR(Inv_SY!N128/Inv_SY!$Q128-1,"")</f>
        <v>-3.0983629149010983E-2</v>
      </c>
      <c r="U127" s="198">
        <f>IFERROR(Inv_SY!O128/Inv_SY!$Q128-1,"")</f>
        <v>-7.8362158039009255E-3</v>
      </c>
    </row>
    <row r="128" spans="1:21">
      <c r="A128" s="201">
        <f t="shared" ref="A128" si="284">YEAR(H128)+IF(MONTH(H128)&gt;=4,1,0)</f>
        <v>2026</v>
      </c>
      <c r="B128" s="202">
        <f t="shared" ref="B128" si="285">YEAR(H128)</f>
        <v>2025</v>
      </c>
      <c r="C128" s="194" t="str">
        <f>TEXT(Table5[[#This Row],[Date]],"yyyy")</f>
        <v>2025</v>
      </c>
      <c r="D128" s="194" t="s">
        <v>224</v>
      </c>
      <c r="E128" s="194" t="s">
        <v>224</v>
      </c>
      <c r="F128" s="195" t="str">
        <f>TEXT(Table5[[#This Row],[Date]],"mmm-yy")</f>
        <v>Aug-25</v>
      </c>
      <c r="G128" s="194">
        <f t="shared" ref="G128" si="286">DAY(EOMONTH(F128,0))</f>
        <v>31</v>
      </c>
      <c r="H128" s="196">
        <f t="shared" si="243"/>
        <v>45871</v>
      </c>
      <c r="I128" s="194">
        <v>11.72</v>
      </c>
      <c r="J128" s="197">
        <f>IFERROR(Inv_SY!J129/Inv_SY!$P129-1,"")</f>
        <v>-8.8721467931756059E-3</v>
      </c>
      <c r="K128" s="197">
        <f>IFERROR(Inv_SY!K129/Inv_SY!$P129-1,"")</f>
        <v>-2.3637013985695621E-3</v>
      </c>
      <c r="L128" s="197">
        <f>IFERROR(Inv_SY!L129/Inv_SY!$P129-1,"")</f>
        <v>-2.3674982975130265E-2</v>
      </c>
      <c r="M128" s="197">
        <f>IFERROR(Inv_SY!M129/Inv_SY!$P129-1,"")</f>
        <v>2.6599042611104684E-2</v>
      </c>
      <c r="N128" s="197">
        <f>IFERROR(Inv_SY!N129/Inv_SY!$P129-1,"")</f>
        <v>1.7691931870116306E-3</v>
      </c>
      <c r="O128" s="197">
        <f>IFERROR(Inv_SY!O129/Inv_SY!$P129-1,"")</f>
        <v>6.5425953687592298E-3</v>
      </c>
      <c r="P128" s="197">
        <f>IFERROR(Inv_SY!P129/Inv_SY!$P129-1,"")</f>
        <v>0</v>
      </c>
      <c r="Q128" s="197">
        <f>IFERROR(Inv_SY!Q129/Inv_SY!$P129-1,"")</f>
        <v>2.6599042611104684E-2</v>
      </c>
      <c r="R128" s="197">
        <f>IFERROR(Inv_SY!L129/Inv_SY!$Q129-1,"")</f>
        <v>-4.8971432369901091E-2</v>
      </c>
      <c r="S128" s="197">
        <f>IFERROR(Inv_SY!M129/Inv_SY!$Q129-1,"")</f>
        <v>0</v>
      </c>
      <c r="T128" s="197">
        <f>IFERROR(Inv_SY!N129/Inv_SY!$Q129-1,"")</f>
        <v>-2.4186511377352837E-2</v>
      </c>
      <c r="U128" s="198">
        <f>IFERROR(Inv_SY!O129/Inv_SY!$Q129-1,"")</f>
        <v>-1.953678740176179E-2</v>
      </c>
    </row>
    <row r="129" spans="1:21">
      <c r="A129" s="201">
        <f t="shared" ref="A129" si="287">YEAR(H129)+IF(MONTH(H129)&gt;=4,1,0)</f>
        <v>2026</v>
      </c>
      <c r="B129" s="202">
        <f t="shared" ref="B129" si="288">YEAR(H129)</f>
        <v>2025</v>
      </c>
      <c r="C129" s="194" t="str">
        <f>TEXT(Table5[[#This Row],[Date]],"yyyy")</f>
        <v>2025</v>
      </c>
      <c r="D129" s="194" t="s">
        <v>224</v>
      </c>
      <c r="E129" s="194" t="s">
        <v>224</v>
      </c>
      <c r="F129" s="195" t="str">
        <f>TEXT(Table5[[#This Row],[Date]],"mmm-yy")</f>
        <v>Aug-25</v>
      </c>
      <c r="G129" s="194">
        <f t="shared" ref="G129" si="289">DAY(EOMONTH(F129,0))</f>
        <v>31</v>
      </c>
      <c r="H129" s="196">
        <f t="shared" si="243"/>
        <v>45872</v>
      </c>
      <c r="I129" s="194">
        <v>11.72</v>
      </c>
      <c r="J129" s="197">
        <f>IFERROR(Inv_SY!J130/Inv_SY!$P130-1,"")</f>
        <v>-5.3038013804829198E-3</v>
      </c>
      <c r="K129" s="197">
        <f>IFERROR(Inv_SY!K130/Inv_SY!$P130-1,"")</f>
        <v>9.797719833117613E-3</v>
      </c>
      <c r="L129" s="197">
        <f>IFERROR(Inv_SY!L130/Inv_SY!$P130-1,"")</f>
        <v>-1.2346343923162584E-2</v>
      </c>
      <c r="M129" s="197">
        <f>IFERROR(Inv_SY!M130/Inv_SY!$P130-1,"")</f>
        <v>2.0665445512824343E-2</v>
      </c>
      <c r="N129" s="197">
        <f>IFERROR(Inv_SY!N130/Inv_SY!$P130-1,"")</f>
        <v>-1.5103146144775814E-2</v>
      </c>
      <c r="O129" s="197">
        <f>IFERROR(Inv_SY!O130/Inv_SY!$P130-1,"")</f>
        <v>2.2901261024790287E-3</v>
      </c>
      <c r="P129" s="197">
        <f>IFERROR(Inv_SY!P130/Inv_SY!$P130-1,"")</f>
        <v>0</v>
      </c>
      <c r="Q129" s="197">
        <f>IFERROR(Inv_SY!Q130/Inv_SY!$P130-1,"")</f>
        <v>2.0665445512824343E-2</v>
      </c>
      <c r="R129" s="197">
        <f>IFERROR(Inv_SY!L130/Inv_SY!$Q130-1,"")</f>
        <v>-3.2343398692605385E-2</v>
      </c>
      <c r="S129" s="197">
        <f>IFERROR(Inv_SY!M130/Inv_SY!$Q130-1,"")</f>
        <v>0</v>
      </c>
      <c r="T129" s="197">
        <f>IFERROR(Inv_SY!N130/Inv_SY!$Q130-1,"")</f>
        <v>-3.5044383852564587E-2</v>
      </c>
      <c r="U129" s="198">
        <f>IFERROR(Inv_SY!O130/Inv_SY!$Q130-1,"")</f>
        <v>-1.8003273737863146E-2</v>
      </c>
    </row>
  </sheetData>
  <phoneticPr fontId="35" type="noConversion"/>
  <conditionalFormatting sqref="J2:Q12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7A330-A97B-41C4-8A0C-8E789D0FF994}">
  <dimension ref="A1:AP28"/>
  <sheetViews>
    <sheetView workbookViewId="0">
      <pane xSplit="2" ySplit="1" topLeftCell="AH23" activePane="bottomRight" state="frozen"/>
      <selection pane="topRight" activeCell="C1" sqref="C1"/>
      <selection pane="bottomLeft" activeCell="A2" sqref="A2"/>
      <selection pane="bottomRight" activeCell="T23" sqref="T23:AM28"/>
    </sheetView>
  </sheetViews>
  <sheetFormatPr defaultColWidth="8.7265625" defaultRowHeight="14.5"/>
  <cols>
    <col min="1" max="2" width="9" style="248" customWidth="1"/>
    <col min="3" max="3" width="9.81640625" style="226" customWidth="1"/>
    <col min="4" max="8" width="9" style="226" customWidth="1"/>
    <col min="9" max="10" width="10.1796875" style="226" customWidth="1"/>
    <col min="11" max="11" width="9.54296875" style="226" bestFit="1" customWidth="1"/>
    <col min="12" max="15" width="9.54296875" style="226" customWidth="1"/>
    <col min="16" max="16" width="16" style="226" bestFit="1" customWidth="1"/>
    <col min="17" max="19" width="9.54296875" style="226" customWidth="1"/>
    <col min="20" max="20" width="18.81640625" style="226" bestFit="1" customWidth="1"/>
    <col min="21" max="21" width="11.1796875" style="226" customWidth="1"/>
    <col min="22" max="22" width="15.453125" style="226" customWidth="1"/>
    <col min="23" max="23" width="15.81640625" style="226" customWidth="1"/>
    <col min="24" max="24" width="43.1796875" style="226" customWidth="1"/>
    <col min="25" max="25" width="109.26953125" style="226" bestFit="1" customWidth="1"/>
    <col min="26" max="26" width="44.26953125" style="226" customWidth="1"/>
    <col min="27" max="27" width="11" style="226" bestFit="1" customWidth="1"/>
    <col min="28" max="28" width="10" style="226" bestFit="1" customWidth="1"/>
    <col min="29" max="29" width="11" style="226" customWidth="1"/>
    <col min="30" max="30" width="13.1796875" style="248" bestFit="1" customWidth="1"/>
    <col min="31" max="31" width="10.26953125" style="248" customWidth="1"/>
    <col min="32" max="32" width="12.81640625" style="248" bestFit="1" customWidth="1"/>
    <col min="33" max="33" width="10.1796875" style="248" customWidth="1"/>
    <col min="34" max="34" width="16.7265625" style="248" bestFit="1" customWidth="1"/>
    <col min="35" max="35" width="78.81640625" style="248" bestFit="1" customWidth="1"/>
    <col min="36" max="36" width="9.81640625" style="248" customWidth="1"/>
    <col min="37" max="37" width="14.7265625" style="248" bestFit="1" customWidth="1"/>
    <col min="38" max="38" width="13.26953125" style="248" customWidth="1"/>
    <col min="39" max="39" width="10.453125" style="226" bestFit="1" customWidth="1"/>
    <col min="40" max="40" width="8.7265625" style="226"/>
    <col min="41" max="41" width="10.54296875" style="226" bestFit="1" customWidth="1"/>
    <col min="42" max="16384" width="8.7265625" style="226"/>
  </cols>
  <sheetData>
    <row r="1" spans="1:42" ht="60">
      <c r="A1" s="223" t="s">
        <v>5</v>
      </c>
      <c r="B1" s="224" t="s">
        <v>34</v>
      </c>
      <c r="C1" s="224" t="s">
        <v>82</v>
      </c>
      <c r="D1" s="224" t="s">
        <v>83</v>
      </c>
      <c r="E1" s="224" t="s">
        <v>269</v>
      </c>
      <c r="F1" s="224" t="s">
        <v>128</v>
      </c>
      <c r="G1" s="224" t="s">
        <v>84</v>
      </c>
      <c r="H1" s="224" t="s">
        <v>63</v>
      </c>
      <c r="I1" s="224" t="s">
        <v>130</v>
      </c>
      <c r="J1" s="224" t="s">
        <v>131</v>
      </c>
      <c r="K1" s="224" t="s">
        <v>225</v>
      </c>
      <c r="L1" s="224" t="s">
        <v>527</v>
      </c>
      <c r="M1" s="224" t="s">
        <v>528</v>
      </c>
      <c r="N1" s="224" t="s">
        <v>529</v>
      </c>
      <c r="O1" s="224" t="s">
        <v>530</v>
      </c>
      <c r="P1" s="224" t="s">
        <v>531</v>
      </c>
      <c r="Q1" s="224" t="s">
        <v>532</v>
      </c>
      <c r="R1" s="224" t="s">
        <v>533</v>
      </c>
      <c r="S1" s="224" t="s">
        <v>534</v>
      </c>
      <c r="T1" s="224" t="s">
        <v>270</v>
      </c>
      <c r="U1" s="224" t="s">
        <v>535</v>
      </c>
      <c r="V1" s="224" t="s">
        <v>226</v>
      </c>
      <c r="W1" s="224" t="s">
        <v>536</v>
      </c>
      <c r="X1" s="224" t="s">
        <v>277</v>
      </c>
      <c r="Y1" s="224" t="s">
        <v>227</v>
      </c>
      <c r="Z1" s="224" t="s">
        <v>228</v>
      </c>
      <c r="AA1" s="224" t="s">
        <v>229</v>
      </c>
      <c r="AB1" s="224" t="s">
        <v>537</v>
      </c>
      <c r="AC1" s="224" t="s">
        <v>230</v>
      </c>
      <c r="AD1" s="224" t="s">
        <v>279</v>
      </c>
      <c r="AE1" s="224" t="s">
        <v>280</v>
      </c>
      <c r="AF1" s="224" t="s">
        <v>231</v>
      </c>
      <c r="AG1" s="224" t="s">
        <v>232</v>
      </c>
      <c r="AH1" s="224" t="s">
        <v>233</v>
      </c>
      <c r="AI1" s="224" t="s">
        <v>234</v>
      </c>
      <c r="AJ1" s="224" t="s">
        <v>235</v>
      </c>
      <c r="AK1" s="224" t="s">
        <v>236</v>
      </c>
      <c r="AL1" s="224" t="s">
        <v>538</v>
      </c>
      <c r="AM1" s="224" t="s">
        <v>539</v>
      </c>
      <c r="AN1" s="224" t="s">
        <v>238</v>
      </c>
      <c r="AO1" s="224" t="s">
        <v>237</v>
      </c>
      <c r="AP1" s="225" t="s">
        <v>540</v>
      </c>
    </row>
    <row r="2" spans="1:42" hidden="1">
      <c r="A2" s="227">
        <v>1</v>
      </c>
      <c r="B2" s="228">
        <v>45783</v>
      </c>
      <c r="C2" s="229">
        <f>YEAR(Plant_BD[[#This Row],[Date]])+IF(MONTH(Plant_BD[[#This Row],[Date]])&gt;=4,1,0)</f>
        <v>2026</v>
      </c>
      <c r="D2" s="229">
        <f>YEAR(Plant_BD[[#This Row],[Date]])</f>
        <v>2025</v>
      </c>
      <c r="E2" s="230" t="s">
        <v>224</v>
      </c>
      <c r="F2" s="230" t="s">
        <v>224</v>
      </c>
      <c r="G2" s="231">
        <f>Plant_BD[[#This Row],[Date]]-DAY(Plant_BD[[#This Row],[Date]])+1</f>
        <v>45778</v>
      </c>
      <c r="H2" s="232">
        <f>DAY(EOMONTH(Plant_BD[[#This Row],[Month Year]],0))</f>
        <v>31</v>
      </c>
      <c r="I2" s="233">
        <f>_xlfn.XLOOKUP(Plant_BD[[#This Row],[Date]],'Raw Data'!$G:$G,'Raw Data'!$I:$I)</f>
        <v>0.2638888888888889</v>
      </c>
      <c r="J2" s="233">
        <f>_xlfn.XLOOKUP(Plant_BD[[#This Row],[Date]],'Raw Data'!$G:$G,'Raw Data'!$J:$J)</f>
        <v>0.76944444444444449</v>
      </c>
      <c r="K2" s="234">
        <f>IFERROR((Plant_BD[[#This Row],[Sunset Time (POA&lt;20 W/m2)]]-Plant_BD[[#This Row],[Sunrise Time (POA&gt;20 W/m2)]])*24,"")</f>
        <v>12.133333333333333</v>
      </c>
      <c r="L2" s="234"/>
      <c r="M2" s="234"/>
      <c r="N2" s="234"/>
      <c r="O2" s="234"/>
      <c r="P2" s="234"/>
      <c r="Q2" s="234"/>
      <c r="R2" s="234"/>
      <c r="S2" s="234"/>
      <c r="T2" s="235" t="s">
        <v>137</v>
      </c>
      <c r="U2" s="236">
        <f>IFERROR(_xlfn.XLOOKUP(Plant_BD[[#This Row],[Affected Equipment]],'Basic Data'!$A:$A,'Basic Data'!$B:$B),"")</f>
        <v>2020</v>
      </c>
      <c r="V2" s="247">
        <f>IFERROR(_xlfn.XLOOKUP(Plant_BD[[#This Row],[Affected Equipment]],'Basic Data'!$A:$A,'Basic Data'!$C:$C),"")</f>
        <v>0.17249565345110901</v>
      </c>
      <c r="W2" s="237" t="s">
        <v>137</v>
      </c>
      <c r="X2" s="237" t="s">
        <v>239</v>
      </c>
      <c r="Y2" s="238" t="s">
        <v>252</v>
      </c>
      <c r="Z2" s="239"/>
      <c r="AA2" s="240">
        <v>0.2638888888888889</v>
      </c>
      <c r="AB2" s="240">
        <v>0.27430555555555558</v>
      </c>
      <c r="AC2" s="240">
        <v>0.27638888888888891</v>
      </c>
      <c r="AD2" s="240">
        <v>0.29375000000000001</v>
      </c>
      <c r="AE2" s="241">
        <f>IF(Plant_BD[[#This Row],[Acknowledgement Time ]]="NA","",(Plant_BD[[#This Row],[Acknowledgement Time ]]-Plant_BD[[#This Row],[Fault Time]])*24)</f>
        <v>0.25000000000000044</v>
      </c>
      <c r="AF2" s="241">
        <f>IF(Plant_BD[[#This Row],[Work Start time on Fault]]="NA","",(Plant_BD[[#This Row],[Work Start time on Fault]]-Plant_BD[[#This Row],[Fault Time]])*24)</f>
        <v>0.30000000000000027</v>
      </c>
      <c r="AG2" s="242">
        <f>(Plant_BD[[#This Row],[Work Completion time on fault]]-Plant_BD[[#This Row],[Fault Time]])*24</f>
        <v>0.71666666666666679</v>
      </c>
      <c r="AH2" s="242">
        <f>IFERROR((Plant_BD[[#This Row],[Work Completion time on fault]]-Plant_BD[[#This Row],[Fault Time]])*24,"")</f>
        <v>0.71666666666666679</v>
      </c>
      <c r="AI2" s="243" t="s">
        <v>255</v>
      </c>
      <c r="AJ2" s="244" t="s">
        <v>240</v>
      </c>
      <c r="AK2" s="245">
        <f>IFERROR(Plant_BD[[#This Row],[Breakdown Time]]*Plant_BD[[#This Row],[Plant Equivalent Weightage]],"")</f>
        <v>0.12362188497329481</v>
      </c>
      <c r="AL2" s="244">
        <v>50</v>
      </c>
      <c r="AM2" s="241">
        <f>Plant_BD[[#This Row],[Lost PoA(kWh/m2)]]*Plant_BD[[#This Row],[DC Capacity Affected (kW)]]*_xlfn.XLOOKUP(Plant_BD[[#This Row],[Month Year]],'Modelling New'!$D:$D,'Modelling New'!$O:$O)</f>
        <v>73889.774099077593</v>
      </c>
      <c r="AN2" s="244"/>
      <c r="AO2" s="244"/>
      <c r="AP2" s="246"/>
    </row>
    <row r="3" spans="1:42" hidden="1">
      <c r="A3" s="227">
        <f t="shared" ref="A3:A28" si="0">A2+1</f>
        <v>2</v>
      </c>
      <c r="B3" s="228">
        <v>45799</v>
      </c>
      <c r="C3" s="229">
        <f>YEAR(Plant_BD[[#This Row],[Date]])+IF(MONTH(Plant_BD[[#This Row],[Date]])&gt;=4,1,0)</f>
        <v>2026</v>
      </c>
      <c r="D3" s="229">
        <f>YEAR(Plant_BD[[#This Row],[Date]])</f>
        <v>2025</v>
      </c>
      <c r="E3" s="230" t="s">
        <v>224</v>
      </c>
      <c r="F3" s="230" t="s">
        <v>224</v>
      </c>
      <c r="G3" s="231">
        <f>Plant_BD[[#This Row],[Date]]-DAY(Plant_BD[[#This Row],[Date]])+1</f>
        <v>45778</v>
      </c>
      <c r="H3" s="232">
        <f>DAY(EOMONTH(Plant_BD[[#This Row],[Month Year]],0))</f>
        <v>31</v>
      </c>
      <c r="I3" s="233">
        <f>_xlfn.XLOOKUP(Plant_BD[[#This Row],[Date]],'Raw Data'!$G:$G,'Raw Data'!$I:$I)</f>
        <v>0.27986111111111112</v>
      </c>
      <c r="J3" s="233">
        <f>_xlfn.XLOOKUP(Plant_BD[[#This Row],[Date]],'Raw Data'!$G:$G,'Raw Data'!$J:$J)</f>
        <v>0.72569444444444442</v>
      </c>
      <c r="K3" s="234">
        <f>IFERROR((Plant_BD[[#This Row],[Sunset Time (POA&lt;20 W/m2)]]-Plant_BD[[#This Row],[Sunrise Time (POA&gt;20 W/m2)]])*24,"")</f>
        <v>10.7</v>
      </c>
      <c r="L3" s="234"/>
      <c r="M3" s="234"/>
      <c r="N3" s="234"/>
      <c r="O3" s="234"/>
      <c r="P3" s="234"/>
      <c r="Q3" s="234"/>
      <c r="R3" s="234"/>
      <c r="S3" s="234"/>
      <c r="T3" s="235" t="s">
        <v>137</v>
      </c>
      <c r="U3" s="236">
        <f>IFERROR(_xlfn.XLOOKUP(Plant_BD[[#This Row],[Affected Equipment]],'Basic Data'!$A:$A,'Basic Data'!$B:$B),"")</f>
        <v>2020</v>
      </c>
      <c r="V3" s="247">
        <f>IFERROR(_xlfn.XLOOKUP(Plant_BD[[#This Row],[Affected Equipment]],'Basic Data'!$A:$A,'Basic Data'!$C:$C),"")</f>
        <v>0.17249565345110901</v>
      </c>
      <c r="W3" s="237" t="s">
        <v>137</v>
      </c>
      <c r="X3" s="237" t="s">
        <v>239</v>
      </c>
      <c r="Y3" s="238" t="s">
        <v>482</v>
      </c>
      <c r="Z3" s="239"/>
      <c r="AA3" s="240">
        <v>0.53263888888888888</v>
      </c>
      <c r="AB3" s="240">
        <v>0.53819444444444442</v>
      </c>
      <c r="AC3" s="240">
        <v>0.53888888888888886</v>
      </c>
      <c r="AD3" s="240">
        <v>0.55208333333333337</v>
      </c>
      <c r="AE3" s="241">
        <f>IF(Plant_BD[[#This Row],[Acknowledgement Time ]]="NA","",(Plant_BD[[#This Row],[Acknowledgement Time ]]-Plant_BD[[#This Row],[Fault Time]])*24)</f>
        <v>0.13333333333333286</v>
      </c>
      <c r="AF3" s="241">
        <f>IF(Plant_BD[[#This Row],[Work Start time on Fault]]="NA","",(Plant_BD[[#This Row],[Work Start time on Fault]]-Plant_BD[[#This Row],[Fault Time]])*24)</f>
        <v>0.14999999999999947</v>
      </c>
      <c r="AG3" s="242">
        <f>(Plant_BD[[#This Row],[Work Completion time on fault]]-Plant_BD[[#This Row],[Fault Time]])*24</f>
        <v>0.46666666666666767</v>
      </c>
      <c r="AH3" s="242">
        <f>IFERROR((Plant_BD[[#This Row],[Work Completion time on fault]]-Plant_BD[[#This Row],[Fault Time]])*24,"")</f>
        <v>0.46666666666666767</v>
      </c>
      <c r="AI3" s="243" t="s">
        <v>483</v>
      </c>
      <c r="AJ3" s="244" t="s">
        <v>240</v>
      </c>
      <c r="AK3" s="245">
        <f>IFERROR(Plant_BD[[#This Row],[Breakdown Time]]*Plant_BD[[#This Row],[Plant Equivalent Weightage]],"")</f>
        <v>8.0497971610517707E-2</v>
      </c>
      <c r="AL3" s="244">
        <v>281</v>
      </c>
      <c r="AM3" s="241">
        <f>Plant_BD[[#This Row],[Lost PoA(kWh/m2)]]*Plant_BD[[#This Row],[DC Capacity Affected (kW)]]*_xlfn.XLOOKUP(Plant_BD[[#This Row],[Month Year]],'Modelling New'!$D:$D,'Modelling New'!$O:$O)</f>
        <v>415260.5304368161</v>
      </c>
      <c r="AN3" s="244"/>
      <c r="AO3" s="244"/>
      <c r="AP3" s="246"/>
    </row>
    <row r="4" spans="1:42" hidden="1">
      <c r="A4" s="227">
        <f t="shared" si="0"/>
        <v>3</v>
      </c>
      <c r="B4" s="228">
        <v>45799</v>
      </c>
      <c r="C4" s="229">
        <f>YEAR(Plant_BD[[#This Row],[Date]])+IF(MONTH(Plant_BD[[#This Row],[Date]])&gt;=4,1,0)</f>
        <v>2026</v>
      </c>
      <c r="D4" s="229">
        <f>YEAR(Plant_BD[[#This Row],[Date]])</f>
        <v>2025</v>
      </c>
      <c r="E4" s="230" t="s">
        <v>224</v>
      </c>
      <c r="F4" s="230" t="s">
        <v>224</v>
      </c>
      <c r="G4" s="231">
        <f>Plant_BD[[#This Row],[Date]]-DAY(Plant_BD[[#This Row],[Date]])+1</f>
        <v>45778</v>
      </c>
      <c r="H4" s="232">
        <f>DAY(EOMONTH(Plant_BD[[#This Row],[Month Year]],0))</f>
        <v>31</v>
      </c>
      <c r="I4" s="233">
        <f>_xlfn.XLOOKUP(Plant_BD[[#This Row],[Date]],'Raw Data'!$G:$G,'Raw Data'!$I:$I)</f>
        <v>0.27986111111111112</v>
      </c>
      <c r="J4" s="233">
        <f>_xlfn.XLOOKUP(Plant_BD[[#This Row],[Date]],'Raw Data'!$G:$G,'Raw Data'!$J:$J)</f>
        <v>0.72569444444444442</v>
      </c>
      <c r="K4" s="234">
        <f>IFERROR((Plant_BD[[#This Row],[Sunset Time (POA&lt;20 W/m2)]]-Plant_BD[[#This Row],[Sunrise Time (POA&gt;20 W/m2)]])*24,"")</f>
        <v>10.7</v>
      </c>
      <c r="L4" s="234"/>
      <c r="M4" s="234"/>
      <c r="N4" s="234"/>
      <c r="O4" s="234"/>
      <c r="P4" s="234"/>
      <c r="Q4" s="234"/>
      <c r="R4" s="234"/>
      <c r="S4" s="234"/>
      <c r="T4" s="235" t="s">
        <v>134</v>
      </c>
      <c r="U4" s="236">
        <f>IFERROR(_xlfn.XLOOKUP(Plant_BD[[#This Row],[Affected Equipment]],'Basic Data'!$A:$A,'Basic Data'!$B:$B),"")</f>
        <v>1806.68</v>
      </c>
      <c r="V4" s="247">
        <f>IFERROR(_xlfn.XLOOKUP(Plant_BD[[#This Row],[Affected Equipment]],'Basic Data'!$A:$A,'Basic Data'!$C:$C),"")</f>
        <v>0.15427942929556901</v>
      </c>
      <c r="W4" s="237" t="s">
        <v>134</v>
      </c>
      <c r="X4" s="237" t="s">
        <v>239</v>
      </c>
      <c r="Y4" s="238" t="s">
        <v>482</v>
      </c>
      <c r="Z4" s="239"/>
      <c r="AA4" s="240">
        <v>0.55208333333333337</v>
      </c>
      <c r="AB4" s="240">
        <v>0.55208333333333337</v>
      </c>
      <c r="AC4" s="240">
        <v>0.55277777777777781</v>
      </c>
      <c r="AD4" s="240">
        <v>0.625</v>
      </c>
      <c r="AE4" s="241">
        <f>IF(Plant_BD[[#This Row],[Acknowledgement Time ]]="NA","",(Plant_BD[[#This Row],[Acknowledgement Time ]]-Plant_BD[[#This Row],[Fault Time]])*24)</f>
        <v>0</v>
      </c>
      <c r="AF4" s="241">
        <f>IF(Plant_BD[[#This Row],[Work Start time on Fault]]="NA","",(Plant_BD[[#This Row],[Work Start time on Fault]]-Plant_BD[[#This Row],[Fault Time]])*24)</f>
        <v>1.6666666666666607E-2</v>
      </c>
      <c r="AG4" s="242">
        <f>(Plant_BD[[#This Row],[Work Completion time on fault]]-Plant_BD[[#This Row],[Fault Time]])*24</f>
        <v>1.7499999999999991</v>
      </c>
      <c r="AH4" s="242">
        <f>IFERROR((Plant_BD[[#This Row],[Work Completion time on fault]]-Plant_BD[[#This Row],[Fault Time]])*24,"")</f>
        <v>1.7499999999999991</v>
      </c>
      <c r="AI4" s="243" t="s">
        <v>484</v>
      </c>
      <c r="AJ4" s="244" t="s">
        <v>240</v>
      </c>
      <c r="AK4" s="245">
        <f>IFERROR(Plant_BD[[#This Row],[Breakdown Time]]*Plant_BD[[#This Row],[Plant Equivalent Weightage]],"")</f>
        <v>0.26998900126724562</v>
      </c>
      <c r="AL4" s="244">
        <v>1472</v>
      </c>
      <c r="AM4" s="241">
        <f>Plant_BD[[#This Row],[Lost PoA(kWh/m2)]]*Plant_BD[[#This Row],[DC Capacity Affected (kW)]]*_xlfn.XLOOKUP(Plant_BD[[#This Row],[Month Year]],'Modelling New'!$D:$D,'Modelling New'!$O:$O)</f>
        <v>1945593.0757033788</v>
      </c>
      <c r="AN4" s="244"/>
      <c r="AO4" s="244"/>
      <c r="AP4" s="246"/>
    </row>
    <row r="5" spans="1:42" hidden="1">
      <c r="A5" s="227">
        <f t="shared" si="0"/>
        <v>4</v>
      </c>
      <c r="B5" s="228">
        <v>45799</v>
      </c>
      <c r="C5" s="229">
        <f>YEAR(Plant_BD[[#This Row],[Date]])+IF(MONTH(Plant_BD[[#This Row],[Date]])&gt;=4,1,0)</f>
        <v>2026</v>
      </c>
      <c r="D5" s="229">
        <f>YEAR(Plant_BD[[#This Row],[Date]])</f>
        <v>2025</v>
      </c>
      <c r="E5" s="230" t="s">
        <v>224</v>
      </c>
      <c r="F5" s="230" t="s">
        <v>224</v>
      </c>
      <c r="G5" s="231">
        <f>Plant_BD[[#This Row],[Date]]-DAY(Plant_BD[[#This Row],[Date]])+1</f>
        <v>45778</v>
      </c>
      <c r="H5" s="232">
        <f>DAY(EOMONTH(Plant_BD[[#This Row],[Month Year]],0))</f>
        <v>31</v>
      </c>
      <c r="I5" s="233">
        <f>_xlfn.XLOOKUP(Plant_BD[[#This Row],[Date]],'Raw Data'!$G:$G,'Raw Data'!$I:$I)</f>
        <v>0.27986111111111112</v>
      </c>
      <c r="J5" s="233">
        <f>_xlfn.XLOOKUP(Plant_BD[[#This Row],[Date]],'Raw Data'!$G:$G,'Raw Data'!$J:$J)</f>
        <v>0.72569444444444442</v>
      </c>
      <c r="K5" s="234">
        <f>IFERROR((Plant_BD[[#This Row],[Sunset Time (POA&lt;20 W/m2)]]-Plant_BD[[#This Row],[Sunrise Time (POA&gt;20 W/m2)]])*24,"")</f>
        <v>10.7</v>
      </c>
      <c r="L5" s="234"/>
      <c r="M5" s="234"/>
      <c r="N5" s="234"/>
      <c r="O5" s="234"/>
      <c r="P5" s="234"/>
      <c r="Q5" s="234"/>
      <c r="R5" s="234"/>
      <c r="S5" s="234"/>
      <c r="T5" s="235" t="s">
        <v>134</v>
      </c>
      <c r="U5" s="236">
        <f>IFERROR(_xlfn.XLOOKUP(Plant_BD[[#This Row],[Affected Equipment]],'Basic Data'!$A:$A,'Basic Data'!$B:$B),"")</f>
        <v>1806.68</v>
      </c>
      <c r="V5" s="247">
        <f>IFERROR(_xlfn.XLOOKUP(Plant_BD[[#This Row],[Affected Equipment]],'Basic Data'!$A:$A,'Basic Data'!$C:$C),"")</f>
        <v>0.15427942929556901</v>
      </c>
      <c r="W5" s="237" t="s">
        <v>134</v>
      </c>
      <c r="X5" s="237" t="s">
        <v>239</v>
      </c>
      <c r="Y5" s="238" t="s">
        <v>486</v>
      </c>
      <c r="Z5" s="239"/>
      <c r="AA5" s="240">
        <v>0.44097222222222221</v>
      </c>
      <c r="AB5" s="240">
        <v>0.44166666666666665</v>
      </c>
      <c r="AC5" s="240">
        <v>0.44444444444444442</v>
      </c>
      <c r="AD5" s="240">
        <v>0.44583333333333336</v>
      </c>
      <c r="AE5" s="241">
        <f>IF(Plant_BD[[#This Row],[Acknowledgement Time ]]="NA","",(Plant_BD[[#This Row],[Acknowledgement Time ]]-Plant_BD[[#This Row],[Fault Time]])*24)</f>
        <v>1.6666666666666607E-2</v>
      </c>
      <c r="AF5" s="241">
        <f>IF(Plant_BD[[#This Row],[Work Start time on Fault]]="NA","",(Plant_BD[[#This Row],[Work Start time on Fault]]-Plant_BD[[#This Row],[Fault Time]])*24)</f>
        <v>8.3333333333333037E-2</v>
      </c>
      <c r="AG5" s="242">
        <f>(Plant_BD[[#This Row],[Work Completion time on fault]]-Plant_BD[[#This Row],[Fault Time]])*24</f>
        <v>0.11666666666666758</v>
      </c>
      <c r="AH5" s="242">
        <f>IFERROR((Plant_BD[[#This Row],[Work Completion time on fault]]-Plant_BD[[#This Row],[Fault Time]])*24,"")</f>
        <v>0.11666666666666758</v>
      </c>
      <c r="AI5" s="243" t="s">
        <v>485</v>
      </c>
      <c r="AJ5" s="244" t="s">
        <v>240</v>
      </c>
      <c r="AK5" s="245">
        <f>IFERROR(Plant_BD[[#This Row],[Breakdown Time]]*Plant_BD[[#This Row],[Plant Equivalent Weightage]],"")</f>
        <v>1.7999266751149861E-2</v>
      </c>
      <c r="AL5" s="244">
        <v>102</v>
      </c>
      <c r="AM5" s="241">
        <f>Plant_BD[[#This Row],[Lost PoA(kWh/m2)]]*Plant_BD[[#This Row],[DC Capacity Affected (kW)]]*_xlfn.XLOOKUP(Plant_BD[[#This Row],[Month Year]],'Modelling New'!$D:$D,'Modelling New'!$O:$O)</f>
        <v>134816.91149575045</v>
      </c>
      <c r="AN5" s="244"/>
      <c r="AO5" s="244"/>
      <c r="AP5" s="246"/>
    </row>
    <row r="6" spans="1:42" hidden="1">
      <c r="A6" s="227">
        <f t="shared" si="0"/>
        <v>5</v>
      </c>
      <c r="B6" s="228">
        <v>45800</v>
      </c>
      <c r="C6" s="229">
        <f>YEAR(Plant_BD[[#This Row],[Date]])+IF(MONTH(Plant_BD[[#This Row],[Date]])&gt;=4,1,0)</f>
        <v>2026</v>
      </c>
      <c r="D6" s="229">
        <f>YEAR(Plant_BD[[#This Row],[Date]])</f>
        <v>2025</v>
      </c>
      <c r="E6" s="230" t="s">
        <v>224</v>
      </c>
      <c r="F6" s="230" t="s">
        <v>224</v>
      </c>
      <c r="G6" s="231">
        <f>Plant_BD[[#This Row],[Date]]-DAY(Plant_BD[[#This Row],[Date]])+1</f>
        <v>45778</v>
      </c>
      <c r="H6" s="232">
        <f>DAY(EOMONTH(Plant_BD[[#This Row],[Month Year]],0))</f>
        <v>31</v>
      </c>
      <c r="I6" s="233">
        <f>_xlfn.XLOOKUP(Plant_BD[[#This Row],[Date]],'Raw Data'!$G:$G,'Raw Data'!$I:$I)</f>
        <v>0.25208333333333333</v>
      </c>
      <c r="J6" s="233">
        <f>_xlfn.XLOOKUP(Plant_BD[[#This Row],[Date]],'Raw Data'!$G:$G,'Raw Data'!$J:$J)</f>
        <v>0.77777777777777779</v>
      </c>
      <c r="K6" s="234">
        <f>IFERROR((Plant_BD[[#This Row],[Sunset Time (POA&lt;20 W/m2)]]-Plant_BD[[#This Row],[Sunrise Time (POA&gt;20 W/m2)]])*24,"")</f>
        <v>12.616666666666667</v>
      </c>
      <c r="L6" s="234"/>
      <c r="M6" s="234"/>
      <c r="N6" s="234"/>
      <c r="O6" s="234"/>
      <c r="P6" s="234"/>
      <c r="Q6" s="234"/>
      <c r="R6" s="234"/>
      <c r="S6" s="234"/>
      <c r="T6" s="235" t="s">
        <v>132</v>
      </c>
      <c r="U6" s="236">
        <f>IFERROR(_xlfn.XLOOKUP(Plant_BD[[#This Row],[Affected Equipment]],'Basic Data'!$A:$A,'Basic Data'!$B:$B),"")</f>
        <v>1987.7249999999999</v>
      </c>
      <c r="V6" s="247">
        <f>IFERROR(_xlfn.XLOOKUP(Plant_BD[[#This Row],[Affected Equipment]],'Basic Data'!$A:$A,'Basic Data'!$C:$C),"")</f>
        <v>0.169739565720844</v>
      </c>
      <c r="W6" s="237" t="s">
        <v>132</v>
      </c>
      <c r="X6" s="237" t="s">
        <v>239</v>
      </c>
      <c r="Y6" s="238" t="s">
        <v>486</v>
      </c>
      <c r="Z6" s="239"/>
      <c r="AA6" s="240">
        <v>0.57361111111111107</v>
      </c>
      <c r="AB6" s="240">
        <v>0.58333333333333337</v>
      </c>
      <c r="AC6" s="240">
        <v>0.5854166666666667</v>
      </c>
      <c r="AD6" s="240">
        <v>0.58750000000000002</v>
      </c>
      <c r="AE6" s="241">
        <f>IF(Plant_BD[[#This Row],[Acknowledgement Time ]]="NA","",(Plant_BD[[#This Row],[Acknowledgement Time ]]-Plant_BD[[#This Row],[Fault Time]])*24)</f>
        <v>0.23333333333333517</v>
      </c>
      <c r="AF6" s="241">
        <f>IF(Plant_BD[[#This Row],[Work Start time on Fault]]="NA","",(Plant_BD[[#This Row],[Work Start time on Fault]]-Plant_BD[[#This Row],[Fault Time]])*24)</f>
        <v>0.28333333333333499</v>
      </c>
      <c r="AG6" s="242">
        <f>(Plant_BD[[#This Row],[Work Completion time on fault]]-Plant_BD[[#This Row],[Fault Time]])*24</f>
        <v>0.33333333333333481</v>
      </c>
      <c r="AH6" s="242">
        <f>IFERROR((Plant_BD[[#This Row],[Work Completion time on fault]]-Plant_BD[[#This Row],[Fault Time]])*24,"")</f>
        <v>0.33333333333333481</v>
      </c>
      <c r="AI6" s="243" t="s">
        <v>485</v>
      </c>
      <c r="AJ6" s="244" t="s">
        <v>240</v>
      </c>
      <c r="AK6" s="245">
        <f>IFERROR(Plant_BD[[#This Row],[Breakdown Time]]*Plant_BD[[#This Row],[Plant Equivalent Weightage]],"")</f>
        <v>5.6579855240281585E-2</v>
      </c>
      <c r="AL6" s="244">
        <v>253</v>
      </c>
      <c r="AM6" s="241">
        <f>Plant_BD[[#This Row],[Lost PoA(kWh/m2)]]*Plant_BD[[#This Row],[DC Capacity Affected (kW)]]*_xlfn.XLOOKUP(Plant_BD[[#This Row],[Month Year]],'Modelling New'!$D:$D,'Modelling New'!$O:$O)</f>
        <v>367908.46989045071</v>
      </c>
      <c r="AN6" s="244"/>
      <c r="AO6" s="244"/>
      <c r="AP6" s="246"/>
    </row>
    <row r="7" spans="1:42" hidden="1">
      <c r="A7" s="227">
        <f t="shared" si="0"/>
        <v>6</v>
      </c>
      <c r="B7" s="228">
        <v>45806</v>
      </c>
      <c r="C7" s="229">
        <f>YEAR(Plant_BD[[#This Row],[Date]])+IF(MONTH(Plant_BD[[#This Row],[Date]])&gt;=4,1,0)</f>
        <v>2026</v>
      </c>
      <c r="D7" s="229">
        <f>YEAR(Plant_BD[[#This Row],[Date]])</f>
        <v>2025</v>
      </c>
      <c r="E7" s="230" t="s">
        <v>224</v>
      </c>
      <c r="F7" s="230" t="s">
        <v>224</v>
      </c>
      <c r="G7" s="231">
        <f>Plant_BD[[#This Row],[Date]]-DAY(Plant_BD[[#This Row],[Date]])+1</f>
        <v>45778</v>
      </c>
      <c r="H7" s="232">
        <f>DAY(EOMONTH(Plant_BD[[#This Row],[Month Year]],0))</f>
        <v>31</v>
      </c>
      <c r="I7" s="233">
        <f>_xlfn.XLOOKUP(Plant_BD[[#This Row],[Date]],'Raw Data'!$G:$G,'Raw Data'!$I:$I)</f>
        <v>0.2638888888888889</v>
      </c>
      <c r="J7" s="233">
        <f>_xlfn.XLOOKUP(Plant_BD[[#This Row],[Date]],'Raw Data'!$G:$G,'Raw Data'!$J:$J)</f>
        <v>0.77430555555555558</v>
      </c>
      <c r="K7" s="234">
        <f>IFERROR((Plant_BD[[#This Row],[Sunset Time (POA&lt;20 W/m2)]]-Plant_BD[[#This Row],[Sunrise Time (POA&gt;20 W/m2)]])*24,"")</f>
        <v>12.250000000000002</v>
      </c>
      <c r="L7" s="234"/>
      <c r="M7" s="234"/>
      <c r="N7" s="234"/>
      <c r="O7" s="234"/>
      <c r="P7" s="234"/>
      <c r="Q7" s="234"/>
      <c r="R7" s="234"/>
      <c r="S7" s="234"/>
      <c r="T7" s="235" t="s">
        <v>134</v>
      </c>
      <c r="U7" s="236">
        <f>IFERROR(_xlfn.XLOOKUP(Plant_BD[[#This Row],[Affected Equipment]],'Basic Data'!$A:$A,'Basic Data'!$B:$B),"")</f>
        <v>1806.68</v>
      </c>
      <c r="V7" s="247">
        <f>IFERROR(_xlfn.XLOOKUP(Plant_BD[[#This Row],[Affected Equipment]],'Basic Data'!$A:$A,'Basic Data'!$C:$C),"")</f>
        <v>0.15427942929556901</v>
      </c>
      <c r="W7" s="237" t="s">
        <v>134</v>
      </c>
      <c r="X7" s="237" t="s">
        <v>239</v>
      </c>
      <c r="Y7" s="238" t="s">
        <v>490</v>
      </c>
      <c r="Z7" s="239"/>
      <c r="AA7" s="240">
        <v>0.43472222222222223</v>
      </c>
      <c r="AB7" s="240">
        <v>0.43472222222222223</v>
      </c>
      <c r="AC7" s="240">
        <v>0.43541666666666667</v>
      </c>
      <c r="AD7" s="240">
        <v>0.77430555555555558</v>
      </c>
      <c r="AE7" s="241">
        <f>IF(Plant_BD[[#This Row],[Acknowledgement Time ]]="NA","",(Plant_BD[[#This Row],[Acknowledgement Time ]]-Plant_BD[[#This Row],[Fault Time]])*24)</f>
        <v>0</v>
      </c>
      <c r="AF7" s="241">
        <f>IF(Plant_BD[[#This Row],[Work Start time on Fault]]="NA","",(Plant_BD[[#This Row],[Work Start time on Fault]]-Plant_BD[[#This Row],[Fault Time]])*24)</f>
        <v>1.6666666666666607E-2</v>
      </c>
      <c r="AG7" s="242">
        <f>(Plant_BD[[#This Row],[Work Completion time on fault]]-Plant_BD[[#This Row],[Fault Time]])*24</f>
        <v>8.15</v>
      </c>
      <c r="AH7" s="242">
        <f>IFERROR((Plant_BD[[#This Row],[Work Completion time on fault]]-Plant_BD[[#This Row],[Fault Time]])*24,"")</f>
        <v>8.15</v>
      </c>
      <c r="AI7" s="243" t="s">
        <v>488</v>
      </c>
      <c r="AJ7" s="244" t="s">
        <v>489</v>
      </c>
      <c r="AK7" s="245">
        <f>IFERROR(Plant_BD[[#This Row],[Breakdown Time]]*Plant_BD[[#This Row],[Plant Equivalent Weightage]],"")</f>
        <v>1.2573773487588875</v>
      </c>
      <c r="AL7" s="244">
        <v>3230</v>
      </c>
      <c r="AM7" s="241">
        <f>Plant_BD[[#This Row],[Lost PoA(kWh/m2)]]*Plant_BD[[#This Row],[DC Capacity Affected (kW)]]*_xlfn.XLOOKUP(Plant_BD[[#This Row],[Month Year]],'Modelling New'!$D:$D,'Modelling New'!$O:$O)</f>
        <v>4269202.1973654311</v>
      </c>
      <c r="AN7" s="244"/>
      <c r="AO7" s="244"/>
      <c r="AP7" s="246"/>
    </row>
    <row r="8" spans="1:42" hidden="1">
      <c r="A8" s="227">
        <f t="shared" si="0"/>
        <v>7</v>
      </c>
      <c r="B8" s="228">
        <v>45806</v>
      </c>
      <c r="C8" s="229">
        <f>YEAR(Plant_BD[[#This Row],[Date]])+IF(MONTH(Plant_BD[[#This Row],[Date]])&gt;=4,1,0)</f>
        <v>2026</v>
      </c>
      <c r="D8" s="229">
        <f>YEAR(Plant_BD[[#This Row],[Date]])</f>
        <v>2025</v>
      </c>
      <c r="E8" s="230" t="s">
        <v>224</v>
      </c>
      <c r="F8" s="230" t="s">
        <v>224</v>
      </c>
      <c r="G8" s="231">
        <f>Plant_BD[[#This Row],[Date]]-DAY(Plant_BD[[#This Row],[Date]])+1</f>
        <v>45778</v>
      </c>
      <c r="H8" s="232">
        <f>DAY(EOMONTH(Plant_BD[[#This Row],[Month Year]],0))</f>
        <v>31</v>
      </c>
      <c r="I8" s="233">
        <f>_xlfn.XLOOKUP(Plant_BD[[#This Row],[Date]],'Raw Data'!$G:$G,'Raw Data'!$I:$I)</f>
        <v>0.2638888888888889</v>
      </c>
      <c r="J8" s="233">
        <f>_xlfn.XLOOKUP(Plant_BD[[#This Row],[Date]],'Raw Data'!$G:$G,'Raw Data'!$J:$J)</f>
        <v>0.77430555555555558</v>
      </c>
      <c r="K8" s="234">
        <f>IFERROR((Plant_BD[[#This Row],[Sunset Time (POA&lt;20 W/m2)]]-Plant_BD[[#This Row],[Sunrise Time (POA&gt;20 W/m2)]])*24,"")</f>
        <v>12.250000000000002</v>
      </c>
      <c r="L8" s="234"/>
      <c r="M8" s="234"/>
      <c r="N8" s="234"/>
      <c r="O8" s="234"/>
      <c r="P8" s="234"/>
      <c r="Q8" s="234"/>
      <c r="R8" s="234"/>
      <c r="S8" s="234"/>
      <c r="T8" s="235" t="s">
        <v>132</v>
      </c>
      <c r="U8" s="236">
        <f>IFERROR(_xlfn.XLOOKUP(Plant_BD[[#This Row],[Affected Equipment]],'Basic Data'!$A:$A,'Basic Data'!$B:$B),"")</f>
        <v>1987.7249999999999</v>
      </c>
      <c r="V8" s="247">
        <f>IFERROR(_xlfn.XLOOKUP(Plant_BD[[#This Row],[Affected Equipment]],'Basic Data'!$A:$A,'Basic Data'!$C:$C),"")</f>
        <v>0.169739565720844</v>
      </c>
      <c r="W8" s="237" t="s">
        <v>132</v>
      </c>
      <c r="X8" s="237" t="s">
        <v>239</v>
      </c>
      <c r="Y8" s="238" t="s">
        <v>490</v>
      </c>
      <c r="Z8" s="239"/>
      <c r="AA8" s="240">
        <v>0.43472222222222223</v>
      </c>
      <c r="AB8" s="240">
        <v>0.43472222222222223</v>
      </c>
      <c r="AC8" s="240">
        <v>0.43541666666666667</v>
      </c>
      <c r="AD8" s="240">
        <v>0.77430555555555558</v>
      </c>
      <c r="AE8" s="241">
        <f>IF(Plant_BD[[#This Row],[Acknowledgement Time ]]="NA","",(Plant_BD[[#This Row],[Acknowledgement Time ]]-Plant_BD[[#This Row],[Fault Time]])*24)</f>
        <v>0</v>
      </c>
      <c r="AF8" s="241">
        <f>IF(Plant_BD[[#This Row],[Work Start time on Fault]]="NA","",(Plant_BD[[#This Row],[Work Start time on Fault]]-Plant_BD[[#This Row],[Fault Time]])*24)</f>
        <v>1.6666666666666607E-2</v>
      </c>
      <c r="AG8" s="242">
        <f>(Plant_BD[[#This Row],[Work Completion time on fault]]-Plant_BD[[#This Row],[Fault Time]])*24</f>
        <v>8.15</v>
      </c>
      <c r="AH8" s="242">
        <f>IFERROR((Plant_BD[[#This Row],[Work Completion time on fault]]-Plant_BD[[#This Row],[Fault Time]])*24,"")</f>
        <v>8.15</v>
      </c>
      <c r="AI8" s="243" t="s">
        <v>488</v>
      </c>
      <c r="AJ8" s="244" t="s">
        <v>489</v>
      </c>
      <c r="AK8" s="245">
        <f>IFERROR(Plant_BD[[#This Row],[Breakdown Time]]*Plant_BD[[#This Row],[Plant Equivalent Weightage]],"")</f>
        <v>1.3833774606248788</v>
      </c>
      <c r="AL8" s="244">
        <v>3230</v>
      </c>
      <c r="AM8" s="241">
        <f>Plant_BD[[#This Row],[Lost PoA(kWh/m2)]]*Plant_BD[[#This Row],[DC Capacity Affected (kW)]]*_xlfn.XLOOKUP(Plant_BD[[#This Row],[Month Year]],'Modelling New'!$D:$D,'Modelling New'!$O:$O)</f>
        <v>4697013.2717239354</v>
      </c>
      <c r="AN8" s="244"/>
      <c r="AO8" s="244"/>
      <c r="AP8" s="246"/>
    </row>
    <row r="9" spans="1:42" hidden="1">
      <c r="A9" s="227">
        <f t="shared" si="0"/>
        <v>8</v>
      </c>
      <c r="B9" s="228">
        <v>45806</v>
      </c>
      <c r="C9" s="229">
        <f>YEAR(Plant_BD[[#This Row],[Date]])+IF(MONTH(Plant_BD[[#This Row],[Date]])&gt;=4,1,0)</f>
        <v>2026</v>
      </c>
      <c r="D9" s="229">
        <f>YEAR(Plant_BD[[#This Row],[Date]])</f>
        <v>2025</v>
      </c>
      <c r="E9" s="230" t="s">
        <v>224</v>
      </c>
      <c r="F9" s="230" t="s">
        <v>224</v>
      </c>
      <c r="G9" s="231">
        <f>Plant_BD[[#This Row],[Date]]-DAY(Plant_BD[[#This Row],[Date]])+1</f>
        <v>45778</v>
      </c>
      <c r="H9" s="232">
        <f>DAY(EOMONTH(Plant_BD[[#This Row],[Month Year]],0))</f>
        <v>31</v>
      </c>
      <c r="I9" s="233">
        <f>_xlfn.XLOOKUP(Plant_BD[[#This Row],[Date]],'Raw Data'!$G:$G,'Raw Data'!$I:$I)</f>
        <v>0.2638888888888889</v>
      </c>
      <c r="J9" s="233">
        <f>_xlfn.XLOOKUP(Plant_BD[[#This Row],[Date]],'Raw Data'!$G:$G,'Raw Data'!$J:$J)</f>
        <v>0.77430555555555558</v>
      </c>
      <c r="K9" s="234">
        <f>IFERROR((Plant_BD[[#This Row],[Sunset Time (POA&lt;20 W/m2)]]-Plant_BD[[#This Row],[Sunrise Time (POA&gt;20 W/m2)]])*24,"")</f>
        <v>12.250000000000002</v>
      </c>
      <c r="L9" s="234"/>
      <c r="M9" s="234"/>
      <c r="N9" s="234"/>
      <c r="O9" s="234"/>
      <c r="P9" s="234"/>
      <c r="Q9" s="234"/>
      <c r="R9" s="234"/>
      <c r="S9" s="234"/>
      <c r="T9" s="235" t="s">
        <v>133</v>
      </c>
      <c r="U9" s="236">
        <f>IFERROR(_xlfn.XLOOKUP(Plant_BD[[#This Row],[Affected Equipment]],'Basic Data'!$A:$A,'Basic Data'!$B:$B),"")</f>
        <v>2031.2049999999999</v>
      </c>
      <c r="V9" s="247">
        <f>IFERROR(_xlfn.XLOOKUP(Plant_BD[[#This Row],[Affected Equipment]],'Basic Data'!$A:$A,'Basic Data'!$C:$C),"")</f>
        <v>0.17345249196443499</v>
      </c>
      <c r="W9" s="237" t="s">
        <v>133</v>
      </c>
      <c r="X9" s="237" t="s">
        <v>239</v>
      </c>
      <c r="Y9" s="238" t="s">
        <v>490</v>
      </c>
      <c r="Z9" s="239"/>
      <c r="AA9" s="240">
        <v>0.43472222222222223</v>
      </c>
      <c r="AB9" s="240">
        <v>0.43472222222222223</v>
      </c>
      <c r="AC9" s="240">
        <v>0.43541666666666667</v>
      </c>
      <c r="AD9" s="240">
        <v>0.77430555555555558</v>
      </c>
      <c r="AE9" s="241">
        <f>IF(Plant_BD[[#This Row],[Acknowledgement Time ]]="NA","",(Plant_BD[[#This Row],[Acknowledgement Time ]]-Plant_BD[[#This Row],[Fault Time]])*24)</f>
        <v>0</v>
      </c>
      <c r="AF9" s="241">
        <f>IF(Plant_BD[[#This Row],[Work Start time on Fault]]="NA","",(Plant_BD[[#This Row],[Work Start time on Fault]]-Plant_BD[[#This Row],[Fault Time]])*24)</f>
        <v>1.6666666666666607E-2</v>
      </c>
      <c r="AG9" s="242">
        <f>(Plant_BD[[#This Row],[Work Completion time on fault]]-Plant_BD[[#This Row],[Fault Time]])*24</f>
        <v>8.15</v>
      </c>
      <c r="AH9" s="242">
        <f>IFERROR((Plant_BD[[#This Row],[Work Completion time on fault]]-Plant_BD[[#This Row],[Fault Time]])*24,"")</f>
        <v>8.15</v>
      </c>
      <c r="AI9" s="243" t="s">
        <v>488</v>
      </c>
      <c r="AJ9" s="244" t="s">
        <v>489</v>
      </c>
      <c r="AK9" s="245">
        <f>IFERROR(Plant_BD[[#This Row],[Breakdown Time]]*Plant_BD[[#This Row],[Plant Equivalent Weightage]],"")</f>
        <v>1.4136378095101452</v>
      </c>
      <c r="AL9" s="244">
        <v>3230</v>
      </c>
      <c r="AM9" s="241">
        <f>Plant_BD[[#This Row],[Lost PoA(kWh/m2)]]*Plant_BD[[#This Row],[DC Capacity Affected (kW)]]*_xlfn.XLOOKUP(Plant_BD[[#This Row],[Month Year]],'Modelling New'!$D:$D,'Modelling New'!$O:$O)</f>
        <v>4799756.9294505101</v>
      </c>
      <c r="AN9" s="244"/>
      <c r="AO9" s="244"/>
      <c r="AP9" s="246"/>
    </row>
    <row r="10" spans="1:42" hidden="1">
      <c r="A10" s="227">
        <f t="shared" si="0"/>
        <v>9</v>
      </c>
      <c r="B10" s="228">
        <v>45806</v>
      </c>
      <c r="C10" s="229">
        <f>YEAR(Plant_BD[[#This Row],[Date]])+IF(MONTH(Plant_BD[[#This Row],[Date]])&gt;=4,1,0)</f>
        <v>2026</v>
      </c>
      <c r="D10" s="229">
        <f>YEAR(Plant_BD[[#This Row],[Date]])</f>
        <v>2025</v>
      </c>
      <c r="E10" s="230" t="s">
        <v>224</v>
      </c>
      <c r="F10" s="230" t="s">
        <v>224</v>
      </c>
      <c r="G10" s="231">
        <f>Plant_BD[[#This Row],[Date]]-DAY(Plant_BD[[#This Row],[Date]])+1</f>
        <v>45778</v>
      </c>
      <c r="H10" s="232">
        <f>DAY(EOMONTH(Plant_BD[[#This Row],[Month Year]],0))</f>
        <v>31</v>
      </c>
      <c r="I10" s="233">
        <f>_xlfn.XLOOKUP(Plant_BD[[#This Row],[Date]],'Raw Data'!$G:$G,'Raw Data'!$I:$I)</f>
        <v>0.2638888888888889</v>
      </c>
      <c r="J10" s="233">
        <f>_xlfn.XLOOKUP(Plant_BD[[#This Row],[Date]],'Raw Data'!$G:$G,'Raw Data'!$J:$J)</f>
        <v>0.77430555555555558</v>
      </c>
      <c r="K10" s="234">
        <f>IFERROR((Plant_BD[[#This Row],[Sunset Time (POA&lt;20 W/m2)]]-Plant_BD[[#This Row],[Sunrise Time (POA&gt;20 W/m2)]])*24,"")</f>
        <v>12.250000000000002</v>
      </c>
      <c r="L10" s="234"/>
      <c r="M10" s="234"/>
      <c r="N10" s="234"/>
      <c r="O10" s="234"/>
      <c r="P10" s="234"/>
      <c r="Q10" s="234"/>
      <c r="R10" s="234"/>
      <c r="S10" s="234"/>
      <c r="T10" s="235" t="s">
        <v>134</v>
      </c>
      <c r="U10" s="236">
        <f>IFERROR(_xlfn.XLOOKUP(Plant_BD[[#This Row],[Affected Equipment]],'Basic Data'!$A:$A,'Basic Data'!$B:$B),"")</f>
        <v>1806.68</v>
      </c>
      <c r="V10" s="247">
        <f>IFERROR(_xlfn.XLOOKUP(Plant_BD[[#This Row],[Affected Equipment]],'Basic Data'!$A:$A,'Basic Data'!$C:$C),"")</f>
        <v>0.15427942929556901</v>
      </c>
      <c r="W10" s="237" t="s">
        <v>134</v>
      </c>
      <c r="X10" s="237" t="s">
        <v>239</v>
      </c>
      <c r="Y10" s="238" t="s">
        <v>490</v>
      </c>
      <c r="Z10" s="239"/>
      <c r="AA10" s="240">
        <v>0.43472222222222223</v>
      </c>
      <c r="AB10" s="240">
        <v>0.43472222222222223</v>
      </c>
      <c r="AC10" s="240">
        <v>0.43541666666666667</v>
      </c>
      <c r="AD10" s="240">
        <v>0.77430555555555558</v>
      </c>
      <c r="AE10" s="241">
        <f>IF(Plant_BD[[#This Row],[Acknowledgement Time ]]="NA","",(Plant_BD[[#This Row],[Acknowledgement Time ]]-Plant_BD[[#This Row],[Fault Time]])*24)</f>
        <v>0</v>
      </c>
      <c r="AF10" s="241">
        <f>IF(Plant_BD[[#This Row],[Work Start time on Fault]]="NA","",(Plant_BD[[#This Row],[Work Start time on Fault]]-Plant_BD[[#This Row],[Fault Time]])*24)</f>
        <v>1.6666666666666607E-2</v>
      </c>
      <c r="AG10" s="242">
        <f>(Plant_BD[[#This Row],[Work Completion time on fault]]-Plant_BD[[#This Row],[Fault Time]])*24</f>
        <v>8.15</v>
      </c>
      <c r="AH10" s="242">
        <f>IFERROR((Plant_BD[[#This Row],[Work Completion time on fault]]-Plant_BD[[#This Row],[Fault Time]])*24,"")</f>
        <v>8.15</v>
      </c>
      <c r="AI10" s="243" t="s">
        <v>488</v>
      </c>
      <c r="AJ10" s="244" t="s">
        <v>489</v>
      </c>
      <c r="AK10" s="245">
        <f>IFERROR(Plant_BD[[#This Row],[Breakdown Time]]*Plant_BD[[#This Row],[Plant Equivalent Weightage]],"")</f>
        <v>1.2573773487588875</v>
      </c>
      <c r="AL10" s="244">
        <v>3230</v>
      </c>
      <c r="AM10" s="241">
        <f>Plant_BD[[#This Row],[Lost PoA(kWh/m2)]]*Plant_BD[[#This Row],[DC Capacity Affected (kW)]]*_xlfn.XLOOKUP(Plant_BD[[#This Row],[Month Year]],'Modelling New'!$D:$D,'Modelling New'!$O:$O)</f>
        <v>4269202.1973654311</v>
      </c>
      <c r="AN10" s="244"/>
      <c r="AO10" s="244"/>
      <c r="AP10" s="246"/>
    </row>
    <row r="11" spans="1:42" hidden="1">
      <c r="A11" s="227">
        <f t="shared" si="0"/>
        <v>10</v>
      </c>
      <c r="B11" s="228">
        <v>45807</v>
      </c>
      <c r="C11" s="229">
        <f>YEAR(Plant_BD[[#This Row],[Date]])+IF(MONTH(Plant_BD[[#This Row],[Date]])&gt;=4,1,0)</f>
        <v>2026</v>
      </c>
      <c r="D11" s="229">
        <f>YEAR(Plant_BD[[#This Row],[Date]])</f>
        <v>2025</v>
      </c>
      <c r="E11" s="230" t="s">
        <v>224</v>
      </c>
      <c r="F11" s="230" t="s">
        <v>224</v>
      </c>
      <c r="G11" s="231">
        <f>Plant_BD[[#This Row],[Date]]-DAY(Plant_BD[[#This Row],[Date]])+1</f>
        <v>45778</v>
      </c>
      <c r="H11" s="232">
        <f>DAY(EOMONTH(Plant_BD[[#This Row],[Month Year]],0))</f>
        <v>31</v>
      </c>
      <c r="I11" s="233">
        <f>_xlfn.XLOOKUP(Plant_BD[[#This Row],[Date]],'Raw Data'!$G:$G,'Raw Data'!$I:$I)</f>
        <v>0.25833333333333336</v>
      </c>
      <c r="J11" s="233">
        <f>_xlfn.XLOOKUP(Plant_BD[[#This Row],[Date]],'Raw Data'!$G:$G,'Raw Data'!$J:$J)</f>
        <v>0.77638888888888891</v>
      </c>
      <c r="K11" s="234">
        <f>IFERROR((Plant_BD[[#This Row],[Sunset Time (POA&lt;20 W/m2)]]-Plant_BD[[#This Row],[Sunrise Time (POA&gt;20 W/m2)]])*24,"")</f>
        <v>12.433333333333332</v>
      </c>
      <c r="L11" s="234"/>
      <c r="M11" s="234"/>
      <c r="N11" s="234"/>
      <c r="O11" s="234"/>
      <c r="P11" s="234"/>
      <c r="Q11" s="234"/>
      <c r="R11" s="234"/>
      <c r="S11" s="234"/>
      <c r="T11" s="235" t="s">
        <v>135</v>
      </c>
      <c r="U11" s="236">
        <f>IFERROR(_xlfn.XLOOKUP(Plant_BD[[#This Row],[Affected Equipment]],'Basic Data'!$A:$A,'Basic Data'!$B:$B),"")</f>
        <v>1844.7249999999999</v>
      </c>
      <c r="V11" s="247">
        <f>IFERROR(_xlfn.XLOOKUP(Plant_BD[[#This Row],[Affected Equipment]],'Basic Data'!$A:$A,'Basic Data'!$C:$C),"")</f>
        <v>0.157528239758711</v>
      </c>
      <c r="W11" s="237" t="s">
        <v>135</v>
      </c>
      <c r="X11" s="237" t="s">
        <v>239</v>
      </c>
      <c r="Y11" s="238" t="s">
        <v>490</v>
      </c>
      <c r="Z11" s="239"/>
      <c r="AA11" s="240">
        <v>0.25833333333333336</v>
      </c>
      <c r="AB11" s="240">
        <v>0.25833333333333336</v>
      </c>
      <c r="AC11" s="240">
        <v>0.2590277777777778</v>
      </c>
      <c r="AD11" s="240">
        <v>0.77638888888888891</v>
      </c>
      <c r="AE11" s="241">
        <f>IF(Plant_BD[[#This Row],[Acknowledgement Time ]]="NA","",(Plant_BD[[#This Row],[Acknowledgement Time ]]-Plant_BD[[#This Row],[Fault Time]])*24)</f>
        <v>0</v>
      </c>
      <c r="AF11" s="241">
        <f>IF(Plant_BD[[#This Row],[Work Start time on Fault]]="NA","",(Plant_BD[[#This Row],[Work Start time on Fault]]-Plant_BD[[#This Row],[Fault Time]])*24)</f>
        <v>1.6666666666666607E-2</v>
      </c>
      <c r="AG11" s="242">
        <f>(Plant_BD[[#This Row],[Work Completion time on fault]]-Plant_BD[[#This Row],[Fault Time]])*24</f>
        <v>12.433333333333332</v>
      </c>
      <c r="AH11" s="242">
        <f>IFERROR((Plant_BD[[#This Row],[Work Completion time on fault]]-Plant_BD[[#This Row],[Fault Time]])*24,"")</f>
        <v>12.433333333333332</v>
      </c>
      <c r="AI11" s="243" t="s">
        <v>488</v>
      </c>
      <c r="AJ11" s="244" t="s">
        <v>489</v>
      </c>
      <c r="AK11" s="245">
        <f>IFERROR(Plant_BD[[#This Row],[Breakdown Time]]*Plant_BD[[#This Row],[Plant Equivalent Weightage]],"")</f>
        <v>1.9586011143333064</v>
      </c>
      <c r="AL11" s="244">
        <v>3230</v>
      </c>
      <c r="AM11" s="241">
        <f>Plant_BD[[#This Row],[Lost PoA(kWh/m2)]]*Plant_BD[[#This Row],[DC Capacity Affected (kW)]]*_xlfn.XLOOKUP(Plant_BD[[#This Row],[Month Year]],'Modelling New'!$D:$D,'Modelling New'!$O:$O)</f>
        <v>4359102.8978761835</v>
      </c>
      <c r="AN11" s="244"/>
      <c r="AO11" s="244"/>
      <c r="AP11" s="246"/>
    </row>
    <row r="12" spans="1:42" hidden="1">
      <c r="A12" s="227">
        <f t="shared" si="0"/>
        <v>11</v>
      </c>
      <c r="B12" s="228">
        <v>45807</v>
      </c>
      <c r="C12" s="229">
        <f>YEAR(Plant_BD[[#This Row],[Date]])+IF(MONTH(Plant_BD[[#This Row],[Date]])&gt;=4,1,0)</f>
        <v>2026</v>
      </c>
      <c r="D12" s="229">
        <f>YEAR(Plant_BD[[#This Row],[Date]])</f>
        <v>2025</v>
      </c>
      <c r="E12" s="230" t="s">
        <v>224</v>
      </c>
      <c r="F12" s="230" t="s">
        <v>224</v>
      </c>
      <c r="G12" s="231">
        <f>Plant_BD[[#This Row],[Date]]-DAY(Plant_BD[[#This Row],[Date]])+1</f>
        <v>45778</v>
      </c>
      <c r="H12" s="232">
        <f>DAY(EOMONTH(Plant_BD[[#This Row],[Month Year]],0))</f>
        <v>31</v>
      </c>
      <c r="I12" s="233">
        <f>_xlfn.XLOOKUP(Plant_BD[[#This Row],[Date]],'Raw Data'!$G:$G,'Raw Data'!$I:$I)</f>
        <v>0.25833333333333336</v>
      </c>
      <c r="J12" s="233">
        <f>_xlfn.XLOOKUP(Plant_BD[[#This Row],[Date]],'Raw Data'!$G:$G,'Raw Data'!$J:$J)</f>
        <v>0.77638888888888891</v>
      </c>
      <c r="K12" s="234">
        <f>IFERROR((Plant_BD[[#This Row],[Sunset Time (POA&lt;20 W/m2)]]-Plant_BD[[#This Row],[Sunrise Time (POA&gt;20 W/m2)]])*24,"")</f>
        <v>12.433333333333332</v>
      </c>
      <c r="L12" s="234"/>
      <c r="M12" s="234"/>
      <c r="N12" s="234"/>
      <c r="O12" s="234"/>
      <c r="P12" s="234"/>
      <c r="Q12" s="234"/>
      <c r="R12" s="234"/>
      <c r="S12" s="234"/>
      <c r="T12" s="235" t="s">
        <v>132</v>
      </c>
      <c r="U12" s="236">
        <f>IFERROR(_xlfn.XLOOKUP(Plant_BD[[#This Row],[Affected Equipment]],'Basic Data'!$A:$A,'Basic Data'!$B:$B),"")</f>
        <v>1987.7249999999999</v>
      </c>
      <c r="V12" s="247">
        <f>IFERROR(_xlfn.XLOOKUP(Plant_BD[[#This Row],[Affected Equipment]],'Basic Data'!$A:$A,'Basic Data'!$C:$C),"")</f>
        <v>0.169739565720844</v>
      </c>
      <c r="W12" s="237" t="s">
        <v>132</v>
      </c>
      <c r="X12" s="237" t="s">
        <v>239</v>
      </c>
      <c r="Y12" s="238" t="s">
        <v>490</v>
      </c>
      <c r="Z12" s="239"/>
      <c r="AA12" s="240">
        <v>0.25833333333333336</v>
      </c>
      <c r="AB12" s="240">
        <v>0.25833333333333336</v>
      </c>
      <c r="AC12" s="240">
        <v>0.2590277777777778</v>
      </c>
      <c r="AD12" s="240">
        <v>0.77638888888888891</v>
      </c>
      <c r="AE12" s="241">
        <f>IF(Plant_BD[[#This Row],[Acknowledgement Time ]]="NA","",(Plant_BD[[#This Row],[Acknowledgement Time ]]-Plant_BD[[#This Row],[Fault Time]])*24)</f>
        <v>0</v>
      </c>
      <c r="AF12" s="241">
        <f>IF(Plant_BD[[#This Row],[Work Start time on Fault]]="NA","",(Plant_BD[[#This Row],[Work Start time on Fault]]-Plant_BD[[#This Row],[Fault Time]])*24)</f>
        <v>1.6666666666666607E-2</v>
      </c>
      <c r="AG12" s="242">
        <f>(Plant_BD[[#This Row],[Work Completion time on fault]]-Plant_BD[[#This Row],[Fault Time]])*24</f>
        <v>12.433333333333332</v>
      </c>
      <c r="AH12" s="242">
        <f>IFERROR((Plant_BD[[#This Row],[Work Completion time on fault]]-Plant_BD[[#This Row],[Fault Time]])*24,"")</f>
        <v>12.433333333333332</v>
      </c>
      <c r="AI12" s="243" t="s">
        <v>488</v>
      </c>
      <c r="AJ12" s="244" t="s">
        <v>489</v>
      </c>
      <c r="AK12" s="245">
        <f>IFERROR(Plant_BD[[#This Row],[Breakdown Time]]*Plant_BD[[#This Row],[Plant Equivalent Weightage]],"")</f>
        <v>2.1104286004624937</v>
      </c>
      <c r="AL12" s="244">
        <v>3230</v>
      </c>
      <c r="AM12" s="241">
        <f>Plant_BD[[#This Row],[Lost PoA(kWh/m2)]]*Plant_BD[[#This Row],[DC Capacity Affected (kW)]]*_xlfn.XLOOKUP(Plant_BD[[#This Row],[Month Year]],'Modelling New'!$D:$D,'Modelling New'!$O:$O)</f>
        <v>4697013.2717239354</v>
      </c>
      <c r="AN12" s="244"/>
      <c r="AO12" s="244"/>
      <c r="AP12" s="246"/>
    </row>
    <row r="13" spans="1:42" hidden="1">
      <c r="A13" s="227">
        <f t="shared" si="0"/>
        <v>12</v>
      </c>
      <c r="B13" s="228">
        <v>45807</v>
      </c>
      <c r="C13" s="229">
        <f>YEAR(Plant_BD[[#This Row],[Date]])+IF(MONTH(Plant_BD[[#This Row],[Date]])&gt;=4,1,0)</f>
        <v>2026</v>
      </c>
      <c r="D13" s="229">
        <f>YEAR(Plant_BD[[#This Row],[Date]])</f>
        <v>2025</v>
      </c>
      <c r="E13" s="230" t="s">
        <v>224</v>
      </c>
      <c r="F13" s="230" t="s">
        <v>224</v>
      </c>
      <c r="G13" s="231">
        <f>Plant_BD[[#This Row],[Date]]-DAY(Plant_BD[[#This Row],[Date]])+1</f>
        <v>45778</v>
      </c>
      <c r="H13" s="232">
        <f>DAY(EOMONTH(Plant_BD[[#This Row],[Month Year]],0))</f>
        <v>31</v>
      </c>
      <c r="I13" s="233">
        <f>_xlfn.XLOOKUP(Plant_BD[[#This Row],[Date]],'Raw Data'!$G:$G,'Raw Data'!$I:$I)</f>
        <v>0.25833333333333336</v>
      </c>
      <c r="J13" s="233">
        <f>_xlfn.XLOOKUP(Plant_BD[[#This Row],[Date]],'Raw Data'!$G:$G,'Raw Data'!$J:$J)</f>
        <v>0.77638888888888891</v>
      </c>
      <c r="K13" s="234">
        <f>IFERROR((Plant_BD[[#This Row],[Sunset Time (POA&lt;20 W/m2)]]-Plant_BD[[#This Row],[Sunrise Time (POA&gt;20 W/m2)]])*24,"")</f>
        <v>12.433333333333332</v>
      </c>
      <c r="L13" s="234"/>
      <c r="M13" s="234"/>
      <c r="N13" s="234"/>
      <c r="O13" s="234"/>
      <c r="P13" s="234"/>
      <c r="Q13" s="234"/>
      <c r="R13" s="234"/>
      <c r="S13" s="234"/>
      <c r="T13" s="235" t="s">
        <v>133</v>
      </c>
      <c r="U13" s="236">
        <f>IFERROR(_xlfn.XLOOKUP(Plant_BD[[#This Row],[Affected Equipment]],'Basic Data'!$A:$A,'Basic Data'!$B:$B),"")</f>
        <v>2031.2049999999999</v>
      </c>
      <c r="V13" s="247">
        <f>IFERROR(_xlfn.XLOOKUP(Plant_BD[[#This Row],[Affected Equipment]],'Basic Data'!$A:$A,'Basic Data'!$C:$C),"")</f>
        <v>0.17345249196443499</v>
      </c>
      <c r="W13" s="237" t="s">
        <v>133</v>
      </c>
      <c r="X13" s="237" t="s">
        <v>239</v>
      </c>
      <c r="Y13" s="238" t="s">
        <v>490</v>
      </c>
      <c r="Z13" s="239"/>
      <c r="AA13" s="240">
        <v>0.25833333333333336</v>
      </c>
      <c r="AB13" s="240">
        <v>0.25833333333333336</v>
      </c>
      <c r="AC13" s="240">
        <v>0.2590277777777778</v>
      </c>
      <c r="AD13" s="240">
        <v>0.77638888888888891</v>
      </c>
      <c r="AE13" s="241">
        <f>IF(Plant_BD[[#This Row],[Acknowledgement Time ]]="NA","",(Plant_BD[[#This Row],[Acknowledgement Time ]]-Plant_BD[[#This Row],[Fault Time]])*24)</f>
        <v>0</v>
      </c>
      <c r="AF13" s="241">
        <f>IF(Plant_BD[[#This Row],[Work Start time on Fault]]="NA","",(Plant_BD[[#This Row],[Work Start time on Fault]]-Plant_BD[[#This Row],[Fault Time]])*24)</f>
        <v>1.6666666666666607E-2</v>
      </c>
      <c r="AG13" s="242">
        <f>(Plant_BD[[#This Row],[Work Completion time on fault]]-Plant_BD[[#This Row],[Fault Time]])*24</f>
        <v>12.433333333333332</v>
      </c>
      <c r="AH13" s="242">
        <f>IFERROR((Plant_BD[[#This Row],[Work Completion time on fault]]-Plant_BD[[#This Row],[Fault Time]])*24,"")</f>
        <v>12.433333333333332</v>
      </c>
      <c r="AI13" s="243" t="s">
        <v>488</v>
      </c>
      <c r="AJ13" s="244" t="s">
        <v>489</v>
      </c>
      <c r="AK13" s="245">
        <f>IFERROR(Plant_BD[[#This Row],[Breakdown Time]]*Plant_BD[[#This Row],[Plant Equivalent Weightage]],"")</f>
        <v>2.1565926500911416</v>
      </c>
      <c r="AL13" s="244">
        <v>3230</v>
      </c>
      <c r="AM13" s="241">
        <f>Plant_BD[[#This Row],[Lost PoA(kWh/m2)]]*Plant_BD[[#This Row],[DC Capacity Affected (kW)]]*_xlfn.XLOOKUP(Plant_BD[[#This Row],[Month Year]],'Modelling New'!$D:$D,'Modelling New'!$O:$O)</f>
        <v>4799756.9294505101</v>
      </c>
      <c r="AN13" s="244"/>
      <c r="AO13" s="244"/>
      <c r="AP13" s="246"/>
    </row>
    <row r="14" spans="1:42" hidden="1">
      <c r="A14" s="227">
        <f t="shared" si="0"/>
        <v>13</v>
      </c>
      <c r="B14" s="228">
        <v>45807</v>
      </c>
      <c r="C14" s="229">
        <f>YEAR(Plant_BD[[#This Row],[Date]])+IF(MONTH(Plant_BD[[#This Row],[Date]])&gt;=4,1,0)</f>
        <v>2026</v>
      </c>
      <c r="D14" s="229">
        <f>YEAR(Plant_BD[[#This Row],[Date]])</f>
        <v>2025</v>
      </c>
      <c r="E14" s="230" t="s">
        <v>224</v>
      </c>
      <c r="F14" s="230" t="s">
        <v>224</v>
      </c>
      <c r="G14" s="231">
        <f>Plant_BD[[#This Row],[Date]]-DAY(Plant_BD[[#This Row],[Date]])+1</f>
        <v>45778</v>
      </c>
      <c r="H14" s="232">
        <f>DAY(EOMONTH(Plant_BD[[#This Row],[Month Year]],0))</f>
        <v>31</v>
      </c>
      <c r="I14" s="233">
        <f>_xlfn.XLOOKUP(Plant_BD[[#This Row],[Date]],'Raw Data'!$G:$G,'Raw Data'!$I:$I)</f>
        <v>0.25833333333333336</v>
      </c>
      <c r="J14" s="233">
        <f>_xlfn.XLOOKUP(Plant_BD[[#This Row],[Date]],'Raw Data'!$G:$G,'Raw Data'!$J:$J)</f>
        <v>0.77638888888888891</v>
      </c>
      <c r="K14" s="234">
        <f>IFERROR((Plant_BD[[#This Row],[Sunset Time (POA&lt;20 W/m2)]]-Plant_BD[[#This Row],[Sunrise Time (POA&gt;20 W/m2)]])*24,"")</f>
        <v>12.433333333333332</v>
      </c>
      <c r="L14" s="234"/>
      <c r="M14" s="234"/>
      <c r="N14" s="234"/>
      <c r="O14" s="234"/>
      <c r="P14" s="234"/>
      <c r="Q14" s="234"/>
      <c r="R14" s="234"/>
      <c r="S14" s="234"/>
      <c r="T14" s="235" t="s">
        <v>134</v>
      </c>
      <c r="U14" s="236">
        <f>IFERROR(_xlfn.XLOOKUP(Plant_BD[[#This Row],[Affected Equipment]],'Basic Data'!$A:$A,'Basic Data'!$B:$B),"")</f>
        <v>1806.68</v>
      </c>
      <c r="V14" s="247">
        <f>IFERROR(_xlfn.XLOOKUP(Plant_BD[[#This Row],[Affected Equipment]],'Basic Data'!$A:$A,'Basic Data'!$C:$C),"")</f>
        <v>0.15427942929556901</v>
      </c>
      <c r="W14" s="237" t="s">
        <v>134</v>
      </c>
      <c r="X14" s="237" t="s">
        <v>239</v>
      </c>
      <c r="Y14" s="238" t="s">
        <v>490</v>
      </c>
      <c r="Z14" s="239"/>
      <c r="AA14" s="240">
        <v>0.25833333333333336</v>
      </c>
      <c r="AB14" s="240">
        <v>0.25833333333333336</v>
      </c>
      <c r="AC14" s="240">
        <v>0.2590277777777778</v>
      </c>
      <c r="AD14" s="240">
        <v>0.77638888888888891</v>
      </c>
      <c r="AE14" s="241">
        <f>IF(Plant_BD[[#This Row],[Acknowledgement Time ]]="NA","",(Plant_BD[[#This Row],[Acknowledgement Time ]]-Plant_BD[[#This Row],[Fault Time]])*24)</f>
        <v>0</v>
      </c>
      <c r="AF14" s="241">
        <f>IF(Plant_BD[[#This Row],[Work Start time on Fault]]="NA","",(Plant_BD[[#This Row],[Work Start time on Fault]]-Plant_BD[[#This Row],[Fault Time]])*24)</f>
        <v>1.6666666666666607E-2</v>
      </c>
      <c r="AG14" s="242">
        <f>(Plant_BD[[#This Row],[Work Completion time on fault]]-Plant_BD[[#This Row],[Fault Time]])*24</f>
        <v>12.433333333333332</v>
      </c>
      <c r="AH14" s="242">
        <f>IFERROR((Plant_BD[[#This Row],[Work Completion time on fault]]-Plant_BD[[#This Row],[Fault Time]])*24,"")</f>
        <v>12.433333333333332</v>
      </c>
      <c r="AI14" s="243" t="s">
        <v>488</v>
      </c>
      <c r="AJ14" s="244" t="s">
        <v>489</v>
      </c>
      <c r="AK14" s="245">
        <f>IFERROR(Plant_BD[[#This Row],[Breakdown Time]]*Plant_BD[[#This Row],[Plant Equivalent Weightage]],"")</f>
        <v>1.9182075709082411</v>
      </c>
      <c r="AL14" s="244">
        <v>3230</v>
      </c>
      <c r="AM14" s="241">
        <f>Plant_BD[[#This Row],[Lost PoA(kWh/m2)]]*Plant_BD[[#This Row],[DC Capacity Affected (kW)]]*_xlfn.XLOOKUP(Plant_BD[[#This Row],[Month Year]],'Modelling New'!$D:$D,'Modelling New'!$O:$O)</f>
        <v>4269202.1973654311</v>
      </c>
      <c r="AN14" s="244"/>
      <c r="AO14" s="244"/>
      <c r="AP14" s="246"/>
    </row>
    <row r="15" spans="1:42" hidden="1">
      <c r="A15" s="227">
        <f t="shared" si="0"/>
        <v>14</v>
      </c>
      <c r="B15" s="228">
        <v>45808</v>
      </c>
      <c r="C15" s="229">
        <f>YEAR(Plant_BD[[#This Row],[Date]])+IF(MONTH(Plant_BD[[#This Row],[Date]])&gt;=4,1,0)</f>
        <v>2026</v>
      </c>
      <c r="D15" s="229">
        <f>YEAR(Plant_BD[[#This Row],[Date]])</f>
        <v>2025</v>
      </c>
      <c r="E15" s="230" t="s">
        <v>224</v>
      </c>
      <c r="F15" s="230" t="s">
        <v>224</v>
      </c>
      <c r="G15" s="231">
        <f>Plant_BD[[#This Row],[Date]]-DAY(Plant_BD[[#This Row],[Date]])+1</f>
        <v>45778</v>
      </c>
      <c r="H15" s="232">
        <f>DAY(EOMONTH(Plant_BD[[#This Row],[Month Year]],0))</f>
        <v>31</v>
      </c>
      <c r="I15" s="233">
        <f>_xlfn.XLOOKUP(Plant_BD[[#This Row],[Date]],'Raw Data'!$G:$G,'Raw Data'!$I:$I)</f>
        <v>0.24444444444444444</v>
      </c>
      <c r="J15" s="233">
        <f>_xlfn.XLOOKUP(Plant_BD[[#This Row],[Date]],'Raw Data'!$G:$G,'Raw Data'!$J:$J)</f>
        <v>0.77569444444444446</v>
      </c>
      <c r="K15" s="234">
        <f>IFERROR((Plant_BD[[#This Row],[Sunset Time (POA&lt;20 W/m2)]]-Plant_BD[[#This Row],[Sunrise Time (POA&gt;20 W/m2)]])*24,"")</f>
        <v>12.75</v>
      </c>
      <c r="L15" s="234"/>
      <c r="M15" s="234"/>
      <c r="N15" s="234"/>
      <c r="O15" s="234"/>
      <c r="P15" s="234"/>
      <c r="Q15" s="234"/>
      <c r="R15" s="234"/>
      <c r="S15" s="234"/>
      <c r="T15" s="235" t="s">
        <v>135</v>
      </c>
      <c r="U15" s="236">
        <f>IFERROR(_xlfn.XLOOKUP(Plant_BD[[#This Row],[Affected Equipment]],'Basic Data'!$A:$A,'Basic Data'!$B:$B),"")</f>
        <v>1844.7249999999999</v>
      </c>
      <c r="V15" s="247">
        <f>IFERROR(_xlfn.XLOOKUP(Plant_BD[[#This Row],[Affected Equipment]],'Basic Data'!$A:$A,'Basic Data'!$C:$C),"")</f>
        <v>0.157528239758711</v>
      </c>
      <c r="W15" s="237" t="s">
        <v>135</v>
      </c>
      <c r="X15" s="237" t="s">
        <v>239</v>
      </c>
      <c r="Y15" s="238" t="s">
        <v>490</v>
      </c>
      <c r="Z15" s="239"/>
      <c r="AA15" s="240">
        <v>0.24444444444444444</v>
      </c>
      <c r="AB15" s="240">
        <v>0.24444444444444444</v>
      </c>
      <c r="AC15" s="240">
        <v>0.25</v>
      </c>
      <c r="AD15" s="240">
        <v>0.3125</v>
      </c>
      <c r="AE15" s="241">
        <f>IF(Plant_BD[[#This Row],[Acknowledgement Time ]]="NA","",(Plant_BD[[#This Row],[Acknowledgement Time ]]-Plant_BD[[#This Row],[Fault Time]])*24)</f>
        <v>0</v>
      </c>
      <c r="AF15" s="241">
        <f>IF(Plant_BD[[#This Row],[Work Start time on Fault]]="NA","",(Plant_BD[[#This Row],[Work Start time on Fault]]-Plant_BD[[#This Row],[Fault Time]])*24)</f>
        <v>0.13333333333333353</v>
      </c>
      <c r="AG15" s="242">
        <f>(Plant_BD[[#This Row],[Work Completion time on fault]]-Plant_BD[[#This Row],[Fault Time]])*24</f>
        <v>1.6333333333333335</v>
      </c>
      <c r="AH15" s="242">
        <f>IFERROR((Plant_BD[[#This Row],[Work Completion time on fault]]-Plant_BD[[#This Row],[Fault Time]])*24,"")</f>
        <v>1.6333333333333335</v>
      </c>
      <c r="AI15" s="243" t="s">
        <v>488</v>
      </c>
      <c r="AJ15" s="244" t="s">
        <v>491</v>
      </c>
      <c r="AK15" s="245">
        <f>IFERROR(Plant_BD[[#This Row],[Breakdown Time]]*Plant_BD[[#This Row],[Plant Equivalent Weightage]],"")</f>
        <v>0.25729612493922799</v>
      </c>
      <c r="AL15" s="244">
        <v>245</v>
      </c>
      <c r="AM15" s="241">
        <f>Plant_BD[[#This Row],[Lost PoA(kWh/m2)]]*Plant_BD[[#This Row],[DC Capacity Affected (kW)]]*_xlfn.XLOOKUP(Plant_BD[[#This Row],[Month Year]],'Modelling New'!$D:$D,'Modelling New'!$O:$O)</f>
        <v>330644.02785748144</v>
      </c>
      <c r="AN15" s="244"/>
      <c r="AO15" s="244"/>
      <c r="AP15" s="246"/>
    </row>
    <row r="16" spans="1:42" hidden="1">
      <c r="A16" s="227">
        <f t="shared" si="0"/>
        <v>15</v>
      </c>
      <c r="B16" s="228">
        <v>45808</v>
      </c>
      <c r="C16" s="229">
        <f>YEAR(Plant_BD[[#This Row],[Date]])+IF(MONTH(Plant_BD[[#This Row],[Date]])&gt;=4,1,0)</f>
        <v>2026</v>
      </c>
      <c r="D16" s="229">
        <f>YEAR(Plant_BD[[#This Row],[Date]])</f>
        <v>2025</v>
      </c>
      <c r="E16" s="230" t="s">
        <v>224</v>
      </c>
      <c r="F16" s="230" t="s">
        <v>224</v>
      </c>
      <c r="G16" s="231">
        <f>Plant_BD[[#This Row],[Date]]-DAY(Plant_BD[[#This Row],[Date]])+1</f>
        <v>45778</v>
      </c>
      <c r="H16" s="232">
        <f>DAY(EOMONTH(Plant_BD[[#This Row],[Month Year]],0))</f>
        <v>31</v>
      </c>
      <c r="I16" s="233">
        <f>_xlfn.XLOOKUP(Plant_BD[[#This Row],[Date]],'Raw Data'!$G:$G,'Raw Data'!$I:$I)</f>
        <v>0.24444444444444444</v>
      </c>
      <c r="J16" s="233">
        <f>_xlfn.XLOOKUP(Plant_BD[[#This Row],[Date]],'Raw Data'!$G:$G,'Raw Data'!$J:$J)</f>
        <v>0.77569444444444446</v>
      </c>
      <c r="K16" s="234">
        <f>IFERROR((Plant_BD[[#This Row],[Sunset Time (POA&lt;20 W/m2)]]-Plant_BD[[#This Row],[Sunrise Time (POA&gt;20 W/m2)]])*24,"")</f>
        <v>12.75</v>
      </c>
      <c r="L16" s="234"/>
      <c r="M16" s="234"/>
      <c r="N16" s="234"/>
      <c r="O16" s="234"/>
      <c r="P16" s="234"/>
      <c r="Q16" s="234"/>
      <c r="R16" s="234"/>
      <c r="S16" s="234"/>
      <c r="T16" s="235" t="s">
        <v>132</v>
      </c>
      <c r="U16" s="236">
        <f>IFERROR(_xlfn.XLOOKUP(Plant_BD[[#This Row],[Affected Equipment]],'Basic Data'!$A:$A,'Basic Data'!$B:$B),"")</f>
        <v>1987.7249999999999</v>
      </c>
      <c r="V16" s="247">
        <f>IFERROR(_xlfn.XLOOKUP(Plant_BD[[#This Row],[Affected Equipment]],'Basic Data'!$A:$A,'Basic Data'!$C:$C),"")</f>
        <v>0.169739565720844</v>
      </c>
      <c r="W16" s="237" t="s">
        <v>132</v>
      </c>
      <c r="X16" s="237" t="s">
        <v>239</v>
      </c>
      <c r="Y16" s="238" t="s">
        <v>490</v>
      </c>
      <c r="Z16" s="239"/>
      <c r="AA16" s="240">
        <v>0.24444444444444444</v>
      </c>
      <c r="AB16" s="240">
        <v>0.24444444444444444</v>
      </c>
      <c r="AC16" s="240">
        <v>0.28125</v>
      </c>
      <c r="AD16" s="240">
        <v>0.3125</v>
      </c>
      <c r="AE16" s="241">
        <f>IF(Plant_BD[[#This Row],[Acknowledgement Time ]]="NA","",(Plant_BD[[#This Row],[Acknowledgement Time ]]-Plant_BD[[#This Row],[Fault Time]])*24)</f>
        <v>0</v>
      </c>
      <c r="AF16" s="241">
        <f>IF(Plant_BD[[#This Row],[Work Start time on Fault]]="NA","",(Plant_BD[[#This Row],[Work Start time on Fault]]-Plant_BD[[#This Row],[Fault Time]])*24)</f>
        <v>0.88333333333333353</v>
      </c>
      <c r="AG16" s="242">
        <f>(Plant_BD[[#This Row],[Work Completion time on fault]]-Plant_BD[[#This Row],[Fault Time]])*24</f>
        <v>1.6333333333333335</v>
      </c>
      <c r="AH16" s="242">
        <f>IFERROR((Plant_BD[[#This Row],[Work Completion time on fault]]-Plant_BD[[#This Row],[Fault Time]])*24,"")</f>
        <v>1.6333333333333335</v>
      </c>
      <c r="AI16" s="243" t="s">
        <v>488</v>
      </c>
      <c r="AJ16" s="244" t="s">
        <v>491</v>
      </c>
      <c r="AK16" s="245">
        <f>IFERROR(Plant_BD[[#This Row],[Breakdown Time]]*Plant_BD[[#This Row],[Plant Equivalent Weightage]],"")</f>
        <v>0.27724129067737857</v>
      </c>
      <c r="AL16" s="244">
        <v>245</v>
      </c>
      <c r="AM16" s="241">
        <f>Plant_BD[[#This Row],[Lost PoA(kWh/m2)]]*Plant_BD[[#This Row],[DC Capacity Affected (kW)]]*_xlfn.XLOOKUP(Plant_BD[[#This Row],[Month Year]],'Modelling New'!$D:$D,'Modelling New'!$O:$O)</f>
        <v>356275.0004868001</v>
      </c>
      <c r="AN16" s="244"/>
      <c r="AO16" s="244"/>
      <c r="AP16" s="246"/>
    </row>
    <row r="17" spans="1:42" hidden="1">
      <c r="A17" s="227">
        <f t="shared" si="0"/>
        <v>16</v>
      </c>
      <c r="B17" s="228">
        <v>45808</v>
      </c>
      <c r="C17" s="229">
        <f>YEAR(Plant_BD[[#This Row],[Date]])+IF(MONTH(Plant_BD[[#This Row],[Date]])&gt;=4,1,0)</f>
        <v>2026</v>
      </c>
      <c r="D17" s="229">
        <f>YEAR(Plant_BD[[#This Row],[Date]])</f>
        <v>2025</v>
      </c>
      <c r="E17" s="230" t="s">
        <v>224</v>
      </c>
      <c r="F17" s="230" t="s">
        <v>224</v>
      </c>
      <c r="G17" s="231">
        <f>Plant_BD[[#This Row],[Date]]-DAY(Plant_BD[[#This Row],[Date]])+1</f>
        <v>45778</v>
      </c>
      <c r="H17" s="232">
        <f>DAY(EOMONTH(Plant_BD[[#This Row],[Month Year]],0))</f>
        <v>31</v>
      </c>
      <c r="I17" s="233">
        <f>_xlfn.XLOOKUP(Plant_BD[[#This Row],[Date]],'Raw Data'!$G:$G,'Raw Data'!$I:$I)</f>
        <v>0.24444444444444444</v>
      </c>
      <c r="J17" s="233">
        <f>_xlfn.XLOOKUP(Plant_BD[[#This Row],[Date]],'Raw Data'!$G:$G,'Raw Data'!$J:$J)</f>
        <v>0.77569444444444446</v>
      </c>
      <c r="K17" s="234">
        <f>IFERROR((Plant_BD[[#This Row],[Sunset Time (POA&lt;20 W/m2)]]-Plant_BD[[#This Row],[Sunrise Time (POA&gt;20 W/m2)]])*24,"")</f>
        <v>12.75</v>
      </c>
      <c r="L17" s="234"/>
      <c r="M17" s="234"/>
      <c r="N17" s="234"/>
      <c r="O17" s="234"/>
      <c r="P17" s="234"/>
      <c r="Q17" s="234"/>
      <c r="R17" s="234"/>
      <c r="S17" s="234"/>
      <c r="T17" s="235" t="s">
        <v>133</v>
      </c>
      <c r="U17" s="236">
        <f>IFERROR(_xlfn.XLOOKUP(Plant_BD[[#This Row],[Affected Equipment]],'Basic Data'!$A:$A,'Basic Data'!$B:$B),"")</f>
        <v>2031.2049999999999</v>
      </c>
      <c r="V17" s="247">
        <f>IFERROR(_xlfn.XLOOKUP(Plant_BD[[#This Row],[Affected Equipment]],'Basic Data'!$A:$A,'Basic Data'!$C:$C),"")</f>
        <v>0.17345249196443499</v>
      </c>
      <c r="W17" s="237" t="s">
        <v>133</v>
      </c>
      <c r="X17" s="237" t="s">
        <v>239</v>
      </c>
      <c r="Y17" s="238" t="s">
        <v>490</v>
      </c>
      <c r="Z17" s="239"/>
      <c r="AA17" s="240">
        <v>0.24444444444444444</v>
      </c>
      <c r="AB17" s="240">
        <v>0.24444444444444444</v>
      </c>
      <c r="AC17" s="240">
        <v>0.29166666666666669</v>
      </c>
      <c r="AD17" s="240">
        <v>0.3125</v>
      </c>
      <c r="AE17" s="241">
        <f>IF(Plant_BD[[#This Row],[Acknowledgement Time ]]="NA","",(Plant_BD[[#This Row],[Acknowledgement Time ]]-Plant_BD[[#This Row],[Fault Time]])*24)</f>
        <v>0</v>
      </c>
      <c r="AF17" s="241">
        <f>IF(Plant_BD[[#This Row],[Work Start time on Fault]]="NA","",(Plant_BD[[#This Row],[Work Start time on Fault]]-Plant_BD[[#This Row],[Fault Time]])*24)</f>
        <v>1.133333333333334</v>
      </c>
      <c r="AG17" s="242">
        <f>(Plant_BD[[#This Row],[Work Completion time on fault]]-Plant_BD[[#This Row],[Fault Time]])*24</f>
        <v>1.6333333333333335</v>
      </c>
      <c r="AH17" s="242">
        <f>IFERROR((Plant_BD[[#This Row],[Work Completion time on fault]]-Plant_BD[[#This Row],[Fault Time]])*24,"")</f>
        <v>1.6333333333333335</v>
      </c>
      <c r="AI17" s="243" t="s">
        <v>488</v>
      </c>
      <c r="AJ17" s="244" t="s">
        <v>491</v>
      </c>
      <c r="AK17" s="245">
        <f>IFERROR(Plant_BD[[#This Row],[Breakdown Time]]*Plant_BD[[#This Row],[Plant Equivalent Weightage]],"")</f>
        <v>0.28330573687524385</v>
      </c>
      <c r="AL17" s="244">
        <v>245</v>
      </c>
      <c r="AM17" s="241">
        <f>Plant_BD[[#This Row],[Lost PoA(kWh/m2)]]*Plant_BD[[#This Row],[DC Capacity Affected (kW)]]*_xlfn.XLOOKUP(Plant_BD[[#This Row],[Month Year]],'Modelling New'!$D:$D,'Modelling New'!$O:$O)</f>
        <v>364068.25006667961</v>
      </c>
      <c r="AN17" s="244"/>
      <c r="AO17" s="244"/>
      <c r="AP17" s="246"/>
    </row>
    <row r="18" spans="1:42" hidden="1">
      <c r="A18" s="227">
        <f t="shared" si="0"/>
        <v>17</v>
      </c>
      <c r="B18" s="228">
        <v>45808</v>
      </c>
      <c r="C18" s="229">
        <f>YEAR(Plant_BD[[#This Row],[Date]])+IF(MONTH(Plant_BD[[#This Row],[Date]])&gt;=4,1,0)</f>
        <v>2026</v>
      </c>
      <c r="D18" s="229">
        <f>YEAR(Plant_BD[[#This Row],[Date]])</f>
        <v>2025</v>
      </c>
      <c r="E18" s="230" t="s">
        <v>224</v>
      </c>
      <c r="F18" s="230" t="s">
        <v>224</v>
      </c>
      <c r="G18" s="231">
        <f>Plant_BD[[#This Row],[Date]]-DAY(Plant_BD[[#This Row],[Date]])+1</f>
        <v>45778</v>
      </c>
      <c r="H18" s="232">
        <f>DAY(EOMONTH(Plant_BD[[#This Row],[Month Year]],0))</f>
        <v>31</v>
      </c>
      <c r="I18" s="233">
        <f>_xlfn.XLOOKUP(Plant_BD[[#This Row],[Date]],'Raw Data'!$G:$G,'Raw Data'!$I:$I)</f>
        <v>0.24444444444444444</v>
      </c>
      <c r="J18" s="233">
        <f>_xlfn.XLOOKUP(Plant_BD[[#This Row],[Date]],'Raw Data'!$G:$G,'Raw Data'!$J:$J)</f>
        <v>0.77569444444444446</v>
      </c>
      <c r="K18" s="234">
        <f>IFERROR((Plant_BD[[#This Row],[Sunset Time (POA&lt;20 W/m2)]]-Plant_BD[[#This Row],[Sunrise Time (POA&gt;20 W/m2)]])*24,"")</f>
        <v>12.75</v>
      </c>
      <c r="L18" s="234"/>
      <c r="M18" s="234"/>
      <c r="N18" s="234"/>
      <c r="O18" s="234"/>
      <c r="P18" s="234"/>
      <c r="Q18" s="234"/>
      <c r="R18" s="234"/>
      <c r="S18" s="234"/>
      <c r="T18" s="235" t="s">
        <v>134</v>
      </c>
      <c r="U18" s="236">
        <f>IFERROR(_xlfn.XLOOKUP(Plant_BD[[#This Row],[Affected Equipment]],'Basic Data'!$A:$A,'Basic Data'!$B:$B),"")</f>
        <v>1806.68</v>
      </c>
      <c r="V18" s="247">
        <f>IFERROR(_xlfn.XLOOKUP(Plant_BD[[#This Row],[Affected Equipment]],'Basic Data'!$A:$A,'Basic Data'!$C:$C),"")</f>
        <v>0.15427942929556901</v>
      </c>
      <c r="W18" s="237" t="s">
        <v>134</v>
      </c>
      <c r="X18" s="237" t="s">
        <v>239</v>
      </c>
      <c r="Y18" s="238" t="s">
        <v>490</v>
      </c>
      <c r="Z18" s="239"/>
      <c r="AA18" s="240">
        <v>0.24444444444444444</v>
      </c>
      <c r="AB18" s="240">
        <v>0.24444444444444444</v>
      </c>
      <c r="AC18" s="240">
        <v>0.30208333333333331</v>
      </c>
      <c r="AD18" s="240">
        <v>0.3125</v>
      </c>
      <c r="AE18" s="241">
        <f>IF(Plant_BD[[#This Row],[Acknowledgement Time ]]="NA","",(Plant_BD[[#This Row],[Acknowledgement Time ]]-Plant_BD[[#This Row],[Fault Time]])*24)</f>
        <v>0</v>
      </c>
      <c r="AF18" s="241">
        <f>IF(Plant_BD[[#This Row],[Work Start time on Fault]]="NA","",(Plant_BD[[#This Row],[Work Start time on Fault]]-Plant_BD[[#This Row],[Fault Time]])*24)</f>
        <v>1.3833333333333331</v>
      </c>
      <c r="AG18" s="242">
        <f>(Plant_BD[[#This Row],[Work Completion time on fault]]-Plant_BD[[#This Row],[Fault Time]])*24</f>
        <v>1.6333333333333335</v>
      </c>
      <c r="AH18" s="242">
        <f>IFERROR((Plant_BD[[#This Row],[Work Completion time on fault]]-Plant_BD[[#This Row],[Fault Time]])*24,"")</f>
        <v>1.6333333333333335</v>
      </c>
      <c r="AI18" s="243" t="s">
        <v>488</v>
      </c>
      <c r="AJ18" s="244" t="s">
        <v>491</v>
      </c>
      <c r="AK18" s="245">
        <f>IFERROR(Plant_BD[[#This Row],[Breakdown Time]]*Plant_BD[[#This Row],[Plant Equivalent Weightage]],"")</f>
        <v>0.25198973451609608</v>
      </c>
      <c r="AL18" s="244">
        <v>245</v>
      </c>
      <c r="AM18" s="241">
        <f>Plant_BD[[#This Row],[Lost PoA(kWh/m2)]]*Plant_BD[[#This Row],[DC Capacity Affected (kW)]]*_xlfn.XLOOKUP(Plant_BD[[#This Row],[Month Year]],'Modelling New'!$D:$D,'Modelling New'!$O:$O)</f>
        <v>323824.93447508686</v>
      </c>
      <c r="AN18" s="244"/>
      <c r="AO18" s="244"/>
      <c r="AP18" s="246"/>
    </row>
    <row r="19" spans="1:42" hidden="1">
      <c r="A19" s="227">
        <f t="shared" si="0"/>
        <v>18</v>
      </c>
      <c r="B19" s="228">
        <v>45810</v>
      </c>
      <c r="C19" s="229">
        <f>YEAR(Plant_BD[[#This Row],[Date]])+IF(MONTH(Plant_BD[[#This Row],[Date]])&gt;=4,1,0)</f>
        <v>2026</v>
      </c>
      <c r="D19" s="229">
        <f>YEAR(Plant_BD[[#This Row],[Date]])</f>
        <v>2025</v>
      </c>
      <c r="E19" s="230" t="s">
        <v>224</v>
      </c>
      <c r="F19" s="230" t="s">
        <v>224</v>
      </c>
      <c r="G19" s="231">
        <f>Plant_BD[[#This Row],[Date]]-DAY(Plant_BD[[#This Row],[Date]])+1</f>
        <v>45809</v>
      </c>
      <c r="H19" s="232">
        <f>DAY(EOMONTH(Plant_BD[[#This Row],[Month Year]],0))</f>
        <v>30</v>
      </c>
      <c r="I19" s="233">
        <f>_xlfn.XLOOKUP(Plant_BD[[#This Row],[Date]],'Raw Data'!$G:$G,'Raw Data'!$I:$I)</f>
        <v>0.24166666666666667</v>
      </c>
      <c r="J19" s="233">
        <f>_xlfn.XLOOKUP(Plant_BD[[#This Row],[Date]],'Raw Data'!$G:$G,'Raw Data'!$J:$J)</f>
        <v>0.77083333333333337</v>
      </c>
      <c r="K19" s="234">
        <f>IFERROR((Plant_BD[[#This Row],[Sunset Time (POA&lt;20 W/m2)]]-Plant_BD[[#This Row],[Sunrise Time (POA&gt;20 W/m2)]])*24,"")</f>
        <v>12.7</v>
      </c>
      <c r="L19" s="234"/>
      <c r="M19" s="234"/>
      <c r="N19" s="234"/>
      <c r="O19" s="234"/>
      <c r="P19" s="234"/>
      <c r="Q19" s="234"/>
      <c r="R19" s="234"/>
      <c r="S19" s="234"/>
      <c r="T19" s="235" t="s">
        <v>135</v>
      </c>
      <c r="U19" s="236">
        <f>IFERROR(_xlfn.XLOOKUP(Plant_BD[[#This Row],[Affected Equipment]],'Basic Data'!$A:$A,'Basic Data'!$B:$B),"")</f>
        <v>1844.7249999999999</v>
      </c>
      <c r="V19" s="247">
        <f>IFERROR(_xlfn.XLOOKUP(Plant_BD[[#This Row],[Affected Equipment]],'Basic Data'!$A:$A,'Basic Data'!$C:$C),"")</f>
        <v>0.157528239758711</v>
      </c>
      <c r="W19" s="237" t="s">
        <v>135</v>
      </c>
      <c r="X19" s="237" t="s">
        <v>239</v>
      </c>
      <c r="Y19" s="238" t="s">
        <v>486</v>
      </c>
      <c r="Z19" s="239"/>
      <c r="AA19" s="240">
        <v>0.45624999999999999</v>
      </c>
      <c r="AB19" s="240">
        <v>0.45624999999999999</v>
      </c>
      <c r="AC19" s="240">
        <v>0.45833333333333331</v>
      </c>
      <c r="AD19" s="240">
        <v>0.47013888888888888</v>
      </c>
      <c r="AE19" s="241">
        <f>IF(Plant_BD[[#This Row],[Acknowledgement Time ]]="NA","",(Plant_BD[[#This Row],[Acknowledgement Time ]]-Plant_BD[[#This Row],[Fault Time]])*24)</f>
        <v>0</v>
      </c>
      <c r="AF19" s="241">
        <f>IF(Plant_BD[[#This Row],[Work Start time on Fault]]="NA","",(Plant_BD[[#This Row],[Work Start time on Fault]]-Plant_BD[[#This Row],[Fault Time]])*24)</f>
        <v>4.9999999999999822E-2</v>
      </c>
      <c r="AG19" s="242">
        <f>(Plant_BD[[#This Row],[Work Completion time on fault]]-Plant_BD[[#This Row],[Fault Time]])*24</f>
        <v>0.33333333333333348</v>
      </c>
      <c r="AH19" s="242">
        <f>IFERROR((Plant_BD[[#This Row],[Work Completion time on fault]]-Plant_BD[[#This Row],[Fault Time]])*24,"")</f>
        <v>0.33333333333333348</v>
      </c>
      <c r="AI19" s="243" t="s">
        <v>485</v>
      </c>
      <c r="AJ19" s="244" t="s">
        <v>491</v>
      </c>
      <c r="AK19" s="245">
        <f>IFERROR(Plant_BD[[#This Row],[Breakdown Time]]*Plant_BD[[#This Row],[Plant Equivalent Weightage]],"")</f>
        <v>5.2509413252903689E-2</v>
      </c>
      <c r="AL19" s="244">
        <v>288</v>
      </c>
      <c r="AM19" s="241">
        <f>Plant_BD[[#This Row],[Lost PoA(kWh/m2)]]*Plant_BD[[#This Row],[DC Capacity Affected (kW)]]*_xlfn.XLOOKUP(Plant_BD[[#This Row],[Month Year]],'Modelling New'!$D:$D,'Modelling New'!$O:$O)</f>
        <v>382625.11167581979</v>
      </c>
      <c r="AN19" s="244"/>
      <c r="AO19" s="244"/>
      <c r="AP19" s="246"/>
    </row>
    <row r="20" spans="1:42" hidden="1">
      <c r="A20" s="227">
        <f t="shared" si="0"/>
        <v>19</v>
      </c>
      <c r="B20" s="228">
        <v>45826</v>
      </c>
      <c r="C20" s="229">
        <f>YEAR(Plant_BD[[#This Row],[Date]])+IF(MONTH(Plant_BD[[#This Row],[Date]])&gt;=4,1,0)</f>
        <v>2026</v>
      </c>
      <c r="D20" s="229">
        <f>YEAR(Plant_BD[[#This Row],[Date]])</f>
        <v>2025</v>
      </c>
      <c r="E20" s="230" t="s">
        <v>224</v>
      </c>
      <c r="F20" s="230" t="s">
        <v>224</v>
      </c>
      <c r="G20" s="231">
        <f>Plant_BD[[#This Row],[Date]]-DAY(Plant_BD[[#This Row],[Date]])+1</f>
        <v>45809</v>
      </c>
      <c r="H20" s="232">
        <f>DAY(EOMONTH(Plant_BD[[#This Row],[Month Year]],0))</f>
        <v>30</v>
      </c>
      <c r="I20" s="233">
        <f>_xlfn.XLOOKUP(Plant_BD[[#This Row],[Date]],'Raw Data'!$G:$G,'Raw Data'!$I:$I)</f>
        <v>0.24444444444444444</v>
      </c>
      <c r="J20" s="233">
        <f>_xlfn.XLOOKUP(Plant_BD[[#This Row],[Date]],'Raw Data'!$G:$G,'Raw Data'!$J:$J)</f>
        <v>0.77430555555555558</v>
      </c>
      <c r="K20" s="234">
        <f>IFERROR((Plant_BD[[#This Row],[Sunset Time (POA&lt;20 W/m2)]]-Plant_BD[[#This Row],[Sunrise Time (POA&gt;20 W/m2)]])*24,"")</f>
        <v>12.716666666666667</v>
      </c>
      <c r="L20" s="234"/>
      <c r="M20" s="234"/>
      <c r="N20" s="234"/>
      <c r="O20" s="234"/>
      <c r="P20" s="234"/>
      <c r="Q20" s="234"/>
      <c r="R20" s="234"/>
      <c r="S20" s="234"/>
      <c r="T20" s="235" t="s">
        <v>135</v>
      </c>
      <c r="U20" s="236">
        <f>IFERROR(_xlfn.XLOOKUP(Plant_BD[[#This Row],[Affected Equipment]],'Basic Data'!$A:$A,'Basic Data'!$B:$B),"")</f>
        <v>1844.7249999999999</v>
      </c>
      <c r="V20" s="247">
        <f>IFERROR(_xlfn.XLOOKUP(Plant_BD[[#This Row],[Affected Equipment]],'Basic Data'!$A:$A,'Basic Data'!$C:$C),"")</f>
        <v>0.157528239758711</v>
      </c>
      <c r="W20" s="237" t="s">
        <v>135</v>
      </c>
      <c r="X20" s="237" t="s">
        <v>239</v>
      </c>
      <c r="Y20" s="238" t="s">
        <v>252</v>
      </c>
      <c r="Z20" s="239"/>
      <c r="AA20" s="240">
        <v>0.54166666666666663</v>
      </c>
      <c r="AB20" s="240">
        <v>0.54166666666666663</v>
      </c>
      <c r="AC20" s="240">
        <v>0.54305555555555551</v>
      </c>
      <c r="AD20" s="240">
        <v>0.54861111111111116</v>
      </c>
      <c r="AE20" s="241">
        <f>IF(Plant_BD[[#This Row],[Acknowledgement Time ]]="NA","",(Plant_BD[[#This Row],[Acknowledgement Time ]]-Plant_BD[[#This Row],[Fault Time]])*24)</f>
        <v>0</v>
      </c>
      <c r="AF20" s="241">
        <f>IF(Plant_BD[[#This Row],[Work Start time on Fault]]="NA","",(Plant_BD[[#This Row],[Work Start time on Fault]]-Plant_BD[[#This Row],[Fault Time]])*24)</f>
        <v>3.3333333333333215E-2</v>
      </c>
      <c r="AG20" s="242">
        <f>(Plant_BD[[#This Row],[Work Completion time on fault]]-Plant_BD[[#This Row],[Fault Time]])*24</f>
        <v>0.16666666666666874</v>
      </c>
      <c r="AH20" s="242">
        <f>IFERROR((Plant_BD[[#This Row],[Work Completion time on fault]]-Plant_BD[[#This Row],[Fault Time]])*24,"")</f>
        <v>0.16666666666666874</v>
      </c>
      <c r="AI20" s="243" t="s">
        <v>255</v>
      </c>
      <c r="AJ20" s="244" t="s">
        <v>491</v>
      </c>
      <c r="AK20" s="245">
        <f>IFERROR(Plant_BD[[#This Row],[Breakdown Time]]*Plant_BD[[#This Row],[Plant Equivalent Weightage]],"")</f>
        <v>2.625470662645216E-2</v>
      </c>
      <c r="AL20" s="244">
        <v>111</v>
      </c>
      <c r="AM20" s="241">
        <f>Plant_BD[[#This Row],[Lost PoA(kWh/m2)]]*Plant_BD[[#This Row],[DC Capacity Affected (kW)]]*_xlfn.XLOOKUP(Plant_BD[[#This Row],[Month Year]],'Modelling New'!$D:$D,'Modelling New'!$O:$O)</f>
        <v>147470.09512505555</v>
      </c>
      <c r="AN20" s="244"/>
      <c r="AO20" s="244"/>
      <c r="AP20" s="246"/>
    </row>
    <row r="21" spans="1:42" hidden="1">
      <c r="A21" s="227">
        <f t="shared" si="0"/>
        <v>20</v>
      </c>
      <c r="B21" s="228">
        <v>45828</v>
      </c>
      <c r="C21" s="229">
        <f>YEAR(Plant_BD[[#This Row],[Date]])+IF(MONTH(Plant_BD[[#This Row],[Date]])&gt;=4,1,0)</f>
        <v>2026</v>
      </c>
      <c r="D21" s="229">
        <f>YEAR(Plant_BD[[#This Row],[Date]])</f>
        <v>2025</v>
      </c>
      <c r="E21" s="230" t="s">
        <v>224</v>
      </c>
      <c r="F21" s="230" t="s">
        <v>224</v>
      </c>
      <c r="G21" s="231">
        <f>Plant_BD[[#This Row],[Date]]-DAY(Plant_BD[[#This Row],[Date]])+1</f>
        <v>45809</v>
      </c>
      <c r="H21" s="232">
        <f>DAY(EOMONTH(Plant_BD[[#This Row],[Month Year]],0))</f>
        <v>30</v>
      </c>
      <c r="I21" s="233">
        <f>_xlfn.XLOOKUP(Plant_BD[[#This Row],[Date]],'Raw Data'!$G:$G,'Raw Data'!$I:$I)</f>
        <v>0.25138888888888888</v>
      </c>
      <c r="J21" s="233">
        <f>_xlfn.XLOOKUP(Plant_BD[[#This Row],[Date]],'Raw Data'!$G:$G,'Raw Data'!$J:$J)</f>
        <v>0.77638888888888891</v>
      </c>
      <c r="K21" s="234">
        <f>IFERROR((Plant_BD[[#This Row],[Sunset Time (POA&lt;20 W/m2)]]-Plant_BD[[#This Row],[Sunrise Time (POA&gt;20 W/m2)]])*24,"")</f>
        <v>12.600000000000001</v>
      </c>
      <c r="L21" s="234"/>
      <c r="M21" s="234"/>
      <c r="N21" s="234"/>
      <c r="O21" s="234"/>
      <c r="P21" s="234"/>
      <c r="Q21" s="234"/>
      <c r="R21" s="234"/>
      <c r="S21" s="234"/>
      <c r="T21" s="235" t="s">
        <v>137</v>
      </c>
      <c r="U21" s="236">
        <f>IFERROR(_xlfn.XLOOKUP(Plant_BD[[#This Row],[Affected Equipment]],'Basic Data'!$A:$A,'Basic Data'!$B:$B),"")</f>
        <v>2020</v>
      </c>
      <c r="V21" s="247">
        <f>IFERROR(_xlfn.XLOOKUP(Plant_BD[[#This Row],[Affected Equipment]],'Basic Data'!$A:$A,'Basic Data'!$C:$C),"")</f>
        <v>0.17249565345110901</v>
      </c>
      <c r="W21" s="237" t="s">
        <v>137</v>
      </c>
      <c r="X21" s="237" t="s">
        <v>239</v>
      </c>
      <c r="Y21" s="238" t="s">
        <v>505</v>
      </c>
      <c r="Z21" s="239"/>
      <c r="AA21" s="240">
        <v>0.45833333333333331</v>
      </c>
      <c r="AB21" s="240">
        <v>0.46527777777777779</v>
      </c>
      <c r="AC21" s="240">
        <v>0.47569444444444442</v>
      </c>
      <c r="AD21" s="240">
        <v>0.49027777777777776</v>
      </c>
      <c r="AE21" s="241">
        <f>IF(Plant_BD[[#This Row],[Acknowledgement Time ]]="NA","",(Plant_BD[[#This Row],[Acknowledgement Time ]]-Plant_BD[[#This Row],[Fault Time]])*24)</f>
        <v>0.16666666666666741</v>
      </c>
      <c r="AF21" s="241">
        <f>IF(Plant_BD[[#This Row],[Work Start time on Fault]]="NA","",(Plant_BD[[#This Row],[Work Start time on Fault]]-Plant_BD[[#This Row],[Fault Time]])*24)</f>
        <v>0.41666666666666652</v>
      </c>
      <c r="AG21" s="242">
        <f>(Plant_BD[[#This Row],[Work Completion time on fault]]-Plant_BD[[#This Row],[Fault Time]])*24</f>
        <v>0.76666666666666661</v>
      </c>
      <c r="AH21" s="242">
        <f>IFERROR((Plant_BD[[#This Row],[Work Completion time on fault]]-Plant_BD[[#This Row],[Fault Time]])*24,"")</f>
        <v>0.76666666666666661</v>
      </c>
      <c r="AI21" s="243" t="s">
        <v>485</v>
      </c>
      <c r="AJ21" s="244" t="s">
        <v>491</v>
      </c>
      <c r="AK21" s="245">
        <f>IFERROR(Plant_BD[[#This Row],[Breakdown Time]]*Plant_BD[[#This Row],[Plant Equivalent Weightage]],"")</f>
        <v>0.13224666764585022</v>
      </c>
      <c r="AL21" s="244">
        <v>444</v>
      </c>
      <c r="AM21" s="241">
        <f>Plant_BD[[#This Row],[Lost PoA(kWh/m2)]]*Plant_BD[[#This Row],[DC Capacity Affected (kW)]]*_xlfn.XLOOKUP(Plant_BD[[#This Row],[Month Year]],'Modelling New'!$D:$D,'Modelling New'!$O:$O)</f>
        <v>645927.37053514703</v>
      </c>
      <c r="AN21" s="244"/>
      <c r="AO21" s="244"/>
      <c r="AP21" s="246"/>
    </row>
    <row r="22" spans="1:42" hidden="1">
      <c r="A22" s="227">
        <f t="shared" si="0"/>
        <v>21</v>
      </c>
      <c r="B22" s="228">
        <v>45830</v>
      </c>
      <c r="C22" s="229">
        <f>YEAR(Plant_BD[[#This Row],[Date]])+IF(MONTH(Plant_BD[[#This Row],[Date]])&gt;=4,1,0)</f>
        <v>2026</v>
      </c>
      <c r="D22" s="229">
        <f>YEAR(Plant_BD[[#This Row],[Date]])</f>
        <v>2025</v>
      </c>
      <c r="E22" s="230" t="s">
        <v>224</v>
      </c>
      <c r="F22" s="230" t="s">
        <v>224</v>
      </c>
      <c r="G22" s="231">
        <f>Plant_BD[[#This Row],[Date]]-DAY(Plant_BD[[#This Row],[Date]])+1</f>
        <v>45809</v>
      </c>
      <c r="H22" s="232">
        <f>DAY(EOMONTH(Plant_BD[[#This Row],[Month Year]],0))</f>
        <v>30</v>
      </c>
      <c r="I22" s="233">
        <f>_xlfn.XLOOKUP(Plant_BD[[#This Row],[Date]],'Raw Data'!$G:$G,'Raw Data'!$I:$I)</f>
        <v>0.24652777777777779</v>
      </c>
      <c r="J22" s="233">
        <f>_xlfn.XLOOKUP(Plant_BD[[#This Row],[Date]],'Raw Data'!$G:$G,'Raw Data'!$J:$J)</f>
        <v>0.77430555555555558</v>
      </c>
      <c r="K22" s="234">
        <f>IFERROR((Plant_BD[[#This Row],[Sunset Time (POA&lt;20 W/m2)]]-Plant_BD[[#This Row],[Sunrise Time (POA&gt;20 W/m2)]])*24,"")</f>
        <v>12.666666666666668</v>
      </c>
      <c r="L22" s="234"/>
      <c r="M22" s="234"/>
      <c r="N22" s="234"/>
      <c r="O22" s="234"/>
      <c r="P22" s="234"/>
      <c r="Q22" s="234"/>
      <c r="R22" s="234"/>
      <c r="S22" s="234"/>
      <c r="T22" s="235" t="s">
        <v>137</v>
      </c>
      <c r="U22" s="236">
        <f>IFERROR(_xlfn.XLOOKUP(Plant_BD[[#This Row],[Affected Equipment]],'Basic Data'!$A:$A,'Basic Data'!$B:$B),"")</f>
        <v>2020</v>
      </c>
      <c r="V22" s="247">
        <f>IFERROR(_xlfn.XLOOKUP(Plant_BD[[#This Row],[Affected Equipment]],'Basic Data'!$A:$A,'Basic Data'!$C:$C),"")</f>
        <v>0.17249565345110901</v>
      </c>
      <c r="W22" s="237" t="s">
        <v>137</v>
      </c>
      <c r="X22" s="237" t="s">
        <v>239</v>
      </c>
      <c r="Y22" s="238" t="s">
        <v>486</v>
      </c>
      <c r="Z22" s="239"/>
      <c r="AA22" s="240">
        <v>0.44513888888888886</v>
      </c>
      <c r="AB22" s="240">
        <v>0.44583333333333336</v>
      </c>
      <c r="AC22" s="240">
        <v>0.44861111111111113</v>
      </c>
      <c r="AD22" s="240">
        <v>0.45</v>
      </c>
      <c r="AE22" s="241">
        <f>IF(Plant_BD[[#This Row],[Acknowledgement Time ]]="NA","",(Plant_BD[[#This Row],[Acknowledgement Time ]]-Plant_BD[[#This Row],[Fault Time]])*24)</f>
        <v>1.666666666666794E-2</v>
      </c>
      <c r="AF22" s="241">
        <f>IF(Plant_BD[[#This Row],[Work Start time on Fault]]="NA","",(Plant_BD[[#This Row],[Work Start time on Fault]]-Plant_BD[[#This Row],[Fault Time]])*24)</f>
        <v>8.333333333333437E-2</v>
      </c>
      <c r="AG22" s="242">
        <f>(Plant_BD[[#This Row],[Work Completion time on fault]]-Plant_BD[[#This Row],[Fault Time]])*24</f>
        <v>0.11666666666666758</v>
      </c>
      <c r="AH22" s="242">
        <f>IFERROR((Plant_BD[[#This Row],[Work Completion time on fault]]-Plant_BD[[#This Row],[Fault Time]])*24,"")</f>
        <v>0.11666666666666758</v>
      </c>
      <c r="AI22" s="243" t="s">
        <v>485</v>
      </c>
      <c r="AJ22" s="244" t="s">
        <v>491</v>
      </c>
      <c r="AK22" s="245">
        <f>IFERROR(Plant_BD[[#This Row],[Breakdown Time]]*Plant_BD[[#This Row],[Plant Equivalent Weightage]],"")</f>
        <v>2.0124492902629541E-2</v>
      </c>
      <c r="AL22" s="244">
        <v>108</v>
      </c>
      <c r="AM22" s="241">
        <f>Plant_BD[[#This Row],[Lost PoA(kWh/m2)]]*Plant_BD[[#This Row],[DC Capacity Affected (kW)]]*_xlfn.XLOOKUP(Plant_BD[[#This Row],[Month Year]],'Modelling New'!$D:$D,'Modelling New'!$O:$O)</f>
        <v>157117.46850854927</v>
      </c>
      <c r="AN22" s="244"/>
      <c r="AO22" s="244"/>
      <c r="AP22" s="246"/>
    </row>
    <row r="23" spans="1:42">
      <c r="A23" s="227">
        <f t="shared" si="0"/>
        <v>22</v>
      </c>
      <c r="B23" s="228">
        <v>45853</v>
      </c>
      <c r="C23" s="229">
        <f>YEAR(Plant_BD[[#This Row],[Date]])+IF(MONTH(Plant_BD[[#This Row],[Date]])&gt;=4,1,0)</f>
        <v>2026</v>
      </c>
      <c r="D23" s="229">
        <f>YEAR(Plant_BD[[#This Row],[Date]])</f>
        <v>2025</v>
      </c>
      <c r="E23" s="230" t="s">
        <v>224</v>
      </c>
      <c r="F23" s="230" t="s">
        <v>224</v>
      </c>
      <c r="G23" s="231">
        <f>Plant_BD[[#This Row],[Date]]-DAY(Plant_BD[[#This Row],[Date]])+1</f>
        <v>45839</v>
      </c>
      <c r="H23" s="232">
        <f>DAY(EOMONTH(Plant_BD[[#This Row],[Month Year]],0))</f>
        <v>31</v>
      </c>
      <c r="I23" s="233">
        <f>_xlfn.XLOOKUP(Plant_BD[[#This Row],[Date]],'Raw Data'!$G:$G,'Raw Data'!$I:$I)</f>
        <v>0.25763888888888886</v>
      </c>
      <c r="J23" s="233">
        <f>_xlfn.XLOOKUP(Plant_BD[[#This Row],[Date]],'Raw Data'!$G:$G,'Raw Data'!$J:$J)</f>
        <v>0.78680555555555554</v>
      </c>
      <c r="K23" s="234">
        <f>IFERROR((Plant_BD[[#This Row],[Sunset Time (POA&lt;20 W/m2)]]-Plant_BD[[#This Row],[Sunrise Time (POA&gt;20 W/m2)]])*24,"")</f>
        <v>12.7</v>
      </c>
      <c r="L23" s="234"/>
      <c r="M23" s="234"/>
      <c r="N23" s="234"/>
      <c r="O23" s="234"/>
      <c r="P23" s="234"/>
      <c r="Q23" s="234"/>
      <c r="R23" s="234"/>
      <c r="S23" s="234"/>
      <c r="T23" s="235" t="s">
        <v>132</v>
      </c>
      <c r="U23" s="236">
        <f>IFERROR(_xlfn.XLOOKUP(Plant_BD[[#This Row],[Affected Equipment]],'Basic Data'!$A:$A,'Basic Data'!$B:$B),"")</f>
        <v>1987.7249999999999</v>
      </c>
      <c r="V23" s="247">
        <f>IFERROR(_xlfn.XLOOKUP(Plant_BD[[#This Row],[Affected Equipment]],'Basic Data'!$A:$A,'Basic Data'!$C:$C),"")</f>
        <v>0.169739565720844</v>
      </c>
      <c r="W23" s="237" t="s">
        <v>132</v>
      </c>
      <c r="X23" s="237" t="s">
        <v>239</v>
      </c>
      <c r="Y23" s="238" t="s">
        <v>486</v>
      </c>
      <c r="Z23" s="239"/>
      <c r="AA23" s="240">
        <v>0.49791666666666667</v>
      </c>
      <c r="AB23" s="240">
        <v>0.49861111111111112</v>
      </c>
      <c r="AC23" s="240">
        <v>0.5</v>
      </c>
      <c r="AD23" s="240">
        <v>0.50277777777777777</v>
      </c>
      <c r="AE23" s="241">
        <f>IF(Plant_BD[[#This Row],[Acknowledgement Time ]]="NA","",(Plant_BD[[#This Row],[Acknowledgement Time ]]-Plant_BD[[#This Row],[Fault Time]])*24)</f>
        <v>1.6666666666666607E-2</v>
      </c>
      <c r="AF23" s="241">
        <f>IF(Plant_BD[[#This Row],[Work Start time on Fault]]="NA","",(Plant_BD[[#This Row],[Work Start time on Fault]]-Plant_BD[[#This Row],[Fault Time]])*24)</f>
        <v>4.9999999999999822E-2</v>
      </c>
      <c r="AG23" s="242">
        <f>(Plant_BD[[#This Row],[Work Completion time on fault]]-Plant_BD[[#This Row],[Fault Time]])*24</f>
        <v>0.11666666666666625</v>
      </c>
      <c r="AH23" s="242">
        <f>IFERROR((Plant_BD[[#This Row],[Work Completion time on fault]]-Plant_BD[[#This Row],[Fault Time]])*24,"")</f>
        <v>0.11666666666666625</v>
      </c>
      <c r="AI23" s="243" t="s">
        <v>485</v>
      </c>
      <c r="AJ23" s="244" t="s">
        <v>491</v>
      </c>
      <c r="AK23" s="245">
        <f>IFERROR(Plant_BD[[#This Row],[Breakdown Time]]*Plant_BD[[#This Row],[Plant Equivalent Weightage]],"")</f>
        <v>1.9802949334098398E-2</v>
      </c>
      <c r="AL23" s="244">
        <v>91</v>
      </c>
      <c r="AM23" s="241">
        <f>Plant_BD[[#This Row],[Lost PoA(kWh/m2)]]*Plant_BD[[#This Row],[DC Capacity Affected (kW)]]*_xlfn.XLOOKUP(Plant_BD[[#This Row],[Month Year]],'Modelling New'!$D:$D,'Modelling New'!$O:$O)</f>
        <v>135768.67363519003</v>
      </c>
      <c r="AN23" s="244"/>
      <c r="AO23" s="244"/>
      <c r="AP23" s="246"/>
    </row>
    <row r="24" spans="1:42">
      <c r="A24" s="227">
        <f t="shared" si="0"/>
        <v>23</v>
      </c>
      <c r="B24" s="228">
        <v>45860</v>
      </c>
      <c r="C24" s="229">
        <f>YEAR(Plant_BD[[#This Row],[Date]])+IF(MONTH(Plant_BD[[#This Row],[Date]])&gt;=4,1,0)</f>
        <v>2026</v>
      </c>
      <c r="D24" s="229">
        <f>YEAR(Plant_BD[[#This Row],[Date]])</f>
        <v>2025</v>
      </c>
      <c r="E24" s="230" t="s">
        <v>224</v>
      </c>
      <c r="F24" s="230" t="s">
        <v>224</v>
      </c>
      <c r="G24" s="231">
        <f>Plant_BD[[#This Row],[Date]]-DAY(Plant_BD[[#This Row],[Date]])+1</f>
        <v>45839</v>
      </c>
      <c r="H24" s="232">
        <f>DAY(EOMONTH(Plant_BD[[#This Row],[Month Year]],0))</f>
        <v>31</v>
      </c>
      <c r="I24" s="233">
        <f>_xlfn.XLOOKUP(Plant_BD[[#This Row],[Date]],'Raw Data'!$G:$G,'Raw Data'!$I:$I)</f>
        <v>0.25694444444444442</v>
      </c>
      <c r="J24" s="233">
        <f>_xlfn.XLOOKUP(Plant_BD[[#This Row],[Date]],'Raw Data'!$G:$G,'Raw Data'!$J:$J)</f>
        <v>0.78472222222222221</v>
      </c>
      <c r="K24" s="234">
        <f>IFERROR((Plant_BD[[#This Row],[Sunset Time (POA&lt;20 W/m2)]]-Plant_BD[[#This Row],[Sunrise Time (POA&gt;20 W/m2)]])*24,"")</f>
        <v>12.666666666666668</v>
      </c>
      <c r="L24" s="234"/>
      <c r="M24" s="234"/>
      <c r="N24" s="234"/>
      <c r="O24" s="234"/>
      <c r="P24" s="234"/>
      <c r="Q24" s="234"/>
      <c r="R24" s="234"/>
      <c r="S24" s="234"/>
      <c r="T24" s="235" t="s">
        <v>134</v>
      </c>
      <c r="U24" s="236">
        <f>IFERROR(_xlfn.XLOOKUP(Plant_BD[[#This Row],[Affected Equipment]],'Basic Data'!$A:$A,'Basic Data'!$B:$B),"")</f>
        <v>1806.68</v>
      </c>
      <c r="V24" s="247">
        <f>IFERROR(_xlfn.XLOOKUP(Plant_BD[[#This Row],[Affected Equipment]],'Basic Data'!$A:$A,'Basic Data'!$C:$C),"")</f>
        <v>0.15427942929556901</v>
      </c>
      <c r="W24" s="237" t="s">
        <v>134</v>
      </c>
      <c r="X24" s="237" t="s">
        <v>239</v>
      </c>
      <c r="Y24" s="238" t="s">
        <v>486</v>
      </c>
      <c r="Z24" s="239"/>
      <c r="AA24" s="240">
        <v>0.46666666666666667</v>
      </c>
      <c r="AB24" s="240">
        <v>0.46666666666666667</v>
      </c>
      <c r="AC24" s="240">
        <v>0.46736111111111112</v>
      </c>
      <c r="AD24" s="240">
        <v>0.47083333333333333</v>
      </c>
      <c r="AE24" s="241">
        <f>IF(Plant_BD[[#This Row],[Acknowledgement Time ]]="NA","",(Plant_BD[[#This Row],[Acknowledgement Time ]]-Plant_BD[[#This Row],[Fault Time]])*24)</f>
        <v>0</v>
      </c>
      <c r="AF24" s="241">
        <f>IF(Plant_BD[[#This Row],[Work Start time on Fault]]="NA","",(Plant_BD[[#This Row],[Work Start time on Fault]]-Plant_BD[[#This Row],[Fault Time]])*24)</f>
        <v>1.6666666666666607E-2</v>
      </c>
      <c r="AG24" s="242">
        <f>(Plant_BD[[#This Row],[Work Completion time on fault]]-Plant_BD[[#This Row],[Fault Time]])*24</f>
        <v>9.9999999999999645E-2</v>
      </c>
      <c r="AH24" s="242">
        <f>IFERROR((Plant_BD[[#This Row],[Work Completion time on fault]]-Plant_BD[[#This Row],[Fault Time]])*24,"")</f>
        <v>9.9999999999999645E-2</v>
      </c>
      <c r="AI24" s="243" t="s">
        <v>485</v>
      </c>
      <c r="AJ24" s="244" t="s">
        <v>491</v>
      </c>
      <c r="AK24" s="245">
        <f>IFERROR(Plant_BD[[#This Row],[Breakdown Time]]*Plant_BD[[#This Row],[Plant Equivalent Weightage]],"")</f>
        <v>1.5427942929556846E-2</v>
      </c>
      <c r="AL24" s="244">
        <v>91</v>
      </c>
      <c r="AM24" s="241">
        <f>Plant_BD[[#This Row],[Lost PoA(kWh/m2)]]*Plant_BD[[#This Row],[DC Capacity Affected (kW)]]*_xlfn.XLOOKUP(Plant_BD[[#This Row],[Month Year]],'Modelling New'!$D:$D,'Modelling New'!$O:$O)</f>
        <v>123402.65745172251</v>
      </c>
      <c r="AN24" s="244"/>
      <c r="AO24" s="244"/>
      <c r="AP24" s="246"/>
    </row>
    <row r="25" spans="1:42">
      <c r="A25" s="227">
        <f t="shared" si="0"/>
        <v>24</v>
      </c>
      <c r="B25" s="228">
        <v>45860</v>
      </c>
      <c r="C25" s="229">
        <f>YEAR(Plant_BD[[#This Row],[Date]])+IF(MONTH(Plant_BD[[#This Row],[Date]])&gt;=4,1,0)</f>
        <v>2026</v>
      </c>
      <c r="D25" s="229">
        <f>YEAR(Plant_BD[[#This Row],[Date]])</f>
        <v>2025</v>
      </c>
      <c r="E25" s="230" t="s">
        <v>224</v>
      </c>
      <c r="F25" s="230" t="s">
        <v>224</v>
      </c>
      <c r="G25" s="231">
        <f>Plant_BD[[#This Row],[Date]]-DAY(Plant_BD[[#This Row],[Date]])+1</f>
        <v>45839</v>
      </c>
      <c r="H25" s="232">
        <f>DAY(EOMONTH(Plant_BD[[#This Row],[Month Year]],0))</f>
        <v>31</v>
      </c>
      <c r="I25" s="233">
        <f>_xlfn.XLOOKUP(Plant_BD[[#This Row],[Date]],'Raw Data'!$G:$G,'Raw Data'!$I:$I)</f>
        <v>0.25694444444444442</v>
      </c>
      <c r="J25" s="233">
        <f>_xlfn.XLOOKUP(Plant_BD[[#This Row],[Date]],'Raw Data'!$G:$G,'Raw Data'!$J:$J)</f>
        <v>0.78472222222222221</v>
      </c>
      <c r="K25" s="234">
        <f>IFERROR((Plant_BD[[#This Row],[Sunset Time (POA&lt;20 W/m2)]]-Plant_BD[[#This Row],[Sunrise Time (POA&gt;20 W/m2)]])*24,"")</f>
        <v>12.666666666666668</v>
      </c>
      <c r="L25" s="234"/>
      <c r="M25" s="234"/>
      <c r="N25" s="234"/>
      <c r="O25" s="234"/>
      <c r="P25" s="234"/>
      <c r="Q25" s="234"/>
      <c r="R25" s="234"/>
      <c r="S25" s="234"/>
      <c r="T25" s="235" t="s">
        <v>132</v>
      </c>
      <c r="U25" s="236">
        <f>IFERROR(_xlfn.XLOOKUP(Plant_BD[[#This Row],[Affected Equipment]],'Basic Data'!$A:$A,'Basic Data'!$B:$B),"")</f>
        <v>1987.7249999999999</v>
      </c>
      <c r="V25" s="247">
        <f>IFERROR(_xlfn.XLOOKUP(Plant_BD[[#This Row],[Affected Equipment]],'Basic Data'!$A:$A,'Basic Data'!$C:$C),"")</f>
        <v>0.169739565720844</v>
      </c>
      <c r="W25" s="237" t="s">
        <v>132</v>
      </c>
      <c r="X25" s="237" t="s">
        <v>239</v>
      </c>
      <c r="Y25" s="238" t="s">
        <v>486</v>
      </c>
      <c r="Z25" s="239"/>
      <c r="AA25" s="240">
        <v>0.47986111111111113</v>
      </c>
      <c r="AB25" s="240">
        <v>0.48055555555555557</v>
      </c>
      <c r="AC25" s="240">
        <v>0.48125000000000001</v>
      </c>
      <c r="AD25" s="240">
        <v>0.48333333333333334</v>
      </c>
      <c r="AE25" s="241">
        <f>IF(Plant_BD[[#This Row],[Acknowledgement Time ]]="NA","",(Plant_BD[[#This Row],[Acknowledgement Time ]]-Plant_BD[[#This Row],[Fault Time]])*24)</f>
        <v>1.6666666666666607E-2</v>
      </c>
      <c r="AF25" s="241">
        <f>IF(Plant_BD[[#This Row],[Work Start time on Fault]]="NA","",(Plant_BD[[#This Row],[Work Start time on Fault]]-Plant_BD[[#This Row],[Fault Time]])*24)</f>
        <v>3.3333333333333215E-2</v>
      </c>
      <c r="AG25" s="242">
        <f>(Plant_BD[[#This Row],[Work Completion time on fault]]-Plant_BD[[#This Row],[Fault Time]])*24</f>
        <v>8.3333333333333037E-2</v>
      </c>
      <c r="AH25" s="242">
        <f>IFERROR((Plant_BD[[#This Row],[Work Completion time on fault]]-Plant_BD[[#This Row],[Fault Time]])*24,"")</f>
        <v>8.3333333333333037E-2</v>
      </c>
      <c r="AI25" s="243" t="s">
        <v>485</v>
      </c>
      <c r="AJ25" s="244" t="s">
        <v>491</v>
      </c>
      <c r="AK25" s="245">
        <f>IFERROR(Plant_BD[[#This Row],[Breakdown Time]]*Plant_BD[[#This Row],[Plant Equivalent Weightage]],"")</f>
        <v>1.4144963810070283E-2</v>
      </c>
      <c r="AL25" s="244">
        <v>0.18</v>
      </c>
      <c r="AM25" s="241">
        <f>Plant_BD[[#This Row],[Lost PoA(kWh/m2)]]*Plant_BD[[#This Row],[DC Capacity Affected (kW)]]*_xlfn.XLOOKUP(Plant_BD[[#This Row],[Month Year]],'Modelling New'!$D:$D,'Modelling New'!$O:$O)</f>
        <v>268.55342037729895</v>
      </c>
      <c r="AN25" s="244"/>
      <c r="AO25" s="244"/>
      <c r="AP25" s="246"/>
    </row>
    <row r="26" spans="1:42">
      <c r="A26" s="227">
        <f t="shared" si="0"/>
        <v>25</v>
      </c>
      <c r="B26" s="228">
        <v>45860</v>
      </c>
      <c r="C26" s="229">
        <f>YEAR(Plant_BD[[#This Row],[Date]])+IF(MONTH(Plant_BD[[#This Row],[Date]])&gt;=4,1,0)</f>
        <v>2026</v>
      </c>
      <c r="D26" s="229">
        <f>YEAR(Plant_BD[[#This Row],[Date]])</f>
        <v>2025</v>
      </c>
      <c r="E26" s="230" t="s">
        <v>224</v>
      </c>
      <c r="F26" s="230" t="s">
        <v>224</v>
      </c>
      <c r="G26" s="231">
        <f>Plant_BD[[#This Row],[Date]]-DAY(Plant_BD[[#This Row],[Date]])+1</f>
        <v>45839</v>
      </c>
      <c r="H26" s="232">
        <f>DAY(EOMONTH(Plant_BD[[#This Row],[Month Year]],0))</f>
        <v>31</v>
      </c>
      <c r="I26" s="233">
        <f>_xlfn.XLOOKUP(Plant_BD[[#This Row],[Date]],'Raw Data'!$G:$G,'Raw Data'!$I:$I)</f>
        <v>0.25694444444444442</v>
      </c>
      <c r="J26" s="233">
        <f>_xlfn.XLOOKUP(Plant_BD[[#This Row],[Date]],'Raw Data'!$G:$G,'Raw Data'!$J:$J)</f>
        <v>0.78472222222222221</v>
      </c>
      <c r="K26" s="234">
        <f>IFERROR((Plant_BD[[#This Row],[Sunset Time (POA&lt;20 W/m2)]]-Plant_BD[[#This Row],[Sunrise Time (POA&gt;20 W/m2)]])*24,"")</f>
        <v>12.666666666666668</v>
      </c>
      <c r="L26" s="234"/>
      <c r="M26" s="234"/>
      <c r="N26" s="234"/>
      <c r="O26" s="234"/>
      <c r="P26" s="234"/>
      <c r="Q26" s="234"/>
      <c r="R26" s="234"/>
      <c r="S26" s="234"/>
      <c r="T26" s="235" t="s">
        <v>132</v>
      </c>
      <c r="U26" s="236">
        <f>IFERROR(_xlfn.XLOOKUP(Plant_BD[[#This Row],[Affected Equipment]],'Basic Data'!$A:$A,'Basic Data'!$B:$B),"")</f>
        <v>1987.7249999999999</v>
      </c>
      <c r="V26" s="247">
        <f>IFERROR(_xlfn.XLOOKUP(Plant_BD[[#This Row],[Affected Equipment]],'Basic Data'!$A:$A,'Basic Data'!$C:$C),"")</f>
        <v>0.169739565720844</v>
      </c>
      <c r="W26" s="237" t="s">
        <v>132</v>
      </c>
      <c r="X26" s="237" t="s">
        <v>239</v>
      </c>
      <c r="Y26" s="238" t="s">
        <v>486</v>
      </c>
      <c r="Z26" s="239"/>
      <c r="AA26" s="240">
        <v>0.54097222222222219</v>
      </c>
      <c r="AB26" s="240">
        <v>0.54166666666666663</v>
      </c>
      <c r="AC26" s="240">
        <v>0.54513888888888884</v>
      </c>
      <c r="AD26" s="240">
        <v>0.54513888888888884</v>
      </c>
      <c r="AE26" s="241">
        <f>IF(Plant_BD[[#This Row],[Acknowledgement Time ]]="NA","",(Plant_BD[[#This Row],[Acknowledgement Time ]]-Plant_BD[[#This Row],[Fault Time]])*24)</f>
        <v>1.6666666666666607E-2</v>
      </c>
      <c r="AF26" s="241">
        <f>IF(Plant_BD[[#This Row],[Work Start time on Fault]]="NA","",(Plant_BD[[#This Row],[Work Start time on Fault]]-Plant_BD[[#This Row],[Fault Time]])*24)</f>
        <v>9.9999999999999645E-2</v>
      </c>
      <c r="AG26" s="242">
        <f>(Plant_BD[[#This Row],[Work Completion time on fault]]-Plant_BD[[#This Row],[Fault Time]])*24</f>
        <v>9.9999999999999645E-2</v>
      </c>
      <c r="AH26" s="242">
        <f>IFERROR((Plant_BD[[#This Row],[Work Completion time on fault]]-Plant_BD[[#This Row],[Fault Time]])*24,"")</f>
        <v>9.9999999999999645E-2</v>
      </c>
      <c r="AI26" s="243" t="s">
        <v>485</v>
      </c>
      <c r="AJ26" s="244" t="s">
        <v>491</v>
      </c>
      <c r="AK26" s="245">
        <f>IFERROR(Plant_BD[[#This Row],[Breakdown Time]]*Plant_BD[[#This Row],[Plant Equivalent Weightage]],"")</f>
        <v>1.697395657208434E-2</v>
      </c>
      <c r="AL26" s="244">
        <v>0.15</v>
      </c>
      <c r="AM26" s="241">
        <f>Plant_BD[[#This Row],[Lost PoA(kWh/m2)]]*Plant_BD[[#This Row],[DC Capacity Affected (kW)]]*_xlfn.XLOOKUP(Plant_BD[[#This Row],[Month Year]],'Modelling New'!$D:$D,'Modelling New'!$O:$O)</f>
        <v>223.79451698108247</v>
      </c>
      <c r="AN26" s="244"/>
      <c r="AO26" s="244"/>
      <c r="AP26" s="246"/>
    </row>
    <row r="27" spans="1:42">
      <c r="A27" s="227">
        <f t="shared" si="0"/>
        <v>26</v>
      </c>
      <c r="B27" s="228">
        <v>45860</v>
      </c>
      <c r="C27" s="229">
        <f>YEAR(Plant_BD[[#This Row],[Date]])+IF(MONTH(Plant_BD[[#This Row],[Date]])&gt;=4,1,0)</f>
        <v>2026</v>
      </c>
      <c r="D27" s="229">
        <f>YEAR(Plant_BD[[#This Row],[Date]])</f>
        <v>2025</v>
      </c>
      <c r="E27" s="230" t="s">
        <v>224</v>
      </c>
      <c r="F27" s="230" t="s">
        <v>224</v>
      </c>
      <c r="G27" s="231">
        <f>Plant_BD[[#This Row],[Date]]-DAY(Plant_BD[[#This Row],[Date]])+1</f>
        <v>45839</v>
      </c>
      <c r="H27" s="232">
        <f>DAY(EOMONTH(Plant_BD[[#This Row],[Month Year]],0))</f>
        <v>31</v>
      </c>
      <c r="I27" s="233">
        <f>_xlfn.XLOOKUP(Plant_BD[[#This Row],[Date]],'Raw Data'!$G:$G,'Raw Data'!$I:$I)</f>
        <v>0.25694444444444442</v>
      </c>
      <c r="J27" s="233">
        <f>_xlfn.XLOOKUP(Plant_BD[[#This Row],[Date]],'Raw Data'!$G:$G,'Raw Data'!$J:$J)</f>
        <v>0.78472222222222221</v>
      </c>
      <c r="K27" s="234">
        <f>IFERROR((Plant_BD[[#This Row],[Sunset Time (POA&lt;20 W/m2)]]-Plant_BD[[#This Row],[Sunrise Time (POA&gt;20 W/m2)]])*24,"")</f>
        <v>12.666666666666668</v>
      </c>
      <c r="L27" s="234"/>
      <c r="M27" s="234"/>
      <c r="N27" s="234"/>
      <c r="O27" s="234"/>
      <c r="P27" s="234"/>
      <c r="Q27" s="234"/>
      <c r="R27" s="234"/>
      <c r="S27" s="234"/>
      <c r="T27" s="235" t="s">
        <v>132</v>
      </c>
      <c r="U27" s="236">
        <f>IFERROR(_xlfn.XLOOKUP(Plant_BD[[#This Row],[Affected Equipment]],'Basic Data'!$A:$A,'Basic Data'!$B:$B),"")</f>
        <v>1987.7249999999999</v>
      </c>
      <c r="V27" s="247">
        <f>IFERROR(_xlfn.XLOOKUP(Plant_BD[[#This Row],[Affected Equipment]],'Basic Data'!$A:$A,'Basic Data'!$C:$C),"")</f>
        <v>0.169739565720844</v>
      </c>
      <c r="W27" s="237" t="s">
        <v>132</v>
      </c>
      <c r="X27" s="237" t="s">
        <v>239</v>
      </c>
      <c r="Y27" s="238" t="s">
        <v>486</v>
      </c>
      <c r="Z27" s="239"/>
      <c r="AA27" s="240">
        <v>0.54097222222222219</v>
      </c>
      <c r="AB27" s="240">
        <v>0.54166666666666663</v>
      </c>
      <c r="AC27" s="240">
        <v>0.54513888888888884</v>
      </c>
      <c r="AD27" s="240">
        <v>0.54513888888888884</v>
      </c>
      <c r="AE27" s="241">
        <f>IF(Plant_BD[[#This Row],[Acknowledgement Time ]]="NA","",(Plant_BD[[#This Row],[Acknowledgement Time ]]-Plant_BD[[#This Row],[Fault Time]])*24)</f>
        <v>1.6666666666666607E-2</v>
      </c>
      <c r="AF27" s="241">
        <f>IF(Plant_BD[[#This Row],[Work Start time on Fault]]="NA","",(Plant_BD[[#This Row],[Work Start time on Fault]]-Plant_BD[[#This Row],[Fault Time]])*24)</f>
        <v>9.9999999999999645E-2</v>
      </c>
      <c r="AG27" s="242">
        <f>(Plant_BD[[#This Row],[Work Completion time on fault]]-Plant_BD[[#This Row],[Fault Time]])*24</f>
        <v>9.9999999999999645E-2</v>
      </c>
      <c r="AH27" s="242">
        <f>IFERROR((Plant_BD[[#This Row],[Work Completion time on fault]]-Plant_BD[[#This Row],[Fault Time]])*24,"")</f>
        <v>9.9999999999999645E-2</v>
      </c>
      <c r="AI27" s="243" t="s">
        <v>485</v>
      </c>
      <c r="AJ27" s="244" t="s">
        <v>491</v>
      </c>
      <c r="AK27" s="245">
        <f>IFERROR(Plant_BD[[#This Row],[Breakdown Time]]*Plant_BD[[#This Row],[Plant Equivalent Weightage]],"")</f>
        <v>1.697395657208434E-2</v>
      </c>
      <c r="AL27" s="244">
        <v>0.25</v>
      </c>
      <c r="AM27" s="241">
        <f>Plant_BD[[#This Row],[Lost PoA(kWh/m2)]]*Plant_BD[[#This Row],[DC Capacity Affected (kW)]]*_xlfn.XLOOKUP(Plant_BD[[#This Row],[Month Year]],'Modelling New'!$D:$D,'Modelling New'!$O:$O)</f>
        <v>372.99086163513743</v>
      </c>
      <c r="AN27" s="244"/>
      <c r="AO27" s="244"/>
      <c r="AP27" s="246"/>
    </row>
    <row r="28" spans="1:42">
      <c r="A28" s="227">
        <f t="shared" si="0"/>
        <v>27</v>
      </c>
      <c r="B28" s="228">
        <v>45869</v>
      </c>
      <c r="C28" s="229">
        <f>YEAR(Plant_BD[[#This Row],[Date]])+IF(MONTH(Plant_BD[[#This Row],[Date]])&gt;=4,1,0)</f>
        <v>2026</v>
      </c>
      <c r="D28" s="229">
        <f>YEAR(Plant_BD[[#This Row],[Date]])</f>
        <v>2025</v>
      </c>
      <c r="E28" s="230" t="s">
        <v>224</v>
      </c>
      <c r="F28" s="230" t="s">
        <v>224</v>
      </c>
      <c r="G28" s="231">
        <f>Plant_BD[[#This Row],[Date]]-DAY(Plant_BD[[#This Row],[Date]])+1</f>
        <v>45839</v>
      </c>
      <c r="H28" s="232">
        <f>DAY(EOMONTH(Plant_BD[[#This Row],[Month Year]],0))</f>
        <v>31</v>
      </c>
      <c r="I28" s="233">
        <f>_xlfn.XLOOKUP(Plant_BD[[#This Row],[Date]],'Raw Data'!$G:$G,'Raw Data'!$I:$I)</f>
        <v>0.26250000000000001</v>
      </c>
      <c r="J28" s="233">
        <f>_xlfn.XLOOKUP(Plant_BD[[#This Row],[Date]],'Raw Data'!$G:$G,'Raw Data'!$J:$J)</f>
        <v>0.78055555555555556</v>
      </c>
      <c r="K28" s="234">
        <f>IFERROR((Plant_BD[[#This Row],[Sunset Time (POA&lt;20 W/m2)]]-Plant_BD[[#This Row],[Sunrise Time (POA&gt;20 W/m2)]])*24,"")</f>
        <v>12.433333333333332</v>
      </c>
      <c r="L28" s="234"/>
      <c r="M28" s="234"/>
      <c r="N28" s="234"/>
      <c r="O28" s="234"/>
      <c r="P28" s="234"/>
      <c r="Q28" s="234"/>
      <c r="R28" s="234"/>
      <c r="S28" s="234"/>
      <c r="T28" s="235" t="s">
        <v>132</v>
      </c>
      <c r="U28" s="236">
        <f>IFERROR(_xlfn.XLOOKUP(Plant_BD[[#This Row],[Affected Equipment]],'Basic Data'!$A:$A,'Basic Data'!$B:$B),"")</f>
        <v>1987.7249999999999</v>
      </c>
      <c r="V28" s="247">
        <f>IFERROR(_xlfn.XLOOKUP(Plant_BD[[#This Row],[Affected Equipment]],'Basic Data'!$A:$A,'Basic Data'!$C:$C),"")</f>
        <v>0.169739565720844</v>
      </c>
      <c r="W28" s="237" t="s">
        <v>132</v>
      </c>
      <c r="X28" s="237" t="s">
        <v>239</v>
      </c>
      <c r="Y28" s="238" t="s">
        <v>486</v>
      </c>
      <c r="Z28" s="239"/>
      <c r="AA28" s="240">
        <v>0.54097222222222219</v>
      </c>
      <c r="AB28" s="240">
        <v>0.54166666666666663</v>
      </c>
      <c r="AC28" s="240">
        <v>0.54513888888888884</v>
      </c>
      <c r="AD28" s="240">
        <v>0.54513888888888884</v>
      </c>
      <c r="AE28" s="241">
        <f>IF(Plant_BD[[#This Row],[Acknowledgement Time ]]="NA","",(Plant_BD[[#This Row],[Acknowledgement Time ]]-Plant_BD[[#This Row],[Fault Time]])*24)</f>
        <v>1.6666666666666607E-2</v>
      </c>
      <c r="AF28" s="241">
        <f>IF(Plant_BD[[#This Row],[Work Start time on Fault]]="NA","",(Plant_BD[[#This Row],[Work Start time on Fault]]-Plant_BD[[#This Row],[Fault Time]])*24)</f>
        <v>9.9999999999999645E-2</v>
      </c>
      <c r="AG28" s="242">
        <f>(Plant_BD[[#This Row],[Work Completion time on fault]]-Plant_BD[[#This Row],[Fault Time]])*24</f>
        <v>9.9999999999999645E-2</v>
      </c>
      <c r="AH28" s="242">
        <f>IFERROR((Plant_BD[[#This Row],[Work Completion time on fault]]-Plant_BD[[#This Row],[Fault Time]])*24,"")</f>
        <v>9.9999999999999645E-2</v>
      </c>
      <c r="AI28" s="243" t="s">
        <v>485</v>
      </c>
      <c r="AJ28" s="244" t="s">
        <v>491</v>
      </c>
      <c r="AK28" s="245">
        <f>IFERROR(Plant_BD[[#This Row],[Breakdown Time]]*Plant_BD[[#This Row],[Plant Equivalent Weightage]],"")</f>
        <v>1.697395657208434E-2</v>
      </c>
      <c r="AL28" s="244">
        <v>0.25</v>
      </c>
      <c r="AM28" s="241">
        <f>Plant_BD[[#This Row],[Lost PoA(kWh/m2)]]*Plant_BD[[#This Row],[DC Capacity Affected (kW)]]*_xlfn.XLOOKUP(Plant_BD[[#This Row],[Month Year]],'Modelling New'!$D:$D,'Modelling New'!$O:$O)</f>
        <v>372.99086163513743</v>
      </c>
      <c r="AN28" s="244"/>
      <c r="AO28" s="244"/>
      <c r="AP28" s="246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F2BC27-2B3B-4E7D-8AFA-F69B698E47F5}">
          <x14:formula1>
            <xm:f>'Basic Data'!$A$2:$A$105</xm:f>
          </x14:formula1>
          <xm:sqref>W2:W1048576 T2:T1048576</xm:sqref>
        </x14:dataValidation>
        <x14:dataValidation type="list" allowBlank="1" showInputMessage="1" showErrorMessage="1" xr:uid="{A8A61886-9351-4421-804A-CD07B4910A21}">
          <x14:formula1>
            <xm:f>'Basic Data'!$M$2:$M$3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5C213-8B99-4C56-ADA1-8BAFDE8621CB}">
  <dimension ref="A1:AE50"/>
  <sheetViews>
    <sheetView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I49" sqref="I49"/>
    </sheetView>
  </sheetViews>
  <sheetFormatPr defaultColWidth="8.7265625" defaultRowHeight="14.5"/>
  <cols>
    <col min="1" max="1" width="10.81640625" style="212" bestFit="1" customWidth="1"/>
    <col min="2" max="2" width="10.453125" style="212" bestFit="1" customWidth="1"/>
    <col min="3" max="3" width="10.81640625" style="212" customWidth="1"/>
    <col min="4" max="4" width="11.81640625" style="212" customWidth="1"/>
    <col min="5" max="5" width="14.453125" style="212" customWidth="1"/>
    <col min="6" max="6" width="11.1796875" style="212" customWidth="1"/>
    <col min="7" max="7" width="10.26953125" style="212" customWidth="1"/>
    <col min="8" max="8" width="9.453125" style="212" bestFit="1" customWidth="1"/>
    <col min="9" max="9" width="14.81640625" style="212" customWidth="1"/>
    <col min="10" max="10" width="18.453125" style="212" customWidth="1"/>
    <col min="11" max="11" width="14.81640625" style="212" customWidth="1"/>
    <col min="12" max="12" width="11.54296875" style="212" customWidth="1"/>
    <col min="13" max="13" width="12.7265625" style="212" customWidth="1"/>
    <col min="14" max="14" width="28.54296875" style="257" bestFit="1" customWidth="1"/>
    <col min="15" max="15" width="30" style="212" bestFit="1" customWidth="1"/>
    <col min="16" max="16" width="17.54296875" style="212" bestFit="1" customWidth="1"/>
    <col min="17" max="17" width="25.453125" style="212" bestFit="1" customWidth="1"/>
    <col min="18" max="18" width="50.1796875" style="258" bestFit="1" customWidth="1"/>
    <col min="19" max="19" width="14.1796875" style="212" bestFit="1" customWidth="1"/>
    <col min="20" max="20" width="26.1796875" style="212" bestFit="1" customWidth="1"/>
    <col min="21" max="21" width="26.453125" style="212" bestFit="1" customWidth="1"/>
    <col min="22" max="22" width="31.81640625" style="212" bestFit="1" customWidth="1"/>
    <col min="23" max="23" width="25.453125" style="212" bestFit="1" customWidth="1"/>
    <col min="24" max="24" width="18" style="212" bestFit="1" customWidth="1"/>
    <col min="25" max="25" width="18.81640625" style="212" bestFit="1" customWidth="1"/>
    <col min="26" max="26" width="19.54296875" style="212" bestFit="1" customWidth="1"/>
    <col min="27" max="27" width="17" style="212" bestFit="1" customWidth="1"/>
    <col min="28" max="28" width="10.54296875" style="212" bestFit="1" customWidth="1"/>
    <col min="29" max="29" width="29.26953125" style="212" bestFit="1" customWidth="1"/>
    <col min="30" max="30" width="21.453125" style="212" bestFit="1" customWidth="1"/>
    <col min="31" max="31" width="32.453125" style="212" bestFit="1" customWidth="1"/>
    <col min="32" max="16384" width="8.7265625" style="212"/>
  </cols>
  <sheetData>
    <row r="1" spans="1:31" s="249" customFormat="1" ht="29">
      <c r="A1" s="249" t="s">
        <v>5</v>
      </c>
      <c r="B1" s="249" t="s">
        <v>34</v>
      </c>
      <c r="C1" s="249" t="s">
        <v>82</v>
      </c>
      <c r="D1" s="249" t="s">
        <v>83</v>
      </c>
      <c r="E1" s="249" t="s">
        <v>269</v>
      </c>
      <c r="F1" s="249" t="s">
        <v>128</v>
      </c>
      <c r="G1" s="249" t="s">
        <v>84</v>
      </c>
      <c r="H1" s="249" t="s">
        <v>63</v>
      </c>
      <c r="I1" s="249" t="s">
        <v>130</v>
      </c>
      <c r="J1" s="249" t="s">
        <v>131</v>
      </c>
      <c r="K1" s="249" t="s">
        <v>225</v>
      </c>
      <c r="L1" s="249" t="s">
        <v>541</v>
      </c>
      <c r="M1" s="249" t="s">
        <v>535</v>
      </c>
      <c r="N1" s="249" t="s">
        <v>226</v>
      </c>
      <c r="O1" s="249" t="s">
        <v>536</v>
      </c>
      <c r="P1" s="249" t="s">
        <v>277</v>
      </c>
      <c r="Q1" s="249" t="s">
        <v>227</v>
      </c>
      <c r="R1" s="249" t="s">
        <v>228</v>
      </c>
      <c r="S1" s="249" t="s">
        <v>229</v>
      </c>
      <c r="T1" s="249" t="s">
        <v>537</v>
      </c>
      <c r="U1" s="249" t="s">
        <v>230</v>
      </c>
      <c r="V1" s="249" t="s">
        <v>279</v>
      </c>
      <c r="W1" s="249" t="s">
        <v>280</v>
      </c>
      <c r="X1" s="249" t="s">
        <v>231</v>
      </c>
      <c r="Y1" s="249" t="s">
        <v>232</v>
      </c>
      <c r="Z1" s="249" t="s">
        <v>233</v>
      </c>
      <c r="AA1" s="249" t="s">
        <v>234</v>
      </c>
      <c r="AB1" s="249" t="s">
        <v>235</v>
      </c>
      <c r="AC1" s="249" t="s">
        <v>236</v>
      </c>
      <c r="AD1" s="249" t="s">
        <v>538</v>
      </c>
      <c r="AE1" s="249" t="s">
        <v>539</v>
      </c>
    </row>
    <row r="2" spans="1:31">
      <c r="A2" s="212">
        <v>1</v>
      </c>
      <c r="B2" s="250">
        <v>45745</v>
      </c>
      <c r="C2" s="221">
        <f>YEAR(Grid_BD[[#This Row],[Date]])+IF(MONTH(Grid_BD[[#This Row],[Date]])&gt;=4,1,0)</f>
        <v>2025</v>
      </c>
      <c r="D2" s="251">
        <f>YEAR(Grid_BD[[#This Row],[Date]])</f>
        <v>2025</v>
      </c>
      <c r="E2" s="251" t="s">
        <v>155</v>
      </c>
      <c r="F2" s="251" t="s">
        <v>155</v>
      </c>
      <c r="G2" s="252">
        <f>Grid_BD[[#This Row],[Date]]-DAY(Grid_BD[[#This Row],[Date]])+1</f>
        <v>45717</v>
      </c>
      <c r="H2" s="253">
        <f>DAY(EOMONTH(Grid_BD[[#This Row],[Month Year]],0))</f>
        <v>31</v>
      </c>
      <c r="I2" s="254">
        <f>_xlfn.XLOOKUP(Grid_BD[[#This Row],[Date]],'Raw Data'!$G:$G,'Raw Data'!$I:$I)</f>
        <v>0.2590277777777778</v>
      </c>
      <c r="J2" s="254">
        <f>_xlfn.XLOOKUP(Grid_BD[[#This Row],[Date]],'Raw Data'!$G:$G,'Raw Data'!$J:$J)</f>
        <v>0.76180555555555551</v>
      </c>
      <c r="K2" s="255">
        <f>IFERROR((Grid_BD[[#This Row],[Sunset Time (POA&lt;20 W/m2)]]-Grid_BD[[#This Row],[Sunrise Time (POA&gt;20 W/m2)]])*24,"")</f>
        <v>12.066666666666666</v>
      </c>
      <c r="L2" s="212" t="s">
        <v>323</v>
      </c>
      <c r="M2" s="256">
        <f>_xlfn.XLOOKUP(Grid_BD[[#This Row],[Affected Equipment ]],'Basic Data'!$A:$A,'Basic Data'!$B:$B)</f>
        <v>11710.44</v>
      </c>
      <c r="N2" s="263">
        <f>_xlfn.XLOOKUP(Grid_BD[[#This Row],[Affected Equipment ]],'Basic Data'!$A:$A,'Basic Data'!$C:$C)</f>
        <v>1</v>
      </c>
      <c r="O2" s="212" t="s">
        <v>324</v>
      </c>
      <c r="P2" s="212" t="s">
        <v>268</v>
      </c>
      <c r="R2" s="258" t="s">
        <v>328</v>
      </c>
      <c r="S2" s="254">
        <v>0.69236111111111109</v>
      </c>
      <c r="T2" s="254">
        <v>0.69236111111111109</v>
      </c>
      <c r="U2" s="254">
        <v>0.69444444444444442</v>
      </c>
      <c r="V2" s="254">
        <v>0.70277777777777772</v>
      </c>
      <c r="W2" s="254">
        <f>(Grid_BD[[#This Row],[Acknowledgement Time ]]-Grid_BD[[#This Row],[Fault Time]])*24</f>
        <v>0</v>
      </c>
      <c r="X2" s="212">
        <f>(Grid_BD[[#This Row],[Work Start time on Fault]]-Grid_BD[[#This Row],[Fault Time]])*24</f>
        <v>4.9999999999999822E-2</v>
      </c>
      <c r="Y2" s="255">
        <f>(Grid_BD[[#This Row],[Work Completion time on fault]]-Grid_BD[[#This Row],[Fault Time]])*24</f>
        <v>0.24999999999999911</v>
      </c>
      <c r="Z2" s="256">
        <f>(Grid_BD[[#This Row],[Work Completion time on fault]]-Grid_BD[[#This Row],[Fault Time]])*24</f>
        <v>0.24999999999999911</v>
      </c>
      <c r="AA2" s="212" t="s">
        <v>326</v>
      </c>
      <c r="AB2" s="212" t="s">
        <v>240</v>
      </c>
      <c r="AC2" s="256">
        <f>IFERROR(Grid_BD[[#This Row],[Plant Equivalent Weightage]]*Grid_BD[[#This Row],[Resolution Time]],"")</f>
        <v>0.24999999999999911</v>
      </c>
      <c r="AD2" s="212">
        <v>85</v>
      </c>
      <c r="AE2" s="255">
        <f>Grid_BD[[#This Row],[Lost PoA(kWh/m2)]]*Grid_BD[[#This Row],[DC Capacity Affected (kW)]]*_xlfn.XLOOKUP(Grid_BD[[#This Row],[Month Year]],'Modelling New'!$D:$D,'Modelling New'!$O:$O)/1000</f>
        <v>815.98700178510694</v>
      </c>
    </row>
    <row r="3" spans="1:31">
      <c r="A3" s="212">
        <f t="shared" ref="A3:A50" si="0">A2+1</f>
        <v>2</v>
      </c>
      <c r="B3" s="250">
        <v>45756</v>
      </c>
      <c r="C3" s="221">
        <f>YEAR(Grid_BD[[#This Row],[Date]])+IF(MONTH(Grid_BD[[#This Row],[Date]])&gt;=4,1,0)</f>
        <v>2026</v>
      </c>
      <c r="D3" s="212">
        <f>YEAR(Grid_BD[[#This Row],[Date]])</f>
        <v>2025</v>
      </c>
      <c r="E3" s="251" t="s">
        <v>155</v>
      </c>
      <c r="F3" s="251" t="s">
        <v>155</v>
      </c>
      <c r="G3" s="252">
        <f>Grid_BD[[#This Row],[Date]]-DAY(Grid_BD[[#This Row],[Date]])+1</f>
        <v>45748</v>
      </c>
      <c r="H3" s="212">
        <f>DAY(EOMONTH(Grid_BD[[#This Row],[Month Year]],0))</f>
        <v>30</v>
      </c>
      <c r="I3" s="254">
        <f>_xlfn.XLOOKUP(Grid_BD[[#This Row],[Date]],'Raw Data'!$G:$G,'Raw Data'!$I:$I)</f>
        <v>0.26527777777777778</v>
      </c>
      <c r="J3" s="254">
        <f>_xlfn.XLOOKUP(Grid_BD[[#This Row],[Date]],'Raw Data'!$G:$G,'Raw Data'!$J:$J)</f>
        <v>0.7680555555555556</v>
      </c>
      <c r="K3" s="255">
        <f>IFERROR((Grid_BD[[#This Row],[Sunset Time (POA&lt;20 W/m2)]]-Grid_BD[[#This Row],[Sunrise Time (POA&gt;20 W/m2)]])*24,"")</f>
        <v>12.066666666666666</v>
      </c>
      <c r="L3" s="212" t="s">
        <v>323</v>
      </c>
      <c r="M3" s="256">
        <f>_xlfn.XLOOKUP(Grid_BD[[#This Row],[Affected Equipment ]],'Basic Data'!$A:$A,'Basic Data'!$B:$B)</f>
        <v>11710.44</v>
      </c>
      <c r="N3" s="263">
        <f>_xlfn.XLOOKUP(Grid_BD[[#This Row],[Affected Equipment ]],'Basic Data'!$A:$A,'Basic Data'!$C:$C)</f>
        <v>1</v>
      </c>
      <c r="O3" s="212" t="s">
        <v>324</v>
      </c>
      <c r="P3" s="212" t="s">
        <v>268</v>
      </c>
      <c r="R3" s="258" t="s">
        <v>325</v>
      </c>
      <c r="S3" s="254">
        <v>0.56527777777777777</v>
      </c>
      <c r="T3" s="254">
        <v>0.56527777777777777</v>
      </c>
      <c r="U3" s="254">
        <v>0.56944444444444442</v>
      </c>
      <c r="V3" s="254">
        <v>0.57222222222222219</v>
      </c>
      <c r="W3" s="254">
        <f>(Grid_BD[[#This Row],[Acknowledgement Time ]]-Grid_BD[[#This Row],[Fault Time]])*24</f>
        <v>0</v>
      </c>
      <c r="X3" s="212">
        <f>(Grid_BD[[#This Row],[Work Start time on Fault]]-Grid_BD[[#This Row],[Fault Time]])*24</f>
        <v>9.9999999999999645E-2</v>
      </c>
      <c r="Y3" s="255">
        <f>(Grid_BD[[#This Row],[Work Completion time on fault]]-Grid_BD[[#This Row],[Fault Time]])*24</f>
        <v>0.16666666666666607</v>
      </c>
      <c r="Z3" s="256">
        <f>(Grid_BD[[#This Row],[Work Completion time on fault]]-Grid_BD[[#This Row],[Fault Time]])*24</f>
        <v>0.16666666666666607</v>
      </c>
      <c r="AA3" s="212" t="s">
        <v>326</v>
      </c>
      <c r="AB3" s="212" t="s">
        <v>240</v>
      </c>
      <c r="AC3" s="256">
        <f>IFERROR(Grid_BD[[#This Row],[Plant Equivalent Weightage]]*Grid_BD[[#This Row],[Resolution Time]],"")</f>
        <v>0.16666666666666607</v>
      </c>
      <c r="AD3" s="212">
        <v>138</v>
      </c>
      <c r="AE3" s="255">
        <f>Grid_BD[[#This Row],[Lost PoA(kWh/m2)]]*Grid_BD[[#This Row],[DC Capacity Affected (kW)]]*_xlfn.XLOOKUP(Grid_BD[[#This Row],[Month Year]],'Modelling New'!$D:$D,'Modelling New'!$O:$O)/1000</f>
        <v>1148.4610130709164</v>
      </c>
    </row>
    <row r="4" spans="1:31">
      <c r="A4" s="212">
        <f t="shared" si="0"/>
        <v>3</v>
      </c>
      <c r="B4" s="250">
        <v>45757</v>
      </c>
      <c r="C4" s="221">
        <f>YEAR(Grid_BD[[#This Row],[Date]])+IF(MONTH(Grid_BD[[#This Row],[Date]])&gt;=4,1,0)</f>
        <v>2026</v>
      </c>
      <c r="D4" s="212">
        <f>YEAR(Grid_BD[[#This Row],[Date]])</f>
        <v>2025</v>
      </c>
      <c r="E4" s="251" t="s">
        <v>155</v>
      </c>
      <c r="F4" s="251" t="s">
        <v>155</v>
      </c>
      <c r="G4" s="252">
        <f>Grid_BD[[#This Row],[Date]]-DAY(Grid_BD[[#This Row],[Date]])+1</f>
        <v>45748</v>
      </c>
      <c r="H4" s="212">
        <f>DAY(EOMONTH(Grid_BD[[#This Row],[Month Year]],0))</f>
        <v>30</v>
      </c>
      <c r="I4" s="254">
        <f>_xlfn.XLOOKUP(Grid_BD[[#This Row],[Date]],'Raw Data'!$G:$G,'Raw Data'!$I:$I)</f>
        <v>0.2638888888888889</v>
      </c>
      <c r="J4" s="254">
        <f>_xlfn.XLOOKUP(Grid_BD[[#This Row],[Date]],'Raw Data'!$G:$G,'Raw Data'!$J:$J)</f>
        <v>0.76041666666666663</v>
      </c>
      <c r="K4" s="255">
        <f>IFERROR((Grid_BD[[#This Row],[Sunset Time (POA&lt;20 W/m2)]]-Grid_BD[[#This Row],[Sunrise Time (POA&gt;20 W/m2)]])*24,"")</f>
        <v>11.916666666666666</v>
      </c>
      <c r="L4" s="212" t="s">
        <v>323</v>
      </c>
      <c r="M4" s="256">
        <f>_xlfn.XLOOKUP(Grid_BD[[#This Row],[Affected Equipment ]],'Basic Data'!$A:$A,'Basic Data'!$B:$B)</f>
        <v>11710.44</v>
      </c>
      <c r="N4" s="263">
        <f>_xlfn.XLOOKUP(Grid_BD[[#This Row],[Affected Equipment ]],'Basic Data'!$A:$A,'Basic Data'!$C:$C)</f>
        <v>1</v>
      </c>
      <c r="O4" s="212" t="s">
        <v>324</v>
      </c>
      <c r="P4" s="212" t="s">
        <v>268</v>
      </c>
      <c r="R4" s="258" t="s">
        <v>325</v>
      </c>
      <c r="S4" s="254">
        <v>0.35416666666666669</v>
      </c>
      <c r="T4" s="254">
        <v>0.35555555555555557</v>
      </c>
      <c r="U4" s="254">
        <v>0.3576388888888889</v>
      </c>
      <c r="V4" s="254">
        <v>0.35972222222222222</v>
      </c>
      <c r="W4" s="254">
        <f>(Grid_BD[[#This Row],[Acknowledgement Time ]]-Grid_BD[[#This Row],[Fault Time]])*24</f>
        <v>3.3333333333333215E-2</v>
      </c>
      <c r="X4" s="212">
        <f>(Grid_BD[[#This Row],[Work Start time on Fault]]-Grid_BD[[#This Row],[Fault Time]])*24</f>
        <v>8.3333333333333037E-2</v>
      </c>
      <c r="Y4" s="255">
        <f>(Grid_BD[[#This Row],[Work Completion time on fault]]-Grid_BD[[#This Row],[Fault Time]])*24</f>
        <v>0.13333333333333286</v>
      </c>
      <c r="Z4" s="256">
        <f>(Grid_BD[[#This Row],[Work Completion time on fault]]-Grid_BD[[#This Row],[Fault Time]])*24</f>
        <v>0.13333333333333286</v>
      </c>
      <c r="AA4" s="212" t="s">
        <v>326</v>
      </c>
      <c r="AB4" s="212" t="s">
        <v>240</v>
      </c>
      <c r="AC4" s="256">
        <f>IFERROR(Grid_BD[[#This Row],[Plant Equivalent Weightage]]*Grid_BD[[#This Row],[Resolution Time]],"")</f>
        <v>0.13333333333333286</v>
      </c>
      <c r="AD4" s="212">
        <v>80</v>
      </c>
      <c r="AE4" s="255">
        <f>Grid_BD[[#This Row],[Lost PoA(kWh/m2)]]*Grid_BD[[#This Row],[DC Capacity Affected (kW)]]*_xlfn.XLOOKUP(Grid_BD[[#This Row],[Month Year]],'Modelling New'!$D:$D,'Modelling New'!$O:$O)/1000</f>
        <v>665.77450033096613</v>
      </c>
    </row>
    <row r="5" spans="1:31">
      <c r="A5" s="212">
        <f t="shared" si="0"/>
        <v>4</v>
      </c>
      <c r="B5" s="250">
        <v>45757</v>
      </c>
      <c r="C5" s="221">
        <f>YEAR(Grid_BD[[#This Row],[Date]])+IF(MONTH(Grid_BD[[#This Row],[Date]])&gt;=4,1,0)</f>
        <v>2026</v>
      </c>
      <c r="D5" s="212">
        <f>YEAR(Grid_BD[[#This Row],[Date]])</f>
        <v>2025</v>
      </c>
      <c r="E5" s="251" t="s">
        <v>155</v>
      </c>
      <c r="F5" s="251" t="s">
        <v>155</v>
      </c>
      <c r="G5" s="252">
        <f>Grid_BD[[#This Row],[Date]]-DAY(Grid_BD[[#This Row],[Date]])+1</f>
        <v>45748</v>
      </c>
      <c r="H5" s="212">
        <f>DAY(EOMONTH(Grid_BD[[#This Row],[Month Year]],0))</f>
        <v>30</v>
      </c>
      <c r="I5" s="254">
        <f>_xlfn.XLOOKUP(Grid_BD[[#This Row],[Date]],'Raw Data'!$G:$G,'Raw Data'!$I:$I)</f>
        <v>0.2638888888888889</v>
      </c>
      <c r="J5" s="254">
        <f>_xlfn.XLOOKUP(Grid_BD[[#This Row],[Date]],'Raw Data'!$G:$G,'Raw Data'!$J:$J)</f>
        <v>0.76041666666666663</v>
      </c>
      <c r="K5" s="255">
        <f>IFERROR((Grid_BD[[#This Row],[Sunset Time (POA&lt;20 W/m2)]]-Grid_BD[[#This Row],[Sunrise Time (POA&gt;20 W/m2)]])*24,"")</f>
        <v>11.916666666666666</v>
      </c>
      <c r="L5" s="212" t="s">
        <v>323</v>
      </c>
      <c r="M5" s="256">
        <f>_xlfn.XLOOKUP(Grid_BD[[#This Row],[Affected Equipment ]],'Basic Data'!$A:$A,'Basic Data'!$B:$B)</f>
        <v>11710.44</v>
      </c>
      <c r="N5" s="263">
        <f>_xlfn.XLOOKUP(Grid_BD[[#This Row],[Affected Equipment ]],'Basic Data'!$A:$A,'Basic Data'!$C:$C)</f>
        <v>1</v>
      </c>
      <c r="O5" s="212" t="s">
        <v>324</v>
      </c>
      <c r="P5" s="212" t="s">
        <v>268</v>
      </c>
      <c r="R5" s="258" t="s">
        <v>325</v>
      </c>
      <c r="S5" s="254">
        <v>0.63472222222222219</v>
      </c>
      <c r="T5" s="254">
        <v>0.63749999999999996</v>
      </c>
      <c r="U5" s="254">
        <v>0.66666666666666663</v>
      </c>
      <c r="V5" s="254">
        <v>0.71875</v>
      </c>
      <c r="W5" s="254">
        <f>(Grid_BD[[#This Row],[Acknowledgement Time ]]-Grid_BD[[#This Row],[Fault Time]])*24</f>
        <v>6.666666666666643E-2</v>
      </c>
      <c r="X5" s="212">
        <f>(Grid_BD[[#This Row],[Work Start time on Fault]]-Grid_BD[[#This Row],[Fault Time]])*24</f>
        <v>0.76666666666666661</v>
      </c>
      <c r="Y5" s="255">
        <f>(Grid_BD[[#This Row],[Work Completion time on fault]]-Grid_BD[[#This Row],[Fault Time]])*24</f>
        <v>2.0166666666666675</v>
      </c>
      <c r="Z5" s="256">
        <f>(Grid_BD[[#This Row],[Work Completion time on fault]]-Grid_BD[[#This Row],[Fault Time]])*24</f>
        <v>2.0166666666666675</v>
      </c>
      <c r="AA5" s="212" t="s">
        <v>326</v>
      </c>
      <c r="AB5" s="212" t="s">
        <v>240</v>
      </c>
      <c r="AC5" s="256">
        <f>IFERROR(Grid_BD[[#This Row],[Plant Equivalent Weightage]]*Grid_BD[[#This Row],[Resolution Time]],"")</f>
        <v>2.0166666666666675</v>
      </c>
      <c r="AD5" s="212">
        <v>84</v>
      </c>
      <c r="AE5" s="255">
        <f>Grid_BD[[#This Row],[Lost PoA(kWh/m2)]]*Grid_BD[[#This Row],[DC Capacity Affected (kW)]]*_xlfn.XLOOKUP(Grid_BD[[#This Row],[Month Year]],'Modelling New'!$D:$D,'Modelling New'!$O:$O)/1000</f>
        <v>699.06322534751439</v>
      </c>
    </row>
    <row r="6" spans="1:31">
      <c r="A6" s="212">
        <f t="shared" si="0"/>
        <v>5</v>
      </c>
      <c r="B6" s="250">
        <v>45758</v>
      </c>
      <c r="C6" s="221">
        <f>YEAR(Grid_BD[[#This Row],[Date]])+IF(MONTH(Grid_BD[[#This Row],[Date]])&gt;=4,1,0)</f>
        <v>2026</v>
      </c>
      <c r="D6" s="212">
        <f>YEAR(Grid_BD[[#This Row],[Date]])</f>
        <v>2025</v>
      </c>
      <c r="E6" s="251" t="s">
        <v>155</v>
      </c>
      <c r="F6" s="251" t="s">
        <v>155</v>
      </c>
      <c r="G6" s="252">
        <f>Grid_BD[[#This Row],[Date]]-DAY(Grid_BD[[#This Row],[Date]])+1</f>
        <v>45748</v>
      </c>
      <c r="H6" s="212">
        <f>DAY(EOMONTH(Grid_BD[[#This Row],[Month Year]],0))</f>
        <v>30</v>
      </c>
      <c r="I6" s="254">
        <f>_xlfn.XLOOKUP(Grid_BD[[#This Row],[Date]],'Raw Data'!$G:$G,'Raw Data'!$I:$I)</f>
        <v>0.26250000000000001</v>
      </c>
      <c r="J6" s="254">
        <f>_xlfn.XLOOKUP(Grid_BD[[#This Row],[Date]],'Raw Data'!$G:$G,'Raw Data'!$J:$J)</f>
        <v>0.75555555555555554</v>
      </c>
      <c r="K6" s="255">
        <f>IFERROR((Grid_BD[[#This Row],[Sunset Time (POA&lt;20 W/m2)]]-Grid_BD[[#This Row],[Sunrise Time (POA&gt;20 W/m2)]])*24,"")</f>
        <v>11.833333333333332</v>
      </c>
      <c r="L6" s="212" t="s">
        <v>323</v>
      </c>
      <c r="M6" s="256">
        <f>_xlfn.XLOOKUP(Grid_BD[[#This Row],[Affected Equipment ]],'Basic Data'!$A:$A,'Basic Data'!$B:$B)</f>
        <v>11710.44</v>
      </c>
      <c r="N6" s="263">
        <f>_xlfn.XLOOKUP(Grid_BD[[#This Row],[Affected Equipment ]],'Basic Data'!$A:$A,'Basic Data'!$C:$C)</f>
        <v>1</v>
      </c>
      <c r="O6" s="212" t="s">
        <v>324</v>
      </c>
      <c r="P6" s="212" t="s">
        <v>268</v>
      </c>
      <c r="R6" s="258" t="s">
        <v>325</v>
      </c>
      <c r="S6" s="254">
        <v>0.48333333333333334</v>
      </c>
      <c r="T6" s="254">
        <v>0.48333333333333334</v>
      </c>
      <c r="U6" s="254">
        <v>0.4861111111111111</v>
      </c>
      <c r="V6" s="254">
        <v>0.49027777777777776</v>
      </c>
      <c r="W6" s="254">
        <f>(Grid_BD[[#This Row],[Acknowledgement Time ]]-Grid_BD[[#This Row],[Fault Time]])*24</f>
        <v>0</v>
      </c>
      <c r="X6" s="212">
        <f>(Grid_BD[[#This Row],[Work Start time on Fault]]-Grid_BD[[#This Row],[Fault Time]])*24</f>
        <v>6.666666666666643E-2</v>
      </c>
      <c r="Y6" s="255">
        <f>(Grid_BD[[#This Row],[Work Completion time on fault]]-Grid_BD[[#This Row],[Fault Time]])*24</f>
        <v>0.16666666666666607</v>
      </c>
      <c r="Z6" s="256">
        <f>(Grid_BD[[#This Row],[Work Completion time on fault]]-Grid_BD[[#This Row],[Fault Time]])*24</f>
        <v>0.16666666666666607</v>
      </c>
      <c r="AA6" s="212" t="s">
        <v>326</v>
      </c>
      <c r="AB6" s="212" t="s">
        <v>240</v>
      </c>
      <c r="AC6" s="256">
        <f>IFERROR(Grid_BD[[#This Row],[Plant Equivalent Weightage]]*Grid_BD[[#This Row],[Resolution Time]],"")</f>
        <v>0.16666666666666607</v>
      </c>
      <c r="AD6" s="212">
        <v>154</v>
      </c>
      <c r="AE6" s="255">
        <f>Grid_BD[[#This Row],[Lost PoA(kWh/m2)]]*Grid_BD[[#This Row],[DC Capacity Affected (kW)]]*_xlfn.XLOOKUP(Grid_BD[[#This Row],[Month Year]],'Modelling New'!$D:$D,'Modelling New'!$O:$O)/1000</f>
        <v>1281.6159131371098</v>
      </c>
    </row>
    <row r="7" spans="1:31">
      <c r="A7" s="212">
        <f t="shared" si="0"/>
        <v>6</v>
      </c>
      <c r="B7" s="250">
        <v>45769</v>
      </c>
      <c r="C7" s="221">
        <f>YEAR(Grid_BD[[#This Row],[Date]])+IF(MONTH(Grid_BD[[#This Row],[Date]])&gt;=4,1,0)</f>
        <v>2026</v>
      </c>
      <c r="D7" s="212">
        <f>YEAR(Grid_BD[[#This Row],[Date]])</f>
        <v>2025</v>
      </c>
      <c r="E7" s="251" t="s">
        <v>155</v>
      </c>
      <c r="F7" s="251" t="s">
        <v>155</v>
      </c>
      <c r="G7" s="252">
        <f>Grid_BD[[#This Row],[Date]]-DAY(Grid_BD[[#This Row],[Date]])+1</f>
        <v>45748</v>
      </c>
      <c r="H7" s="212">
        <f>DAY(EOMONTH(Grid_BD[[#This Row],[Month Year]],0))</f>
        <v>30</v>
      </c>
      <c r="I7" s="254">
        <f>_xlfn.XLOOKUP(Grid_BD[[#This Row],[Date]],'Raw Data'!$G:$G,'Raw Data'!$I:$I)</f>
        <v>0.2638888888888889</v>
      </c>
      <c r="J7" s="254">
        <f>_xlfn.XLOOKUP(Grid_BD[[#This Row],[Date]],'Raw Data'!$G:$G,'Raw Data'!$J:$J)</f>
        <v>0.7680555555555556</v>
      </c>
      <c r="K7" s="255">
        <f>IFERROR((Grid_BD[[#This Row],[Sunset Time (POA&lt;20 W/m2)]]-Grid_BD[[#This Row],[Sunrise Time (POA&gt;20 W/m2)]])*24,"")</f>
        <v>12.1</v>
      </c>
      <c r="L7" s="212" t="s">
        <v>323</v>
      </c>
      <c r="M7" s="256">
        <f>_xlfn.XLOOKUP(Grid_BD[[#This Row],[Affected Equipment ]],'Basic Data'!$A:$A,'Basic Data'!$B:$B)</f>
        <v>11710.44</v>
      </c>
      <c r="N7" s="263">
        <f>_xlfn.XLOOKUP(Grid_BD[[#This Row],[Affected Equipment ]],'Basic Data'!$A:$A,'Basic Data'!$C:$C)</f>
        <v>1</v>
      </c>
      <c r="O7" s="212" t="s">
        <v>324</v>
      </c>
      <c r="P7" s="212" t="s">
        <v>268</v>
      </c>
      <c r="R7" s="258" t="s">
        <v>329</v>
      </c>
      <c r="S7" s="254">
        <v>0.45624999999999999</v>
      </c>
      <c r="T7" s="254">
        <v>0.45624999999999999</v>
      </c>
      <c r="U7" s="254">
        <v>0.46180555555555558</v>
      </c>
      <c r="V7" s="254">
        <v>0.4826388888888889</v>
      </c>
      <c r="W7" s="254">
        <f>(Grid_BD[[#This Row],[Acknowledgement Time ]]-Grid_BD[[#This Row],[Fault Time]])*24</f>
        <v>0</v>
      </c>
      <c r="X7" s="212">
        <f>(Grid_BD[[#This Row],[Work Start time on Fault]]-Grid_BD[[#This Row],[Fault Time]])*24</f>
        <v>0.13333333333333419</v>
      </c>
      <c r="Y7" s="255">
        <f>(Grid_BD[[#This Row],[Work Completion time on fault]]-Grid_BD[[#This Row],[Fault Time]])*24</f>
        <v>0.63333333333333375</v>
      </c>
      <c r="Z7" s="256">
        <f>(Grid_BD[[#This Row],[Work Completion time on fault]]-Grid_BD[[#This Row],[Fault Time]])*24</f>
        <v>0.63333333333333375</v>
      </c>
      <c r="AA7" s="212" t="s">
        <v>326</v>
      </c>
      <c r="AB7" s="212" t="s">
        <v>240</v>
      </c>
      <c r="AC7" s="256">
        <f>IFERROR(Grid_BD[[#This Row],[Plant Equivalent Weightage]]*Grid_BD[[#This Row],[Resolution Time]],"")</f>
        <v>0.63333333333333375</v>
      </c>
      <c r="AD7" s="212">
        <v>595</v>
      </c>
      <c r="AE7" s="255">
        <f>Grid_BD[[#This Row],[Lost PoA(kWh/m2)]]*Grid_BD[[#This Row],[DC Capacity Affected (kW)]]*_xlfn.XLOOKUP(Grid_BD[[#This Row],[Month Year]],'Modelling New'!$D:$D,'Modelling New'!$O:$O)/1000</f>
        <v>4951.6978462115603</v>
      </c>
    </row>
    <row r="8" spans="1:31">
      <c r="A8" s="212">
        <f t="shared" si="0"/>
        <v>7</v>
      </c>
      <c r="B8" s="250">
        <v>45769</v>
      </c>
      <c r="C8" s="221">
        <f>YEAR(Grid_BD[[#This Row],[Date]])+IF(MONTH(Grid_BD[[#This Row],[Date]])&gt;=4,1,0)</f>
        <v>2026</v>
      </c>
      <c r="D8" s="212">
        <f>YEAR(Grid_BD[[#This Row],[Date]])</f>
        <v>2025</v>
      </c>
      <c r="E8" s="251" t="s">
        <v>155</v>
      </c>
      <c r="F8" s="251" t="s">
        <v>155</v>
      </c>
      <c r="G8" s="252">
        <f>Grid_BD[[#This Row],[Date]]-DAY(Grid_BD[[#This Row],[Date]])+1</f>
        <v>45748</v>
      </c>
      <c r="H8" s="212">
        <f>DAY(EOMONTH(Grid_BD[[#This Row],[Month Year]],0))</f>
        <v>30</v>
      </c>
      <c r="I8" s="254">
        <f>_xlfn.XLOOKUP(Grid_BD[[#This Row],[Date]],'Raw Data'!$G:$G,'Raw Data'!$I:$I)</f>
        <v>0.2638888888888889</v>
      </c>
      <c r="J8" s="254">
        <f>_xlfn.XLOOKUP(Grid_BD[[#This Row],[Date]],'Raw Data'!$G:$G,'Raw Data'!$J:$J)</f>
        <v>0.7680555555555556</v>
      </c>
      <c r="K8" s="255">
        <f>IFERROR((Grid_BD[[#This Row],[Sunset Time (POA&lt;20 W/m2)]]-Grid_BD[[#This Row],[Sunrise Time (POA&gt;20 W/m2)]])*24,"")</f>
        <v>12.1</v>
      </c>
      <c r="L8" s="212" t="s">
        <v>323</v>
      </c>
      <c r="M8" s="256">
        <f>_xlfn.XLOOKUP(Grid_BD[[#This Row],[Affected Equipment ]],'Basic Data'!$A:$A,'Basic Data'!$B:$B)</f>
        <v>11710.44</v>
      </c>
      <c r="N8" s="263">
        <f>_xlfn.XLOOKUP(Grid_BD[[#This Row],[Affected Equipment ]],'Basic Data'!$A:$A,'Basic Data'!$C:$C)</f>
        <v>1</v>
      </c>
      <c r="O8" s="212" t="s">
        <v>324</v>
      </c>
      <c r="P8" s="212" t="s">
        <v>268</v>
      </c>
      <c r="R8" s="258" t="s">
        <v>329</v>
      </c>
      <c r="S8" s="254">
        <v>0.4909722222222222</v>
      </c>
      <c r="T8" s="254">
        <v>0.4909722222222222</v>
      </c>
      <c r="U8" s="254">
        <v>0.49305555555555558</v>
      </c>
      <c r="V8" s="254">
        <v>0.50486111111111109</v>
      </c>
      <c r="W8" s="254">
        <f>(Grid_BD[[#This Row],[Acknowledgement Time ]]-Grid_BD[[#This Row],[Fault Time]])*24</f>
        <v>0</v>
      </c>
      <c r="X8" s="212">
        <f>(Grid_BD[[#This Row],[Work Start time on Fault]]-Grid_BD[[#This Row],[Fault Time]])*24</f>
        <v>5.0000000000001155E-2</v>
      </c>
      <c r="Y8" s="255">
        <f>(Grid_BD[[#This Row],[Work Completion time on fault]]-Grid_BD[[#This Row],[Fault Time]])*24</f>
        <v>0.33333333333333348</v>
      </c>
      <c r="Z8" s="256">
        <f>(Grid_BD[[#This Row],[Work Completion time on fault]]-Grid_BD[[#This Row],[Fault Time]])*24</f>
        <v>0.33333333333333348</v>
      </c>
      <c r="AA8" s="212" t="s">
        <v>326</v>
      </c>
      <c r="AB8" s="212" t="s">
        <v>240</v>
      </c>
      <c r="AC8" s="256">
        <f>IFERROR(Grid_BD[[#This Row],[Plant Equivalent Weightage]]*Grid_BD[[#This Row],[Resolution Time]],"")</f>
        <v>0.33333333333333348</v>
      </c>
      <c r="AD8" s="212">
        <v>346</v>
      </c>
      <c r="AE8" s="255">
        <f>Grid_BD[[#This Row],[Lost PoA(kWh/m2)]]*Grid_BD[[#This Row],[DC Capacity Affected (kW)]]*_xlfn.XLOOKUP(Grid_BD[[#This Row],[Month Year]],'Modelling New'!$D:$D,'Modelling New'!$O:$O)/1000</f>
        <v>2879.4747139314281</v>
      </c>
    </row>
    <row r="9" spans="1:31">
      <c r="A9" s="212">
        <f t="shared" si="0"/>
        <v>8</v>
      </c>
      <c r="B9" s="250">
        <v>45771</v>
      </c>
      <c r="C9" s="221">
        <f>YEAR(Grid_BD[[#This Row],[Date]])+IF(MONTH(Grid_BD[[#This Row],[Date]])&gt;=4,1,0)</f>
        <v>2026</v>
      </c>
      <c r="D9" s="212">
        <f>YEAR(Grid_BD[[#This Row],[Date]])</f>
        <v>2025</v>
      </c>
      <c r="E9" s="251" t="s">
        <v>155</v>
      </c>
      <c r="F9" s="251" t="s">
        <v>155</v>
      </c>
      <c r="G9" s="252">
        <f>Grid_BD[[#This Row],[Date]]-DAY(Grid_BD[[#This Row],[Date]])+1</f>
        <v>45748</v>
      </c>
      <c r="H9" s="212">
        <f>DAY(EOMONTH(Grid_BD[[#This Row],[Month Year]],0))</f>
        <v>30</v>
      </c>
      <c r="I9" s="254">
        <f>_xlfn.XLOOKUP(Grid_BD[[#This Row],[Date]],'Raw Data'!$G:$G,'Raw Data'!$I:$I)</f>
        <v>0.26111111111111113</v>
      </c>
      <c r="J9" s="254">
        <f>_xlfn.XLOOKUP(Grid_BD[[#This Row],[Date]],'Raw Data'!$G:$G,'Raw Data'!$J:$J)</f>
        <v>0.76041666666666663</v>
      </c>
      <c r="K9" s="255">
        <f>IFERROR((Grid_BD[[#This Row],[Sunset Time (POA&lt;20 W/m2)]]-Grid_BD[[#This Row],[Sunrise Time (POA&gt;20 W/m2)]])*24,"")</f>
        <v>11.983333333333333</v>
      </c>
      <c r="L9" s="212" t="s">
        <v>323</v>
      </c>
      <c r="M9" s="256">
        <f>_xlfn.XLOOKUP(Grid_BD[[#This Row],[Affected Equipment ]],'Basic Data'!$A:$A,'Basic Data'!$B:$B)</f>
        <v>11710.44</v>
      </c>
      <c r="N9" s="263">
        <f>_xlfn.XLOOKUP(Grid_BD[[#This Row],[Affected Equipment ]],'Basic Data'!$A:$A,'Basic Data'!$C:$C)</f>
        <v>1</v>
      </c>
      <c r="O9" s="212" t="s">
        <v>324</v>
      </c>
      <c r="P9" s="212" t="s">
        <v>268</v>
      </c>
      <c r="R9" s="258" t="s">
        <v>330</v>
      </c>
      <c r="S9" s="254">
        <v>0.4909722222222222</v>
      </c>
      <c r="T9" s="254">
        <v>0.4909722222222222</v>
      </c>
      <c r="U9" s="254">
        <v>0.49305555555555558</v>
      </c>
      <c r="V9" s="254">
        <v>0.50486111111111109</v>
      </c>
      <c r="W9" s="254">
        <f>(Grid_BD[[#This Row],[Acknowledgement Time ]]-Grid_BD[[#This Row],[Fault Time]])*24</f>
        <v>0</v>
      </c>
      <c r="X9" s="212">
        <f>(Grid_BD[[#This Row],[Work Start time on Fault]]-Grid_BD[[#This Row],[Fault Time]])*24</f>
        <v>5.0000000000001155E-2</v>
      </c>
      <c r="Y9" s="255">
        <f>(Grid_BD[[#This Row],[Work Completion time on fault]]-Grid_BD[[#This Row],[Fault Time]])*24</f>
        <v>0.33333333333333348</v>
      </c>
      <c r="Z9" s="256">
        <f>(Grid_BD[[#This Row],[Work Completion time on fault]]-Grid_BD[[#This Row],[Fault Time]])*24</f>
        <v>0.33333333333333348</v>
      </c>
      <c r="AA9" s="212" t="s">
        <v>326</v>
      </c>
      <c r="AB9" s="212" t="s">
        <v>240</v>
      </c>
      <c r="AC9" s="256">
        <f>IFERROR(Grid_BD[[#This Row],[Plant Equivalent Weightage]]*Grid_BD[[#This Row],[Resolution Time]],"")</f>
        <v>0.33333333333333348</v>
      </c>
      <c r="AD9" s="212">
        <v>50</v>
      </c>
      <c r="AE9" s="255">
        <f>Grid_BD[[#This Row],[Lost PoA(kWh/m2)]]*Grid_BD[[#This Row],[DC Capacity Affected (kW)]]*_xlfn.XLOOKUP(Grid_BD[[#This Row],[Month Year]],'Modelling New'!$D:$D,'Modelling New'!$O:$O)/1000</f>
        <v>416.10906270685376</v>
      </c>
    </row>
    <row r="10" spans="1:31">
      <c r="A10" s="212">
        <f t="shared" si="0"/>
        <v>9</v>
      </c>
      <c r="B10" s="250">
        <v>45772</v>
      </c>
      <c r="C10" s="221">
        <f>YEAR(Grid_BD[[#This Row],[Date]])+IF(MONTH(Grid_BD[[#This Row],[Date]])&gt;=4,1,0)</f>
        <v>2026</v>
      </c>
      <c r="D10" s="212">
        <f>YEAR(Grid_BD[[#This Row],[Date]])</f>
        <v>2025</v>
      </c>
      <c r="E10" s="251" t="s">
        <v>155</v>
      </c>
      <c r="F10" s="251" t="s">
        <v>155</v>
      </c>
      <c r="G10" s="252">
        <f>Grid_BD[[#This Row],[Date]]-DAY(Grid_BD[[#This Row],[Date]])+1</f>
        <v>45748</v>
      </c>
      <c r="H10" s="212">
        <f>DAY(EOMONTH(Grid_BD[[#This Row],[Month Year]],0))</f>
        <v>30</v>
      </c>
      <c r="I10" s="254">
        <f>_xlfn.XLOOKUP(Grid_BD[[#This Row],[Date]],'Raw Data'!$G:$G,'Raw Data'!$I:$I)</f>
        <v>0.25555555555555554</v>
      </c>
      <c r="J10" s="254">
        <f>_xlfn.XLOOKUP(Grid_BD[[#This Row],[Date]],'Raw Data'!$G:$G,'Raw Data'!$J:$J)</f>
        <v>0.72083333333333333</v>
      </c>
      <c r="K10" s="255">
        <f>IFERROR((Grid_BD[[#This Row],[Sunset Time (POA&lt;20 W/m2)]]-Grid_BD[[#This Row],[Sunrise Time (POA&gt;20 W/m2)]])*24,"")</f>
        <v>11.166666666666668</v>
      </c>
      <c r="L10" s="212" t="s">
        <v>323</v>
      </c>
      <c r="M10" s="256">
        <f>_xlfn.XLOOKUP(Grid_BD[[#This Row],[Affected Equipment ]],'Basic Data'!$A:$A,'Basic Data'!$B:$B)</f>
        <v>11710.44</v>
      </c>
      <c r="N10" s="263">
        <f>_xlfn.XLOOKUP(Grid_BD[[#This Row],[Affected Equipment ]],'Basic Data'!$A:$A,'Basic Data'!$C:$C)</f>
        <v>1</v>
      </c>
      <c r="O10" s="212" t="s">
        <v>324</v>
      </c>
      <c r="P10" s="212" t="s">
        <v>268</v>
      </c>
      <c r="R10" s="258" t="s">
        <v>327</v>
      </c>
      <c r="S10" s="254">
        <v>0.65833333333333333</v>
      </c>
      <c r="T10" s="254">
        <v>0.65833333333333333</v>
      </c>
      <c r="U10" s="254">
        <v>0.66666666666666663</v>
      </c>
      <c r="V10" s="254">
        <v>0.71875</v>
      </c>
      <c r="W10" s="254">
        <f>(Grid_BD[[#This Row],[Acknowledgement Time ]]-Grid_BD[[#This Row],[Fault Time]])*24</f>
        <v>0</v>
      </c>
      <c r="X10" s="212">
        <f>(Grid_BD[[#This Row],[Work Start time on Fault]]-Grid_BD[[#This Row],[Fault Time]])*24</f>
        <v>0.19999999999999929</v>
      </c>
      <c r="Y10" s="255">
        <f>(Grid_BD[[#This Row],[Work Completion time on fault]]-Grid_BD[[#This Row],[Fault Time]])*24</f>
        <v>1.4500000000000002</v>
      </c>
      <c r="Z10" s="256">
        <f>(Grid_BD[[#This Row],[Work Completion time on fault]]-Grid_BD[[#This Row],[Fault Time]])*24</f>
        <v>1.4500000000000002</v>
      </c>
      <c r="AA10" s="212" t="s">
        <v>326</v>
      </c>
      <c r="AB10" s="212" t="s">
        <v>240</v>
      </c>
      <c r="AC10" s="256">
        <f>IFERROR(Grid_BD[[#This Row],[Plant Equivalent Weightage]]*Grid_BD[[#This Row],[Resolution Time]],"")</f>
        <v>1.4500000000000002</v>
      </c>
      <c r="AD10" s="212">
        <v>35</v>
      </c>
      <c r="AE10" s="255">
        <f>Grid_BD[[#This Row],[Lost PoA(kWh/m2)]]*Grid_BD[[#This Row],[DC Capacity Affected (kW)]]*_xlfn.XLOOKUP(Grid_BD[[#This Row],[Month Year]],'Modelling New'!$D:$D,'Modelling New'!$O:$O)/1000</f>
        <v>291.27634389479766</v>
      </c>
    </row>
    <row r="11" spans="1:31">
      <c r="A11" s="212">
        <f t="shared" si="0"/>
        <v>10</v>
      </c>
      <c r="B11" s="250">
        <v>45774</v>
      </c>
      <c r="C11" s="221">
        <f>YEAR(Grid_BD[[#This Row],[Date]])+IF(MONTH(Grid_BD[[#This Row],[Date]])&gt;=4,1,0)</f>
        <v>2026</v>
      </c>
      <c r="D11" s="212">
        <f>YEAR(Grid_BD[[#This Row],[Date]])</f>
        <v>2025</v>
      </c>
      <c r="E11" s="251" t="s">
        <v>155</v>
      </c>
      <c r="F11" s="251" t="s">
        <v>155</v>
      </c>
      <c r="G11" s="252">
        <f>Grid_BD[[#This Row],[Date]]-DAY(Grid_BD[[#This Row],[Date]])+1</f>
        <v>45748</v>
      </c>
      <c r="H11" s="212">
        <f>DAY(EOMONTH(Grid_BD[[#This Row],[Month Year]],0))</f>
        <v>30</v>
      </c>
      <c r="I11" s="254">
        <f>_xlfn.XLOOKUP(Grid_BD[[#This Row],[Date]],'Raw Data'!$G:$G,'Raw Data'!$I:$I)</f>
        <v>0.27083333333333331</v>
      </c>
      <c r="J11" s="254">
        <f>_xlfn.XLOOKUP(Grid_BD[[#This Row],[Date]],'Raw Data'!$G:$G,'Raw Data'!$J:$J)</f>
        <v>0.72916666666666663</v>
      </c>
      <c r="K11" s="255">
        <f>IFERROR((Grid_BD[[#This Row],[Sunset Time (POA&lt;20 W/m2)]]-Grid_BD[[#This Row],[Sunrise Time (POA&gt;20 W/m2)]])*24,"")</f>
        <v>11</v>
      </c>
      <c r="L11" s="212" t="s">
        <v>323</v>
      </c>
      <c r="M11" s="256">
        <f>_xlfn.XLOOKUP(Grid_BD[[#This Row],[Affected Equipment ]],'Basic Data'!$A:$A,'Basic Data'!$B:$B)</f>
        <v>11710.44</v>
      </c>
      <c r="N11" s="263">
        <f>_xlfn.XLOOKUP(Grid_BD[[#This Row],[Affected Equipment ]],'Basic Data'!$A:$A,'Basic Data'!$C:$C)</f>
        <v>1</v>
      </c>
      <c r="O11" s="212" t="s">
        <v>324</v>
      </c>
      <c r="P11" s="212" t="s">
        <v>268</v>
      </c>
      <c r="R11" s="258" t="s">
        <v>327</v>
      </c>
      <c r="S11" s="254">
        <v>0.70833333333333337</v>
      </c>
      <c r="T11" s="254">
        <v>0.70902777777777781</v>
      </c>
      <c r="U11" s="254">
        <v>0.71875</v>
      </c>
      <c r="V11" s="254">
        <v>0.72916666666666663</v>
      </c>
      <c r="W11" s="254">
        <f>(Grid_BD[[#This Row],[Acknowledgement Time ]]-Grid_BD[[#This Row],[Fault Time]])*24</f>
        <v>1.6666666666666607E-2</v>
      </c>
      <c r="X11" s="212">
        <f>(Grid_BD[[#This Row],[Work Start time on Fault]]-Grid_BD[[#This Row],[Fault Time]])*24</f>
        <v>0.24999999999999911</v>
      </c>
      <c r="Y11" s="255">
        <f>(Grid_BD[[#This Row],[Work Completion time on fault]]-Grid_BD[[#This Row],[Fault Time]])*24</f>
        <v>0.49999999999999822</v>
      </c>
      <c r="Z11" s="256">
        <f>(Grid_BD[[#This Row],[Work Completion time on fault]]-Grid_BD[[#This Row],[Fault Time]])*24</f>
        <v>0.49999999999999822</v>
      </c>
      <c r="AA11" s="212" t="s">
        <v>326</v>
      </c>
      <c r="AB11" s="212" t="s">
        <v>240</v>
      </c>
      <c r="AC11" s="256">
        <f>IFERROR(Grid_BD[[#This Row],[Plant Equivalent Weightage]]*Grid_BD[[#This Row],[Resolution Time]],"")</f>
        <v>0.49999999999999822</v>
      </c>
      <c r="AE11" s="255">
        <f>Grid_BD[[#This Row],[Lost PoA(kWh/m2)]]*Grid_BD[[#This Row],[DC Capacity Affected (kW)]]*_xlfn.XLOOKUP(Grid_BD[[#This Row],[Month Year]],'Modelling New'!$D:$D,'Modelling New'!$O:$O)/1000</f>
        <v>0</v>
      </c>
    </row>
    <row r="12" spans="1:31">
      <c r="A12" s="212">
        <f t="shared" si="0"/>
        <v>11</v>
      </c>
      <c r="B12" s="250">
        <v>45775</v>
      </c>
      <c r="C12" s="221">
        <f>YEAR(Grid_BD[[#This Row],[Date]])+IF(MONTH(Grid_BD[[#This Row],[Date]])&gt;=4,1,0)</f>
        <v>2026</v>
      </c>
      <c r="D12" s="212">
        <f>YEAR(Grid_BD[[#This Row],[Date]])</f>
        <v>2025</v>
      </c>
      <c r="E12" s="251" t="s">
        <v>155</v>
      </c>
      <c r="F12" s="251" t="s">
        <v>155</v>
      </c>
      <c r="G12" s="252">
        <f>Grid_BD[[#This Row],[Date]]-DAY(Grid_BD[[#This Row],[Date]])+1</f>
        <v>45748</v>
      </c>
      <c r="H12" s="212">
        <f>DAY(EOMONTH(Grid_BD[[#This Row],[Month Year]],0))</f>
        <v>30</v>
      </c>
      <c r="I12" s="254">
        <f>_xlfn.XLOOKUP(Grid_BD[[#This Row],[Date]],'Raw Data'!$G:$G,'Raw Data'!$I:$I)</f>
        <v>0.25208333333333333</v>
      </c>
      <c r="J12" s="254">
        <f>_xlfn.XLOOKUP(Grid_BD[[#This Row],[Date]],'Raw Data'!$G:$G,'Raw Data'!$J:$J)</f>
        <v>0.76527777777777772</v>
      </c>
      <c r="K12" s="255">
        <f>IFERROR((Grid_BD[[#This Row],[Sunset Time (POA&lt;20 W/m2)]]-Grid_BD[[#This Row],[Sunrise Time (POA&gt;20 W/m2)]])*24,"")</f>
        <v>12.316666666666666</v>
      </c>
      <c r="L12" s="212" t="s">
        <v>323</v>
      </c>
      <c r="M12" s="256">
        <f>_xlfn.XLOOKUP(Grid_BD[[#This Row],[Affected Equipment ]],'Basic Data'!$A:$A,'Basic Data'!$B:$B)</f>
        <v>11710.44</v>
      </c>
      <c r="N12" s="263">
        <f>_xlfn.XLOOKUP(Grid_BD[[#This Row],[Affected Equipment ]],'Basic Data'!$A:$A,'Basic Data'!$C:$C)</f>
        <v>1</v>
      </c>
      <c r="O12" s="212" t="s">
        <v>324</v>
      </c>
      <c r="P12" s="212" t="s">
        <v>268</v>
      </c>
      <c r="R12" s="258" t="s">
        <v>331</v>
      </c>
      <c r="S12" s="254">
        <v>0.73472222222222228</v>
      </c>
      <c r="T12" s="254">
        <v>0.73541666666666672</v>
      </c>
      <c r="U12" s="254">
        <v>0.73611111111111116</v>
      </c>
      <c r="V12" s="254">
        <v>0.7416666666666667</v>
      </c>
      <c r="W12" s="254">
        <f>(Grid_BD[[#This Row],[Acknowledgement Time ]]-Grid_BD[[#This Row],[Fault Time]])*24</f>
        <v>1.6666666666666607E-2</v>
      </c>
      <c r="X12" s="212">
        <f>(Grid_BD[[#This Row],[Work Start time on Fault]]-Grid_BD[[#This Row],[Fault Time]])*24</f>
        <v>3.3333333333333215E-2</v>
      </c>
      <c r="Y12" s="255">
        <f>(Grid_BD[[#This Row],[Work Completion time on fault]]-Grid_BD[[#This Row],[Fault Time]])*24</f>
        <v>0.16666666666666607</v>
      </c>
      <c r="Z12" s="256">
        <f>(Grid_BD[[#This Row],[Work Completion time on fault]]-Grid_BD[[#This Row],[Fault Time]])*24</f>
        <v>0.16666666666666607</v>
      </c>
      <c r="AA12" s="212" t="s">
        <v>326</v>
      </c>
      <c r="AB12" s="212" t="s">
        <v>240</v>
      </c>
      <c r="AC12" s="256">
        <f>IFERROR(Grid_BD[[#This Row],[Plant Equivalent Weightage]]*Grid_BD[[#This Row],[Resolution Time]],"")</f>
        <v>0.16666666666666607</v>
      </c>
      <c r="AD12" s="212">
        <v>22</v>
      </c>
      <c r="AE12" s="255">
        <f>Grid_BD[[#This Row],[Lost PoA(kWh/m2)]]*Grid_BD[[#This Row],[DC Capacity Affected (kW)]]*_xlfn.XLOOKUP(Grid_BD[[#This Row],[Month Year]],'Modelling New'!$D:$D,'Modelling New'!$O:$O)/1000</f>
        <v>183.08798759101566</v>
      </c>
    </row>
    <row r="13" spans="1:31">
      <c r="A13" s="212">
        <f t="shared" si="0"/>
        <v>12</v>
      </c>
      <c r="B13" s="250">
        <v>45777</v>
      </c>
      <c r="C13" s="221">
        <f>YEAR(Grid_BD[[#This Row],[Date]])+IF(MONTH(Grid_BD[[#This Row],[Date]])&gt;=4,1,0)</f>
        <v>2026</v>
      </c>
      <c r="D13" s="212">
        <f>YEAR(Grid_BD[[#This Row],[Date]])</f>
        <v>2025</v>
      </c>
      <c r="E13" s="251" t="s">
        <v>155</v>
      </c>
      <c r="F13" s="251" t="s">
        <v>155</v>
      </c>
      <c r="G13" s="252">
        <f>Grid_BD[[#This Row],[Date]]-DAY(Grid_BD[[#This Row],[Date]])+1</f>
        <v>45748</v>
      </c>
      <c r="H13" s="212">
        <f>DAY(EOMONTH(Grid_BD[[#This Row],[Month Year]],0))</f>
        <v>30</v>
      </c>
      <c r="I13" s="254">
        <f>_xlfn.XLOOKUP(Grid_BD[[#This Row],[Date]],'Raw Data'!$G:$G,'Raw Data'!$I:$I)</f>
        <v>0.25277777777777777</v>
      </c>
      <c r="J13" s="254">
        <f>_xlfn.XLOOKUP(Grid_BD[[#This Row],[Date]],'Raw Data'!$G:$G,'Raw Data'!$J:$J)</f>
        <v>0.76944444444444449</v>
      </c>
      <c r="K13" s="255">
        <f>IFERROR((Grid_BD[[#This Row],[Sunset Time (POA&lt;20 W/m2)]]-Grid_BD[[#This Row],[Sunrise Time (POA&gt;20 W/m2)]])*24,"")</f>
        <v>12.400000000000002</v>
      </c>
      <c r="L13" s="212" t="s">
        <v>323</v>
      </c>
      <c r="M13" s="256">
        <f>_xlfn.XLOOKUP(Grid_BD[[#This Row],[Affected Equipment ]],'Basic Data'!$A:$A,'Basic Data'!$B:$B)</f>
        <v>11710.44</v>
      </c>
      <c r="N13" s="263">
        <f>_xlfn.XLOOKUP(Grid_BD[[#This Row],[Affected Equipment ]],'Basic Data'!$A:$A,'Basic Data'!$C:$C)</f>
        <v>1</v>
      </c>
      <c r="O13" s="212" t="s">
        <v>324</v>
      </c>
      <c r="P13" s="212" t="s">
        <v>268</v>
      </c>
      <c r="R13" s="258" t="s">
        <v>327</v>
      </c>
      <c r="S13" s="254">
        <v>0.72222222222222221</v>
      </c>
      <c r="T13" s="254">
        <v>0.72430555555555554</v>
      </c>
      <c r="U13" s="254">
        <v>0.72569444444444442</v>
      </c>
      <c r="V13" s="254">
        <v>0.73055555555555551</v>
      </c>
      <c r="W13" s="254">
        <f>(Grid_BD[[#This Row],[Acknowledgement Time ]]-Grid_BD[[#This Row],[Fault Time]])*24</f>
        <v>4.9999999999999822E-2</v>
      </c>
      <c r="X13" s="212">
        <f>(Grid_BD[[#This Row],[Work Start time on Fault]]-Grid_BD[[#This Row],[Fault Time]])*24</f>
        <v>8.3333333333333037E-2</v>
      </c>
      <c r="Y13" s="255">
        <f>(Grid_BD[[#This Row],[Work Completion time on fault]]-Grid_BD[[#This Row],[Fault Time]])*24</f>
        <v>0.19999999999999929</v>
      </c>
      <c r="Z13" s="256">
        <f>(Grid_BD[[#This Row],[Work Completion time on fault]]-Grid_BD[[#This Row],[Fault Time]])*24</f>
        <v>0.19999999999999929</v>
      </c>
      <c r="AA13" s="212" t="s">
        <v>326</v>
      </c>
      <c r="AB13" s="212" t="s">
        <v>240</v>
      </c>
      <c r="AC13" s="256">
        <f>IFERROR(Grid_BD[[#This Row],[Plant Equivalent Weightage]]*Grid_BD[[#This Row],[Resolution Time]],"")</f>
        <v>0.19999999999999929</v>
      </c>
      <c r="AD13" s="212">
        <v>38</v>
      </c>
      <c r="AE13" s="255">
        <f>Grid_BD[[#This Row],[Lost PoA(kWh/m2)]]*Grid_BD[[#This Row],[DC Capacity Affected (kW)]]*_xlfn.XLOOKUP(Grid_BD[[#This Row],[Month Year]],'Modelling New'!$D:$D,'Modelling New'!$O:$O)/1000</f>
        <v>316.24288765720888</v>
      </c>
    </row>
    <row r="14" spans="1:31">
      <c r="A14" s="212">
        <f t="shared" si="0"/>
        <v>13</v>
      </c>
      <c r="B14" s="250">
        <v>45777</v>
      </c>
      <c r="C14" s="221">
        <f>YEAR(Grid_BD[[#This Row],[Date]])+IF(MONTH(Grid_BD[[#This Row],[Date]])&gt;=4,1,0)</f>
        <v>2026</v>
      </c>
      <c r="D14" s="212">
        <f>YEAR(Grid_BD[[#This Row],[Date]])</f>
        <v>2025</v>
      </c>
      <c r="E14" s="251" t="s">
        <v>155</v>
      </c>
      <c r="F14" s="251" t="s">
        <v>155</v>
      </c>
      <c r="G14" s="252">
        <f>Grid_BD[[#This Row],[Date]]-DAY(Grid_BD[[#This Row],[Date]])+1</f>
        <v>45748</v>
      </c>
      <c r="H14" s="212">
        <f>DAY(EOMONTH(Grid_BD[[#This Row],[Month Year]],0))</f>
        <v>30</v>
      </c>
      <c r="I14" s="254">
        <f>_xlfn.XLOOKUP(Grid_BD[[#This Row],[Date]],'Raw Data'!$G:$G,'Raw Data'!$I:$I)</f>
        <v>0.25277777777777777</v>
      </c>
      <c r="J14" s="254">
        <f>_xlfn.XLOOKUP(Grid_BD[[#This Row],[Date]],'Raw Data'!$G:$G,'Raw Data'!$J:$J)</f>
        <v>0.76944444444444449</v>
      </c>
      <c r="K14" s="255">
        <f>IFERROR((Grid_BD[[#This Row],[Sunset Time (POA&lt;20 W/m2)]]-Grid_BD[[#This Row],[Sunrise Time (POA&gt;20 W/m2)]])*24,"")</f>
        <v>12.400000000000002</v>
      </c>
      <c r="L14" s="212" t="s">
        <v>323</v>
      </c>
      <c r="M14" s="256">
        <f>_xlfn.XLOOKUP(Grid_BD[[#This Row],[Affected Equipment ]],'Basic Data'!$A:$A,'Basic Data'!$B:$B)</f>
        <v>11710.44</v>
      </c>
      <c r="N14" s="263">
        <f>_xlfn.XLOOKUP(Grid_BD[[#This Row],[Affected Equipment ]],'Basic Data'!$A:$A,'Basic Data'!$C:$C)</f>
        <v>1</v>
      </c>
      <c r="O14" s="212" t="s">
        <v>324</v>
      </c>
      <c r="P14" s="212" t="s">
        <v>268</v>
      </c>
      <c r="R14" s="258" t="s">
        <v>327</v>
      </c>
      <c r="S14" s="254">
        <v>0.74513888888888891</v>
      </c>
      <c r="T14" s="254">
        <v>0.74513888888888891</v>
      </c>
      <c r="U14" s="254">
        <v>0.74652777777777779</v>
      </c>
      <c r="V14" s="254">
        <v>0.7583333333333333</v>
      </c>
      <c r="W14" s="254">
        <f>(Grid_BD[[#This Row],[Acknowledgement Time ]]-Grid_BD[[#This Row],[Fault Time]])*24</f>
        <v>0</v>
      </c>
      <c r="X14" s="212">
        <f>(Grid_BD[[#This Row],[Work Start time on Fault]]-Grid_BD[[#This Row],[Fault Time]])*24</f>
        <v>3.3333333333333215E-2</v>
      </c>
      <c r="Y14" s="255">
        <f>(Grid_BD[[#This Row],[Work Completion time on fault]]-Grid_BD[[#This Row],[Fault Time]])*24</f>
        <v>0.31666666666666554</v>
      </c>
      <c r="Z14" s="256">
        <f>(Grid_BD[[#This Row],[Work Completion time on fault]]-Grid_BD[[#This Row],[Fault Time]])*24</f>
        <v>0.31666666666666554</v>
      </c>
      <c r="AA14" s="212" t="s">
        <v>326</v>
      </c>
      <c r="AB14" s="212" t="s">
        <v>240</v>
      </c>
      <c r="AC14" s="256">
        <f>IFERROR(Grid_BD[[#This Row],[Plant Equivalent Weightage]]*Grid_BD[[#This Row],[Resolution Time]],"")</f>
        <v>0.31666666666666554</v>
      </c>
      <c r="AD14" s="212">
        <v>12</v>
      </c>
      <c r="AE14" s="255">
        <f>Grid_BD[[#This Row],[Lost PoA(kWh/m2)]]*Grid_BD[[#This Row],[DC Capacity Affected (kW)]]*_xlfn.XLOOKUP(Grid_BD[[#This Row],[Month Year]],'Modelling New'!$D:$D,'Modelling New'!$O:$O)/1000</f>
        <v>99.866175049644909</v>
      </c>
    </row>
    <row r="15" spans="1:31">
      <c r="A15" s="212">
        <f t="shared" si="0"/>
        <v>14</v>
      </c>
      <c r="B15" s="250">
        <v>45782</v>
      </c>
      <c r="C15" s="221">
        <f>YEAR(Grid_BD[[#This Row],[Date]])+IF(MONTH(Grid_BD[[#This Row],[Date]])&gt;=4,1,0)</f>
        <v>2026</v>
      </c>
      <c r="D15" s="212">
        <f>YEAR(Grid_BD[[#This Row],[Date]])</f>
        <v>2025</v>
      </c>
      <c r="E15" s="251" t="s">
        <v>155</v>
      </c>
      <c r="F15" s="251" t="s">
        <v>155</v>
      </c>
      <c r="G15" s="252">
        <f>Grid_BD[[#This Row],[Date]]-DAY(Grid_BD[[#This Row],[Date]])+1</f>
        <v>45778</v>
      </c>
      <c r="H15" s="212">
        <f>DAY(EOMONTH(Grid_BD[[#This Row],[Month Year]],0))</f>
        <v>31</v>
      </c>
      <c r="I15" s="254">
        <f>_xlfn.XLOOKUP(Grid_BD[[#This Row],[Date]],'Raw Data'!$G:$G,'Raw Data'!$I:$I)</f>
        <v>0.25208333333333333</v>
      </c>
      <c r="J15" s="254">
        <f>_xlfn.XLOOKUP(Grid_BD[[#This Row],[Date]],'Raw Data'!$G:$G,'Raw Data'!$J:$J)</f>
        <v>0.77152777777777781</v>
      </c>
      <c r="K15" s="255">
        <f>IFERROR((Grid_BD[[#This Row],[Sunset Time (POA&lt;20 W/m2)]]-Grid_BD[[#This Row],[Sunrise Time (POA&gt;20 W/m2)]])*24,"")</f>
        <v>12.466666666666669</v>
      </c>
      <c r="L15" s="212" t="s">
        <v>323</v>
      </c>
      <c r="M15" s="256">
        <f>_xlfn.XLOOKUP(Grid_BD[[#This Row],[Affected Equipment ]],'Basic Data'!$A:$A,'Basic Data'!$B:$B)</f>
        <v>11710.44</v>
      </c>
      <c r="N15" s="263">
        <f>_xlfn.XLOOKUP(Grid_BD[[#This Row],[Affected Equipment ]],'Basic Data'!$A:$A,'Basic Data'!$C:$C)</f>
        <v>1</v>
      </c>
      <c r="O15" s="212" t="s">
        <v>324</v>
      </c>
      <c r="P15" s="212" t="s">
        <v>268</v>
      </c>
      <c r="R15" s="258" t="s">
        <v>327</v>
      </c>
      <c r="S15" s="254">
        <v>0.67847222222222225</v>
      </c>
      <c r="T15" s="254">
        <v>0.67847222222222225</v>
      </c>
      <c r="U15" s="254">
        <v>0.67986111111111114</v>
      </c>
      <c r="V15" s="254">
        <v>0.68402777777777779</v>
      </c>
      <c r="W15" s="254">
        <f>(Grid_BD[[#This Row],[Acknowledgement Time ]]-Grid_BD[[#This Row],[Fault Time]])*24</f>
        <v>0</v>
      </c>
      <c r="X15" s="212">
        <f>(Grid_BD[[#This Row],[Work Start time on Fault]]-Grid_BD[[#This Row],[Fault Time]])*24</f>
        <v>3.3333333333333215E-2</v>
      </c>
      <c r="Y15" s="255">
        <f>(Grid_BD[[#This Row],[Work Completion time on fault]]-Grid_BD[[#This Row],[Fault Time]])*24</f>
        <v>0.13333333333333286</v>
      </c>
      <c r="Z15" s="256">
        <f>(Grid_BD[[#This Row],[Work Completion time on fault]]-Grid_BD[[#This Row],[Fault Time]])*24</f>
        <v>0.13333333333333286</v>
      </c>
      <c r="AA15" s="212" t="s">
        <v>326</v>
      </c>
      <c r="AB15" s="212" t="s">
        <v>240</v>
      </c>
      <c r="AC15" s="256">
        <f>IFERROR(Grid_BD[[#This Row],[Plant Equivalent Weightage]]*Grid_BD[[#This Row],[Resolution Time]],"")</f>
        <v>0.13333333333333286</v>
      </c>
      <c r="AD15" s="212">
        <v>65</v>
      </c>
      <c r="AE15" s="255">
        <f>Grid_BD[[#This Row],[Lost PoA(kWh/m2)]]*Grid_BD[[#This Row],[DC Capacity Affected (kW)]]*_xlfn.XLOOKUP(Grid_BD[[#This Row],[Month Year]],'Modelling New'!$D:$D,'Modelling New'!$O:$O)/1000</f>
        <v>556.86450300051627</v>
      </c>
    </row>
    <row r="16" spans="1:31">
      <c r="A16" s="212">
        <f t="shared" si="0"/>
        <v>15</v>
      </c>
      <c r="B16" s="250">
        <v>45786</v>
      </c>
      <c r="C16" s="221">
        <f>YEAR(Grid_BD[[#This Row],[Date]])+IF(MONTH(Grid_BD[[#This Row],[Date]])&gt;=4,1,0)</f>
        <v>2026</v>
      </c>
      <c r="D16" s="260">
        <f>YEAR(Grid_BD[[#This Row],[Date]])</f>
        <v>2025</v>
      </c>
      <c r="E16" s="251" t="s">
        <v>155</v>
      </c>
      <c r="F16" s="251" t="s">
        <v>155</v>
      </c>
      <c r="G16" s="252">
        <f>Grid_BD[[#This Row],[Date]]-DAY(Grid_BD[[#This Row],[Date]])+1</f>
        <v>45778</v>
      </c>
      <c r="H16" s="261">
        <f>DAY(EOMONTH(Grid_BD[[#This Row],[Month Year]],0))</f>
        <v>31</v>
      </c>
      <c r="I16" s="262">
        <f>_xlfn.XLOOKUP(Grid_BD[[#This Row],[Date]],'Raw Data'!$G:$G,'Raw Data'!$I:$I)</f>
        <v>0.25</v>
      </c>
      <c r="J16" s="262">
        <f>_xlfn.XLOOKUP(Grid_BD[[#This Row],[Date]],'Raw Data'!$G:$G,'Raw Data'!$J:$J)</f>
        <v>0.77013888888888893</v>
      </c>
      <c r="K16" s="255">
        <f>IFERROR((Grid_BD[[#This Row],[Sunset Time (POA&lt;20 W/m2)]]-Grid_BD[[#This Row],[Sunrise Time (POA&gt;20 W/m2)]])*24,"")</f>
        <v>12.483333333333334</v>
      </c>
      <c r="L16" s="212" t="s">
        <v>323</v>
      </c>
      <c r="M16" s="256">
        <f>_xlfn.XLOOKUP(Grid_BD[[#This Row],[Affected Equipment ]],'Basic Data'!$A:$A,'Basic Data'!$B:$B)</f>
        <v>11710.44</v>
      </c>
      <c r="N16" s="263">
        <f>_xlfn.XLOOKUP(Grid_BD[[#This Row],[Affected Equipment ]],'Basic Data'!$A:$A,'Basic Data'!$C:$C)</f>
        <v>1</v>
      </c>
      <c r="O16" s="212" t="s">
        <v>324</v>
      </c>
      <c r="P16" s="212" t="s">
        <v>268</v>
      </c>
      <c r="R16" s="258" t="s">
        <v>327</v>
      </c>
      <c r="S16" s="254">
        <v>0.70416666666666672</v>
      </c>
      <c r="T16" s="254">
        <v>0.70486111111111116</v>
      </c>
      <c r="U16" s="254">
        <v>0.70694444444444449</v>
      </c>
      <c r="V16" s="254">
        <v>0.71388888888888891</v>
      </c>
      <c r="W16" s="254">
        <f>(Grid_BD[[#This Row],[Acknowledgement Time ]]-Grid_BD[[#This Row],[Fault Time]])*24</f>
        <v>1.6666666666666607E-2</v>
      </c>
      <c r="X16" s="212">
        <f>(Grid_BD[[#This Row],[Work Start time on Fault]]-Grid_BD[[#This Row],[Fault Time]])*24</f>
        <v>6.666666666666643E-2</v>
      </c>
      <c r="Y16" s="255">
        <f>(Grid_BD[[#This Row],[Work Completion time on fault]]-Grid_BD[[#This Row],[Fault Time]])*24</f>
        <v>0.2333333333333325</v>
      </c>
      <c r="Z16" s="256">
        <f>(Grid_BD[[#This Row],[Work Completion time on fault]]-Grid_BD[[#This Row],[Fault Time]])*24</f>
        <v>0.2333333333333325</v>
      </c>
      <c r="AA16" s="212" t="s">
        <v>326</v>
      </c>
      <c r="AB16" s="212" t="s">
        <v>240</v>
      </c>
      <c r="AC16" s="256">
        <f>IFERROR(Grid_BD[[#This Row],[Plant Equivalent Weightage]]*Grid_BD[[#This Row],[Resolution Time]],"")</f>
        <v>0.2333333333333325</v>
      </c>
      <c r="AD16" s="212">
        <v>100</v>
      </c>
      <c r="AE16" s="255">
        <f>Grid_BD[[#This Row],[Lost PoA(kWh/m2)]]*Grid_BD[[#This Row],[DC Capacity Affected (kW)]]*_xlfn.XLOOKUP(Grid_BD[[#This Row],[Month Year]],'Modelling New'!$D:$D,'Modelling New'!$O:$O)/1000</f>
        <v>856.7146200007943</v>
      </c>
    </row>
    <row r="17" spans="1:31">
      <c r="A17" s="212">
        <f t="shared" si="0"/>
        <v>16</v>
      </c>
      <c r="B17" s="250">
        <v>45790</v>
      </c>
      <c r="C17" s="221">
        <f>YEAR(Grid_BD[[#This Row],[Date]])+IF(MONTH(Grid_BD[[#This Row],[Date]])&gt;=4,1,0)</f>
        <v>2026</v>
      </c>
      <c r="D17" s="260">
        <f>YEAR(Grid_BD[[#This Row],[Date]])</f>
        <v>2025</v>
      </c>
      <c r="E17" s="251" t="s">
        <v>155</v>
      </c>
      <c r="F17" s="251" t="s">
        <v>155</v>
      </c>
      <c r="G17" s="252">
        <f>Grid_BD[[#This Row],[Date]]-DAY(Grid_BD[[#This Row],[Date]])+1</f>
        <v>45778</v>
      </c>
      <c r="H17" s="261">
        <f>DAY(EOMONTH(Grid_BD[[#This Row],[Month Year]],0))</f>
        <v>31</v>
      </c>
      <c r="I17" s="262">
        <f>_xlfn.XLOOKUP(Grid_BD[[#This Row],[Date]],'Raw Data'!$G:$G,'Raw Data'!$I:$I)</f>
        <v>0.26041666666666669</v>
      </c>
      <c r="J17" s="262">
        <f>_xlfn.XLOOKUP(Grid_BD[[#This Row],[Date]],'Raw Data'!$G:$G,'Raw Data'!$J:$J)</f>
        <v>0.75486111111111109</v>
      </c>
      <c r="K17" s="255">
        <f>IFERROR((Grid_BD[[#This Row],[Sunset Time (POA&lt;20 W/m2)]]-Grid_BD[[#This Row],[Sunrise Time (POA&gt;20 W/m2)]])*24,"")</f>
        <v>11.866666666666665</v>
      </c>
      <c r="L17" s="212" t="s">
        <v>323</v>
      </c>
      <c r="M17" s="256">
        <f>_xlfn.XLOOKUP(Grid_BD[[#This Row],[Affected Equipment ]],'Basic Data'!$A:$A,'Basic Data'!$B:$B)</f>
        <v>11710.44</v>
      </c>
      <c r="N17" s="263">
        <f>_xlfn.XLOOKUP(Grid_BD[[#This Row],[Affected Equipment ]],'Basic Data'!$A:$A,'Basic Data'!$C:$C)</f>
        <v>1</v>
      </c>
      <c r="O17" s="212" t="s">
        <v>324</v>
      </c>
      <c r="P17" s="212" t="s">
        <v>268</v>
      </c>
      <c r="R17" s="258" t="s">
        <v>479</v>
      </c>
      <c r="S17" s="254">
        <v>0.26041666666666669</v>
      </c>
      <c r="T17" s="254">
        <v>0.26041666666666669</v>
      </c>
      <c r="U17" s="254">
        <v>0.28125</v>
      </c>
      <c r="V17" s="254">
        <v>0.46875</v>
      </c>
      <c r="W17" s="254">
        <f>(Grid_BD[[#This Row],[Acknowledgement Time ]]-Grid_BD[[#This Row],[Fault Time]])*24</f>
        <v>0</v>
      </c>
      <c r="X17" s="212">
        <f>(Grid_BD[[#This Row],[Work Start time on Fault]]-Grid_BD[[#This Row],[Fault Time]])*24</f>
        <v>0.49999999999999956</v>
      </c>
      <c r="Y17" s="255">
        <f>(Grid_BD[[#This Row],[Work Completion time on fault]]-Grid_BD[[#This Row],[Fault Time]])*24</f>
        <v>5</v>
      </c>
      <c r="Z17" s="256">
        <f>(Grid_BD[[#This Row],[Work Completion time on fault]]-Grid_BD[[#This Row],[Fault Time]])*24</f>
        <v>5</v>
      </c>
      <c r="AA17" s="212" t="s">
        <v>326</v>
      </c>
      <c r="AB17" s="212" t="s">
        <v>240</v>
      </c>
      <c r="AC17" s="256">
        <f>IFERROR(Grid_BD[[#This Row],[Plant Equivalent Weightage]]*Grid_BD[[#This Row],[Resolution Time]],"")</f>
        <v>5</v>
      </c>
      <c r="AD17" s="212">
        <v>1400</v>
      </c>
      <c r="AE17" s="255">
        <f>Grid_BD[[#This Row],[Lost PoA(kWh/m2)]]*Grid_BD[[#This Row],[DC Capacity Affected (kW)]]*_xlfn.XLOOKUP(Grid_BD[[#This Row],[Month Year]],'Modelling New'!$D:$D,'Modelling New'!$O:$O)/1000</f>
        <v>11994.004680011119</v>
      </c>
    </row>
    <row r="18" spans="1:31">
      <c r="A18" s="212">
        <f t="shared" si="0"/>
        <v>17</v>
      </c>
      <c r="B18" s="250">
        <v>45793</v>
      </c>
      <c r="C18" s="221">
        <f>YEAR(Grid_BD[[#This Row],[Date]])+IF(MONTH(Grid_BD[[#This Row],[Date]])&gt;=4,1,0)</f>
        <v>2026</v>
      </c>
      <c r="D18" s="260">
        <f>YEAR(Grid_BD[[#This Row],[Date]])</f>
        <v>2025</v>
      </c>
      <c r="E18" s="251" t="s">
        <v>155</v>
      </c>
      <c r="F18" s="251" t="s">
        <v>155</v>
      </c>
      <c r="G18" s="252">
        <f>Grid_BD[[#This Row],[Date]]-DAY(Grid_BD[[#This Row],[Date]])+1</f>
        <v>45778</v>
      </c>
      <c r="H18" s="261">
        <f>DAY(EOMONTH(Grid_BD[[#This Row],[Month Year]],0))</f>
        <v>31</v>
      </c>
      <c r="I18" s="262">
        <f>_xlfn.XLOOKUP(Grid_BD[[#This Row],[Date]],'Raw Data'!$G:$G,'Raw Data'!$I:$I)</f>
        <v>0.25138888888888888</v>
      </c>
      <c r="J18" s="262">
        <f>_xlfn.XLOOKUP(Grid_BD[[#This Row],[Date]],'Raw Data'!$G:$G,'Raw Data'!$J:$J)</f>
        <v>0.77222222222222225</v>
      </c>
      <c r="K18" s="255">
        <f>IFERROR((Grid_BD[[#This Row],[Sunset Time (POA&lt;20 W/m2)]]-Grid_BD[[#This Row],[Sunrise Time (POA&gt;20 W/m2)]])*24,"")</f>
        <v>12.5</v>
      </c>
      <c r="L18" s="212" t="s">
        <v>323</v>
      </c>
      <c r="M18" s="256">
        <f>_xlfn.XLOOKUP(Grid_BD[[#This Row],[Affected Equipment ]],'Basic Data'!$A:$A,'Basic Data'!$B:$B)</f>
        <v>11710.44</v>
      </c>
      <c r="N18" s="263">
        <f>_xlfn.XLOOKUP(Grid_BD[[#This Row],[Affected Equipment ]],'Basic Data'!$A:$A,'Basic Data'!$C:$C)</f>
        <v>1</v>
      </c>
      <c r="O18" s="212" t="s">
        <v>324</v>
      </c>
      <c r="P18" s="212" t="s">
        <v>268</v>
      </c>
      <c r="R18" s="258" t="s">
        <v>328</v>
      </c>
      <c r="S18" s="254">
        <v>0.48402777777777778</v>
      </c>
      <c r="T18" s="254">
        <v>0.48402777777777778</v>
      </c>
      <c r="U18" s="254">
        <v>0.48958333333333331</v>
      </c>
      <c r="V18" s="254">
        <v>0.49652777777777779</v>
      </c>
      <c r="W18" s="254">
        <f>(Grid_BD[[#This Row],[Acknowledgement Time ]]-Grid_BD[[#This Row],[Fault Time]])*24</f>
        <v>0</v>
      </c>
      <c r="X18" s="212">
        <f>(Grid_BD[[#This Row],[Work Start time on Fault]]-Grid_BD[[#This Row],[Fault Time]])*24</f>
        <v>0.13333333333333286</v>
      </c>
      <c r="Y18" s="255">
        <f>(Grid_BD[[#This Row],[Work Completion time on fault]]-Grid_BD[[#This Row],[Fault Time]])*24</f>
        <v>0.30000000000000027</v>
      </c>
      <c r="Z18" s="256">
        <f>(Grid_BD[[#This Row],[Work Completion time on fault]]-Grid_BD[[#This Row],[Fault Time]])*24</f>
        <v>0.30000000000000027</v>
      </c>
      <c r="AA18" s="212" t="s">
        <v>326</v>
      </c>
      <c r="AB18" s="212" t="s">
        <v>240</v>
      </c>
      <c r="AC18" s="256">
        <f>IFERROR(Grid_BD[[#This Row],[Plant Equivalent Weightage]]*Grid_BD[[#This Row],[Resolution Time]],"")</f>
        <v>0.30000000000000027</v>
      </c>
      <c r="AD18" s="212">
        <v>257</v>
      </c>
      <c r="AE18" s="255">
        <f>Grid_BD[[#This Row],[Lost PoA(kWh/m2)]]*Grid_BD[[#This Row],[DC Capacity Affected (kW)]]*_xlfn.XLOOKUP(Grid_BD[[#This Row],[Month Year]],'Modelling New'!$D:$D,'Modelling New'!$O:$O)/1000</f>
        <v>2201.7565734020418</v>
      </c>
    </row>
    <row r="19" spans="1:31">
      <c r="A19" s="212">
        <f t="shared" si="0"/>
        <v>18</v>
      </c>
      <c r="B19" s="250">
        <v>45794</v>
      </c>
      <c r="C19" s="221">
        <f>YEAR(Grid_BD[[#This Row],[Date]])+IF(MONTH(Grid_BD[[#This Row],[Date]])&gt;=4,1,0)</f>
        <v>2026</v>
      </c>
      <c r="D19" s="260">
        <f>YEAR(Grid_BD[[#This Row],[Date]])</f>
        <v>2025</v>
      </c>
      <c r="E19" s="251" t="s">
        <v>155</v>
      </c>
      <c r="F19" s="251" t="s">
        <v>155</v>
      </c>
      <c r="G19" s="252">
        <f>Grid_BD[[#This Row],[Date]]-DAY(Grid_BD[[#This Row],[Date]])+1</f>
        <v>45778</v>
      </c>
      <c r="H19" s="261">
        <f>DAY(EOMONTH(Grid_BD[[#This Row],[Month Year]],0))</f>
        <v>31</v>
      </c>
      <c r="I19" s="262">
        <f>_xlfn.XLOOKUP(Grid_BD[[#This Row],[Date]],'Raw Data'!$G:$G,'Raw Data'!$I:$I)</f>
        <v>0.25138888888888888</v>
      </c>
      <c r="J19" s="262">
        <f>_xlfn.XLOOKUP(Grid_BD[[#This Row],[Date]],'Raw Data'!$G:$G,'Raw Data'!$J:$J)</f>
        <v>0.76041666666666663</v>
      </c>
      <c r="K19" s="255">
        <f>IFERROR((Grid_BD[[#This Row],[Sunset Time (POA&lt;20 W/m2)]]-Grid_BD[[#This Row],[Sunrise Time (POA&gt;20 W/m2)]])*24,"")</f>
        <v>12.216666666666665</v>
      </c>
      <c r="L19" s="212" t="s">
        <v>323</v>
      </c>
      <c r="M19" s="256">
        <f>_xlfn.XLOOKUP(Grid_BD[[#This Row],[Affected Equipment ]],'Basic Data'!$A:$A,'Basic Data'!$B:$B)</f>
        <v>11710.44</v>
      </c>
      <c r="N19" s="263">
        <f>_xlfn.XLOOKUP(Grid_BD[[#This Row],[Affected Equipment ]],'Basic Data'!$A:$A,'Basic Data'!$C:$C)</f>
        <v>1</v>
      </c>
      <c r="O19" s="212" t="s">
        <v>324</v>
      </c>
      <c r="P19" s="212" t="s">
        <v>268</v>
      </c>
      <c r="R19" s="258" t="s">
        <v>480</v>
      </c>
      <c r="S19" s="254">
        <v>0.6645833333333333</v>
      </c>
      <c r="T19" s="254">
        <v>0.6645833333333333</v>
      </c>
      <c r="U19" s="254">
        <v>0.65972222222222221</v>
      </c>
      <c r="V19" s="254">
        <v>0.69861111111111107</v>
      </c>
      <c r="W19" s="254">
        <f>(Grid_BD[[#This Row],[Acknowledgement Time ]]-Grid_BD[[#This Row],[Fault Time]])*24</f>
        <v>0</v>
      </c>
      <c r="X19" s="212">
        <f>(Grid_BD[[#This Row],[Work Start time on Fault]]-Grid_BD[[#This Row],[Fault Time]])*24</f>
        <v>-0.11666666666666625</v>
      </c>
      <c r="Y19" s="255">
        <f>(Grid_BD[[#This Row],[Work Completion time on fault]]-Grid_BD[[#This Row],[Fault Time]])*24</f>
        <v>0.81666666666666643</v>
      </c>
      <c r="Z19" s="256">
        <f>(Grid_BD[[#This Row],[Work Completion time on fault]]-Grid_BD[[#This Row],[Fault Time]])*24</f>
        <v>0.81666666666666643</v>
      </c>
      <c r="AA19" s="212" t="s">
        <v>326</v>
      </c>
      <c r="AB19" s="212" t="s">
        <v>240</v>
      </c>
      <c r="AC19" s="256">
        <f>IFERROR(Grid_BD[[#This Row],[Plant Equivalent Weightage]]*Grid_BD[[#This Row],[Resolution Time]],"")</f>
        <v>0.81666666666666643</v>
      </c>
      <c r="AD19" s="212">
        <v>457</v>
      </c>
      <c r="AE19" s="255">
        <f>Grid_BD[[#This Row],[Lost PoA(kWh/m2)]]*Grid_BD[[#This Row],[DC Capacity Affected (kW)]]*_xlfn.XLOOKUP(Grid_BD[[#This Row],[Month Year]],'Modelling New'!$D:$D,'Modelling New'!$O:$O)/1000</f>
        <v>3915.1858134036297</v>
      </c>
    </row>
    <row r="20" spans="1:31">
      <c r="A20" s="212">
        <f t="shared" si="0"/>
        <v>19</v>
      </c>
      <c r="B20" s="250">
        <v>45796</v>
      </c>
      <c r="C20" s="221">
        <f>YEAR(Grid_BD[[#This Row],[Date]])+IF(MONTH(Grid_BD[[#This Row],[Date]])&gt;=4,1,0)</f>
        <v>2026</v>
      </c>
      <c r="D20" s="260">
        <f>YEAR(Grid_BD[[#This Row],[Date]])</f>
        <v>2025</v>
      </c>
      <c r="E20" s="251" t="s">
        <v>155</v>
      </c>
      <c r="F20" s="251" t="s">
        <v>155</v>
      </c>
      <c r="G20" s="252">
        <f>Grid_BD[[#This Row],[Date]]-DAY(Grid_BD[[#This Row],[Date]])+1</f>
        <v>45778</v>
      </c>
      <c r="H20" s="261">
        <f>DAY(EOMONTH(Grid_BD[[#This Row],[Month Year]],0))</f>
        <v>31</v>
      </c>
      <c r="I20" s="262">
        <f>_xlfn.XLOOKUP(Grid_BD[[#This Row],[Date]],'Raw Data'!$G:$G,'Raw Data'!$I:$I)</f>
        <v>0.25208333333333333</v>
      </c>
      <c r="J20" s="262">
        <f>_xlfn.XLOOKUP(Grid_BD[[#This Row],[Date]],'Raw Data'!$G:$G,'Raw Data'!$J:$J)</f>
        <v>0.77083333333333337</v>
      </c>
      <c r="K20" s="255">
        <f>IFERROR((Grid_BD[[#This Row],[Sunset Time (POA&lt;20 W/m2)]]-Grid_BD[[#This Row],[Sunrise Time (POA&gt;20 W/m2)]])*24,"")</f>
        <v>12.450000000000001</v>
      </c>
      <c r="L20" s="212" t="s">
        <v>323</v>
      </c>
      <c r="M20" s="256">
        <f>_xlfn.XLOOKUP(Grid_BD[[#This Row],[Affected Equipment ]],'Basic Data'!$A:$A,'Basic Data'!$B:$B)</f>
        <v>11710.44</v>
      </c>
      <c r="N20" s="263">
        <f>_xlfn.XLOOKUP(Grid_BD[[#This Row],[Affected Equipment ]],'Basic Data'!$A:$A,'Basic Data'!$C:$C)</f>
        <v>1</v>
      </c>
      <c r="O20" s="212" t="s">
        <v>324</v>
      </c>
      <c r="P20" s="212" t="s">
        <v>268</v>
      </c>
      <c r="R20" s="258" t="s">
        <v>479</v>
      </c>
      <c r="S20" s="254">
        <v>0.25208333333333333</v>
      </c>
      <c r="T20" s="254">
        <v>0.25208333333333333</v>
      </c>
      <c r="U20" s="254">
        <v>0.25208333333333333</v>
      </c>
      <c r="V20" s="254">
        <v>0.41805555555555557</v>
      </c>
      <c r="W20" s="254">
        <f>(Grid_BD[[#This Row],[Acknowledgement Time ]]-Grid_BD[[#This Row],[Fault Time]])*24</f>
        <v>0</v>
      </c>
      <c r="X20" s="212">
        <f>(Grid_BD[[#This Row],[Work Start time on Fault]]-Grid_BD[[#This Row],[Fault Time]])*24</f>
        <v>0</v>
      </c>
      <c r="Y20" s="255">
        <f>(Grid_BD[[#This Row],[Work Completion time on fault]]-Grid_BD[[#This Row],[Fault Time]])*24</f>
        <v>3.9833333333333338</v>
      </c>
      <c r="Z20" s="256">
        <f>(Grid_BD[[#This Row],[Work Completion time on fault]]-Grid_BD[[#This Row],[Fault Time]])*24</f>
        <v>3.9833333333333338</v>
      </c>
      <c r="AA20" s="212" t="s">
        <v>326</v>
      </c>
      <c r="AB20" s="212" t="s">
        <v>240</v>
      </c>
      <c r="AC20" s="256">
        <f>IFERROR(Grid_BD[[#This Row],[Plant Equivalent Weightage]]*Grid_BD[[#This Row],[Resolution Time]],"")</f>
        <v>3.9833333333333338</v>
      </c>
      <c r="AD20" s="212">
        <v>1551</v>
      </c>
      <c r="AE20" s="255">
        <f>Grid_BD[[#This Row],[Lost PoA(kWh/m2)]]*Grid_BD[[#This Row],[DC Capacity Affected (kW)]]*_xlfn.XLOOKUP(Grid_BD[[#This Row],[Month Year]],'Modelling New'!$D:$D,'Modelling New'!$O:$O)/1000</f>
        <v>13287.643756212321</v>
      </c>
    </row>
    <row r="21" spans="1:31">
      <c r="A21" s="212">
        <f t="shared" si="0"/>
        <v>20</v>
      </c>
      <c r="B21" s="250">
        <v>45798</v>
      </c>
      <c r="C21" s="221">
        <f>YEAR(Grid_BD[[#This Row],[Date]])+IF(MONTH(Grid_BD[[#This Row],[Date]])&gt;=4,1,0)</f>
        <v>2026</v>
      </c>
      <c r="D21" s="260">
        <f>YEAR(Grid_BD[[#This Row],[Date]])</f>
        <v>2025</v>
      </c>
      <c r="E21" s="251" t="s">
        <v>155</v>
      </c>
      <c r="F21" s="251" t="s">
        <v>155</v>
      </c>
      <c r="G21" s="252">
        <f>Grid_BD[[#This Row],[Date]]-DAY(Grid_BD[[#This Row],[Date]])+1</f>
        <v>45778</v>
      </c>
      <c r="H21" s="261">
        <f>DAY(EOMONTH(Grid_BD[[#This Row],[Month Year]],0))</f>
        <v>31</v>
      </c>
      <c r="I21" s="262">
        <f>_xlfn.XLOOKUP(Grid_BD[[#This Row],[Date]],'Raw Data'!$G:$G,'Raw Data'!$I:$I)</f>
        <v>0.29444444444444445</v>
      </c>
      <c r="J21" s="262">
        <f>_xlfn.XLOOKUP(Grid_BD[[#This Row],[Date]],'Raw Data'!$G:$G,'Raw Data'!$J:$J)</f>
        <v>0.69305555555555554</v>
      </c>
      <c r="K21" s="255">
        <f>IFERROR((Grid_BD[[#This Row],[Sunset Time (POA&lt;20 W/m2)]]-Grid_BD[[#This Row],[Sunrise Time (POA&gt;20 W/m2)]])*24,"")</f>
        <v>9.5666666666666664</v>
      </c>
      <c r="L21" s="212" t="s">
        <v>323</v>
      </c>
      <c r="M21" s="256">
        <f>_xlfn.XLOOKUP(Grid_BD[[#This Row],[Affected Equipment ]],'Basic Data'!$A:$A,'Basic Data'!$B:$B)</f>
        <v>11710.44</v>
      </c>
      <c r="N21" s="263">
        <f>_xlfn.XLOOKUP(Grid_BD[[#This Row],[Affected Equipment ]],'Basic Data'!$A:$A,'Basic Data'!$C:$C)</f>
        <v>1</v>
      </c>
      <c r="O21" s="212" t="s">
        <v>324</v>
      </c>
      <c r="P21" s="212" t="s">
        <v>268</v>
      </c>
      <c r="R21" s="258" t="s">
        <v>479</v>
      </c>
      <c r="S21" s="254">
        <v>0.37569444444444444</v>
      </c>
      <c r="T21" s="254">
        <v>0.37638888888888888</v>
      </c>
      <c r="U21" s="254">
        <v>0.38541666666666669</v>
      </c>
      <c r="V21" s="254">
        <v>0.40555555555555556</v>
      </c>
      <c r="W21" s="254">
        <f>(Grid_BD[[#This Row],[Acknowledgement Time ]]-Grid_BD[[#This Row],[Fault Time]])*24</f>
        <v>1.6666666666666607E-2</v>
      </c>
      <c r="X21" s="212">
        <f>(Grid_BD[[#This Row],[Work Start time on Fault]]-Grid_BD[[#This Row],[Fault Time]])*24</f>
        <v>0.23333333333333384</v>
      </c>
      <c r="Y21" s="255">
        <f>(Grid_BD[[#This Row],[Work Completion time on fault]]-Grid_BD[[#This Row],[Fault Time]])*24</f>
        <v>0.71666666666666679</v>
      </c>
      <c r="Z21" s="256">
        <f>(Grid_BD[[#This Row],[Work Completion time on fault]]-Grid_BD[[#This Row],[Fault Time]])*24</f>
        <v>0.71666666666666679</v>
      </c>
      <c r="AA21" s="212" t="s">
        <v>326</v>
      </c>
      <c r="AB21" s="212" t="s">
        <v>240</v>
      </c>
      <c r="AC21" s="256">
        <f>IFERROR(Grid_BD[[#This Row],[Plant Equivalent Weightage]]*Grid_BD[[#This Row],[Resolution Time]],"")</f>
        <v>0.71666666666666679</v>
      </c>
      <c r="AD21" s="212">
        <v>239</v>
      </c>
      <c r="AE21" s="255">
        <f>Grid_BD[[#This Row],[Lost PoA(kWh/m2)]]*Grid_BD[[#This Row],[DC Capacity Affected (kW)]]*_xlfn.XLOOKUP(Grid_BD[[#This Row],[Month Year]],'Modelling New'!$D:$D,'Modelling New'!$O:$O)/1000</f>
        <v>2047.5479418018983</v>
      </c>
    </row>
    <row r="22" spans="1:31">
      <c r="A22" s="212">
        <f t="shared" si="0"/>
        <v>21</v>
      </c>
      <c r="B22" s="250">
        <v>45798</v>
      </c>
      <c r="C22" s="221">
        <f>YEAR(Grid_BD[[#This Row],[Date]])+IF(MONTH(Grid_BD[[#This Row],[Date]])&gt;=4,1,0)</f>
        <v>2026</v>
      </c>
      <c r="D22" s="260">
        <f>YEAR(Grid_BD[[#This Row],[Date]])</f>
        <v>2025</v>
      </c>
      <c r="E22" s="251" t="s">
        <v>155</v>
      </c>
      <c r="F22" s="251" t="s">
        <v>155</v>
      </c>
      <c r="G22" s="252">
        <f>Grid_BD[[#This Row],[Date]]-DAY(Grid_BD[[#This Row],[Date]])+1</f>
        <v>45778</v>
      </c>
      <c r="H22" s="261">
        <f>DAY(EOMONTH(Grid_BD[[#This Row],[Month Year]],0))</f>
        <v>31</v>
      </c>
      <c r="I22" s="262">
        <f>_xlfn.XLOOKUP(Grid_BD[[#This Row],[Date]],'Raw Data'!$G:$G,'Raw Data'!$I:$I)</f>
        <v>0.29444444444444445</v>
      </c>
      <c r="J22" s="262">
        <f>_xlfn.XLOOKUP(Grid_BD[[#This Row],[Date]],'Raw Data'!$G:$G,'Raw Data'!$J:$J)</f>
        <v>0.69305555555555554</v>
      </c>
      <c r="K22" s="255">
        <f>IFERROR((Grid_BD[[#This Row],[Sunset Time (POA&lt;20 W/m2)]]-Grid_BD[[#This Row],[Sunrise Time (POA&gt;20 W/m2)]])*24,"")</f>
        <v>9.5666666666666664</v>
      </c>
      <c r="L22" s="212" t="s">
        <v>323</v>
      </c>
      <c r="M22" s="256">
        <f>_xlfn.XLOOKUP(Grid_BD[[#This Row],[Affected Equipment ]],'Basic Data'!$A:$A,'Basic Data'!$B:$B)</f>
        <v>11710.44</v>
      </c>
      <c r="N22" s="263">
        <f>_xlfn.XLOOKUP(Grid_BD[[#This Row],[Affected Equipment ]],'Basic Data'!$A:$A,'Basic Data'!$C:$C)</f>
        <v>1</v>
      </c>
      <c r="O22" s="212" t="s">
        <v>324</v>
      </c>
      <c r="P22" s="212" t="s">
        <v>268</v>
      </c>
      <c r="R22" s="258" t="s">
        <v>479</v>
      </c>
      <c r="S22" s="254">
        <v>0.42916666666666664</v>
      </c>
      <c r="T22" s="254">
        <v>0.42916666666666664</v>
      </c>
      <c r="U22" s="254">
        <v>0.4375</v>
      </c>
      <c r="V22" s="254">
        <v>0.44722222222222224</v>
      </c>
      <c r="W22" s="254">
        <f>(Grid_BD[[#This Row],[Acknowledgement Time ]]-Grid_BD[[#This Row],[Fault Time]])*24</f>
        <v>0</v>
      </c>
      <c r="X22" s="212">
        <f>(Grid_BD[[#This Row],[Work Start time on Fault]]-Grid_BD[[#This Row],[Fault Time]])*24</f>
        <v>0.20000000000000062</v>
      </c>
      <c r="Y22" s="255">
        <f>(Grid_BD[[#This Row],[Work Completion time on fault]]-Grid_BD[[#This Row],[Fault Time]])*24</f>
        <v>0.43333333333333446</v>
      </c>
      <c r="Z22" s="256">
        <f>(Grid_BD[[#This Row],[Work Completion time on fault]]-Grid_BD[[#This Row],[Fault Time]])*24</f>
        <v>0.43333333333333446</v>
      </c>
      <c r="AA22" s="212" t="s">
        <v>326</v>
      </c>
      <c r="AB22" s="212" t="s">
        <v>240</v>
      </c>
      <c r="AC22" s="256">
        <f>IFERROR(Grid_BD[[#This Row],[Plant Equivalent Weightage]]*Grid_BD[[#This Row],[Resolution Time]],"")</f>
        <v>0.43333333333333446</v>
      </c>
      <c r="AD22" s="212">
        <v>221</v>
      </c>
      <c r="AE22" s="255">
        <f>Grid_BD[[#This Row],[Lost PoA(kWh/m2)]]*Grid_BD[[#This Row],[DC Capacity Affected (kW)]]*_xlfn.XLOOKUP(Grid_BD[[#This Row],[Month Year]],'Modelling New'!$D:$D,'Modelling New'!$O:$O)/1000</f>
        <v>1893.3393102017556</v>
      </c>
    </row>
    <row r="23" spans="1:31">
      <c r="A23" s="212">
        <f t="shared" si="0"/>
        <v>22</v>
      </c>
      <c r="B23" s="250">
        <v>45799</v>
      </c>
      <c r="C23" s="221">
        <f>YEAR(Grid_BD[[#This Row],[Date]])+IF(MONTH(Grid_BD[[#This Row],[Date]])&gt;=4,1,0)</f>
        <v>2026</v>
      </c>
      <c r="D23" s="260">
        <f>YEAR(Grid_BD[[#This Row],[Date]])</f>
        <v>2025</v>
      </c>
      <c r="E23" s="251" t="s">
        <v>155</v>
      </c>
      <c r="F23" s="251" t="s">
        <v>155</v>
      </c>
      <c r="G23" s="252">
        <f>Grid_BD[[#This Row],[Date]]-DAY(Grid_BD[[#This Row],[Date]])+1</f>
        <v>45778</v>
      </c>
      <c r="H23" s="261">
        <f>DAY(EOMONTH(Grid_BD[[#This Row],[Month Year]],0))</f>
        <v>31</v>
      </c>
      <c r="I23" s="262">
        <f>_xlfn.XLOOKUP(Grid_BD[[#This Row],[Date]],'Raw Data'!$G:$G,'Raw Data'!$I:$I)</f>
        <v>0.27986111111111112</v>
      </c>
      <c r="J23" s="262">
        <f>_xlfn.XLOOKUP(Grid_BD[[#This Row],[Date]],'Raw Data'!$G:$G,'Raw Data'!$J:$J)</f>
        <v>0.72569444444444442</v>
      </c>
      <c r="K23" s="255">
        <f>IFERROR((Grid_BD[[#This Row],[Sunset Time (POA&lt;20 W/m2)]]-Grid_BD[[#This Row],[Sunrise Time (POA&gt;20 W/m2)]])*24,"")</f>
        <v>10.7</v>
      </c>
      <c r="L23" s="212" t="s">
        <v>323</v>
      </c>
      <c r="M23" s="256">
        <f>_xlfn.XLOOKUP(Grid_BD[[#This Row],[Affected Equipment ]],'Basic Data'!$A:$A,'Basic Data'!$B:$B)</f>
        <v>11710.44</v>
      </c>
      <c r="N23" s="263">
        <f>_xlfn.XLOOKUP(Grid_BD[[#This Row],[Affected Equipment ]],'Basic Data'!$A:$A,'Basic Data'!$C:$C)</f>
        <v>1</v>
      </c>
      <c r="O23" s="212" t="s">
        <v>324</v>
      </c>
      <c r="P23" s="212" t="s">
        <v>268</v>
      </c>
      <c r="R23" s="258" t="s">
        <v>481</v>
      </c>
      <c r="S23" s="254">
        <v>0.51249999999999996</v>
      </c>
      <c r="T23" s="254">
        <v>0.51249999999999996</v>
      </c>
      <c r="U23" s="254">
        <v>0.51527777777777772</v>
      </c>
      <c r="V23" s="254">
        <v>0.52777777777777779</v>
      </c>
      <c r="W23" s="254">
        <f>(Grid_BD[[#This Row],[Acknowledgement Time ]]-Grid_BD[[#This Row],[Fault Time]])*24</f>
        <v>0</v>
      </c>
      <c r="X23" s="212">
        <f>(Grid_BD[[#This Row],[Work Start time on Fault]]-Grid_BD[[#This Row],[Fault Time]])*24</f>
        <v>6.666666666666643E-2</v>
      </c>
      <c r="Y23" s="255">
        <f>(Grid_BD[[#This Row],[Work Completion time on fault]]-Grid_BD[[#This Row],[Fault Time]])*24</f>
        <v>0.36666666666666803</v>
      </c>
      <c r="Z23" s="256">
        <f>(Grid_BD[[#This Row],[Work Completion time on fault]]-Grid_BD[[#This Row],[Fault Time]])*24</f>
        <v>0.36666666666666803</v>
      </c>
      <c r="AA23" s="212" t="s">
        <v>326</v>
      </c>
      <c r="AB23" s="212" t="s">
        <v>240</v>
      </c>
      <c r="AC23" s="256">
        <f>IFERROR(Grid_BD[[#This Row],[Plant Equivalent Weightage]]*Grid_BD[[#This Row],[Resolution Time]],"")</f>
        <v>0.36666666666666803</v>
      </c>
      <c r="AD23" s="212">
        <v>211</v>
      </c>
      <c r="AE23" s="255">
        <f>Grid_BD[[#This Row],[Lost PoA(kWh/m2)]]*Grid_BD[[#This Row],[DC Capacity Affected (kW)]]*_xlfn.XLOOKUP(Grid_BD[[#This Row],[Month Year]],'Modelling New'!$D:$D,'Modelling New'!$O:$O)/1000</f>
        <v>1807.6678482016762</v>
      </c>
    </row>
    <row r="24" spans="1:31">
      <c r="A24" s="212">
        <f t="shared" si="0"/>
        <v>23</v>
      </c>
      <c r="B24" s="250">
        <v>45803</v>
      </c>
      <c r="C24" s="221">
        <f>YEAR(Grid_BD[[#This Row],[Date]])+IF(MONTH(Grid_BD[[#This Row],[Date]])&gt;=4,1,0)</f>
        <v>2026</v>
      </c>
      <c r="D24" s="260">
        <f>YEAR(Grid_BD[[#This Row],[Date]])</f>
        <v>2025</v>
      </c>
      <c r="E24" s="251" t="s">
        <v>155</v>
      </c>
      <c r="F24" s="251" t="s">
        <v>155</v>
      </c>
      <c r="G24" s="252">
        <f>Grid_BD[[#This Row],[Date]]-DAY(Grid_BD[[#This Row],[Date]])+1</f>
        <v>45778</v>
      </c>
      <c r="H24" s="261">
        <f>DAY(EOMONTH(Grid_BD[[#This Row],[Month Year]],0))</f>
        <v>31</v>
      </c>
      <c r="I24" s="262">
        <f>_xlfn.XLOOKUP(Grid_BD[[#This Row],[Date]],'Raw Data'!$G:$G,'Raw Data'!$I:$I)</f>
        <v>0.25</v>
      </c>
      <c r="J24" s="262">
        <f>_xlfn.XLOOKUP(Grid_BD[[#This Row],[Date]],'Raw Data'!$G:$G,'Raw Data'!$J:$J)</f>
        <v>0.76736111111111116</v>
      </c>
      <c r="K24" s="255">
        <f>IFERROR((Grid_BD[[#This Row],[Sunset Time (POA&lt;20 W/m2)]]-Grid_BD[[#This Row],[Sunrise Time (POA&gt;20 W/m2)]])*24,"")</f>
        <v>12.416666666666668</v>
      </c>
      <c r="L24" s="212" t="s">
        <v>323</v>
      </c>
      <c r="M24" s="256">
        <f>_xlfn.XLOOKUP(Grid_BD[[#This Row],[Affected Equipment ]],'Basic Data'!$A:$A,'Basic Data'!$B:$B)</f>
        <v>11710.44</v>
      </c>
      <c r="N24" s="263">
        <f>_xlfn.XLOOKUP(Grid_BD[[#This Row],[Affected Equipment ]],'Basic Data'!$A:$A,'Basic Data'!$C:$C)</f>
        <v>1</v>
      </c>
      <c r="O24" s="212" t="s">
        <v>324</v>
      </c>
      <c r="P24" s="212" t="s">
        <v>268</v>
      </c>
      <c r="R24" s="258" t="s">
        <v>330</v>
      </c>
      <c r="S24" s="254">
        <v>0.30833333333333335</v>
      </c>
      <c r="T24" s="254">
        <v>0.30833333333333335</v>
      </c>
      <c r="U24" s="254">
        <v>0.3125</v>
      </c>
      <c r="V24" s="254">
        <v>0.34375</v>
      </c>
      <c r="W24" s="254">
        <f>(Grid_BD[[#This Row],[Acknowledgement Time ]]-Grid_BD[[#This Row],[Fault Time]])*24</f>
        <v>0</v>
      </c>
      <c r="X24" s="212">
        <f>(Grid_BD[[#This Row],[Work Start time on Fault]]-Grid_BD[[#This Row],[Fault Time]])*24</f>
        <v>9.9999999999999645E-2</v>
      </c>
      <c r="Y24" s="255">
        <f>(Grid_BD[[#This Row],[Work Completion time on fault]]-Grid_BD[[#This Row],[Fault Time]])*24</f>
        <v>0.84999999999999964</v>
      </c>
      <c r="Z24" s="256">
        <f>(Grid_BD[[#This Row],[Work Completion time on fault]]-Grid_BD[[#This Row],[Fault Time]])*24</f>
        <v>0.84999999999999964</v>
      </c>
      <c r="AA24" s="212" t="s">
        <v>326</v>
      </c>
      <c r="AB24" s="212" t="s">
        <v>240</v>
      </c>
      <c r="AC24" s="256">
        <f>IFERROR(Grid_BD[[#This Row],[Plant Equivalent Weightage]]*Grid_BD[[#This Row],[Resolution Time]],"")</f>
        <v>0.84999999999999964</v>
      </c>
      <c r="AD24" s="212">
        <v>175</v>
      </c>
      <c r="AE24" s="255">
        <f>Grid_BD[[#This Row],[Lost PoA(kWh/m2)]]*Grid_BD[[#This Row],[DC Capacity Affected (kW)]]*_xlfn.XLOOKUP(Grid_BD[[#This Row],[Month Year]],'Modelling New'!$D:$D,'Modelling New'!$O:$O)/1000</f>
        <v>1499.2505850013899</v>
      </c>
    </row>
    <row r="25" spans="1:31">
      <c r="A25" s="212">
        <f t="shared" si="0"/>
        <v>24</v>
      </c>
      <c r="B25" s="250">
        <v>45804</v>
      </c>
      <c r="C25" s="221">
        <f>YEAR(Grid_BD[[#This Row],[Date]])+IF(MONTH(Grid_BD[[#This Row],[Date]])&gt;=4,1,0)</f>
        <v>2026</v>
      </c>
      <c r="D25" s="260">
        <f>YEAR(Grid_BD[[#This Row],[Date]])</f>
        <v>2025</v>
      </c>
      <c r="E25" s="251" t="s">
        <v>155</v>
      </c>
      <c r="F25" s="251" t="s">
        <v>155</v>
      </c>
      <c r="G25" s="252">
        <f>Grid_BD[[#This Row],[Date]]-DAY(Grid_BD[[#This Row],[Date]])+1</f>
        <v>45778</v>
      </c>
      <c r="H25" s="261">
        <f>DAY(EOMONTH(Grid_BD[[#This Row],[Month Year]],0))</f>
        <v>31</v>
      </c>
      <c r="I25" s="262">
        <f>_xlfn.XLOOKUP(Grid_BD[[#This Row],[Date]],'Raw Data'!$G:$G,'Raw Data'!$I:$I)</f>
        <v>0.24513888888888888</v>
      </c>
      <c r="J25" s="262">
        <f>_xlfn.XLOOKUP(Grid_BD[[#This Row],[Date]],'Raw Data'!$G:$G,'Raw Data'!$J:$J)</f>
        <v>0.72986111111111107</v>
      </c>
      <c r="K25" s="255">
        <f>IFERROR((Grid_BD[[#This Row],[Sunset Time (POA&lt;20 W/m2)]]-Grid_BD[[#This Row],[Sunrise Time (POA&gt;20 W/m2)]])*24,"")</f>
        <v>11.633333333333333</v>
      </c>
      <c r="L25" s="212" t="s">
        <v>323</v>
      </c>
      <c r="M25" s="256">
        <f>_xlfn.XLOOKUP(Grid_BD[[#This Row],[Affected Equipment ]],'Basic Data'!$A:$A,'Basic Data'!$B:$B)</f>
        <v>11710.44</v>
      </c>
      <c r="N25" s="263">
        <f>_xlfn.XLOOKUP(Grid_BD[[#This Row],[Affected Equipment ]],'Basic Data'!$A:$A,'Basic Data'!$C:$C)</f>
        <v>1</v>
      </c>
      <c r="O25" s="212" t="s">
        <v>324</v>
      </c>
      <c r="P25" s="212" t="s">
        <v>268</v>
      </c>
      <c r="R25" s="258" t="s">
        <v>330</v>
      </c>
      <c r="S25" s="254">
        <v>0.69444444444444442</v>
      </c>
      <c r="T25" s="254">
        <v>0.69791666666666663</v>
      </c>
      <c r="U25" s="254">
        <v>0.70138888888888884</v>
      </c>
      <c r="V25" s="254">
        <v>0.72013888888888888</v>
      </c>
      <c r="W25" s="254">
        <f>(Grid_BD[[#This Row],[Acknowledgement Time ]]-Grid_BD[[#This Row],[Fault Time]])*24</f>
        <v>8.3333333333333037E-2</v>
      </c>
      <c r="X25" s="212">
        <f>(Grid_BD[[#This Row],[Work Start time on Fault]]-Grid_BD[[#This Row],[Fault Time]])*24</f>
        <v>0.16666666666666607</v>
      </c>
      <c r="Y25" s="255">
        <f>(Grid_BD[[#This Row],[Work Completion time on fault]]-Grid_BD[[#This Row],[Fault Time]])*24</f>
        <v>0.61666666666666714</v>
      </c>
      <c r="Z25" s="256">
        <f>(Grid_BD[[#This Row],[Work Completion time on fault]]-Grid_BD[[#This Row],[Fault Time]])*24</f>
        <v>0.61666666666666714</v>
      </c>
      <c r="AA25" s="212" t="s">
        <v>326</v>
      </c>
      <c r="AB25" s="212" t="s">
        <v>240</v>
      </c>
      <c r="AC25" s="256">
        <f>IFERROR(Grid_BD[[#This Row],[Plant Equivalent Weightage]]*Grid_BD[[#This Row],[Resolution Time]],"")</f>
        <v>0.61666666666666714</v>
      </c>
      <c r="AD25" s="212">
        <v>72</v>
      </c>
      <c r="AE25" s="255">
        <f>Grid_BD[[#This Row],[Lost PoA(kWh/m2)]]*Grid_BD[[#This Row],[DC Capacity Affected (kW)]]*_xlfn.XLOOKUP(Grid_BD[[#This Row],[Month Year]],'Modelling New'!$D:$D,'Modelling New'!$O:$O)/1000</f>
        <v>616.83452640057192</v>
      </c>
    </row>
    <row r="26" spans="1:31">
      <c r="A26" s="212">
        <f t="shared" si="0"/>
        <v>25</v>
      </c>
      <c r="B26" s="250">
        <v>45805</v>
      </c>
      <c r="C26" s="221">
        <f>YEAR(Grid_BD[[#This Row],[Date]])+IF(MONTH(Grid_BD[[#This Row],[Date]])&gt;=4,1,0)</f>
        <v>2026</v>
      </c>
      <c r="D26" s="260">
        <f>YEAR(Grid_BD[[#This Row],[Date]])</f>
        <v>2025</v>
      </c>
      <c r="E26" s="251" t="s">
        <v>155</v>
      </c>
      <c r="F26" s="251" t="s">
        <v>155</v>
      </c>
      <c r="G26" s="252">
        <f>Grid_BD[[#This Row],[Date]]-DAY(Grid_BD[[#This Row],[Date]])+1</f>
        <v>45778</v>
      </c>
      <c r="H26" s="261">
        <f>DAY(EOMONTH(Grid_BD[[#This Row],[Month Year]],0))</f>
        <v>31</v>
      </c>
      <c r="I26" s="262">
        <f>_xlfn.XLOOKUP(Grid_BD[[#This Row],[Date]],'Raw Data'!$G:$G,'Raw Data'!$I:$I)</f>
        <v>0.25</v>
      </c>
      <c r="J26" s="262">
        <f>_xlfn.XLOOKUP(Grid_BD[[#This Row],[Date]],'Raw Data'!$G:$G,'Raw Data'!$J:$J)</f>
        <v>0.77013888888888893</v>
      </c>
      <c r="K26" s="255">
        <f>IFERROR((Grid_BD[[#This Row],[Sunset Time (POA&lt;20 W/m2)]]-Grid_BD[[#This Row],[Sunrise Time (POA&gt;20 W/m2)]])*24,"")</f>
        <v>12.483333333333334</v>
      </c>
      <c r="L26" s="212" t="s">
        <v>323</v>
      </c>
      <c r="M26" s="256">
        <f>_xlfn.XLOOKUP(Grid_BD[[#This Row],[Affected Equipment ]],'Basic Data'!$A:$A,'Basic Data'!$B:$B)</f>
        <v>11710.44</v>
      </c>
      <c r="N26" s="263">
        <f>_xlfn.XLOOKUP(Grid_BD[[#This Row],[Affected Equipment ]],'Basic Data'!$A:$A,'Basic Data'!$C:$C)</f>
        <v>1</v>
      </c>
      <c r="O26" s="212" t="s">
        <v>324</v>
      </c>
      <c r="P26" s="212" t="s">
        <v>268</v>
      </c>
      <c r="R26" s="258" t="s">
        <v>487</v>
      </c>
      <c r="S26" s="254">
        <v>0.43333333333333335</v>
      </c>
      <c r="T26" s="254">
        <v>0.43402777777777779</v>
      </c>
      <c r="U26" s="254">
        <v>0.4548611111111111</v>
      </c>
      <c r="V26" s="254">
        <v>0.77083333333333337</v>
      </c>
      <c r="W26" s="254">
        <f>(Grid_BD[[#This Row],[Acknowledgement Time ]]-Grid_BD[[#This Row],[Fault Time]])*24</f>
        <v>1.6666666666666607E-2</v>
      </c>
      <c r="X26" s="212">
        <f>(Grid_BD[[#This Row],[Work Start time on Fault]]-Grid_BD[[#This Row],[Fault Time]])*24</f>
        <v>0.51666666666666616</v>
      </c>
      <c r="Y26" s="255">
        <f>(Grid_BD[[#This Row],[Work Completion time on fault]]-Grid_BD[[#This Row],[Fault Time]])*24</f>
        <v>8.1000000000000014</v>
      </c>
      <c r="Z26" s="256">
        <f>(Grid_BD[[#This Row],[Work Completion time on fault]]-Grid_BD[[#This Row],[Fault Time]])*24</f>
        <v>8.1000000000000014</v>
      </c>
      <c r="AA26" s="212" t="s">
        <v>326</v>
      </c>
      <c r="AB26" s="212" t="s">
        <v>240</v>
      </c>
      <c r="AC26" s="256">
        <f>IFERROR(Grid_BD[[#This Row],[Plant Equivalent Weightage]]*Grid_BD[[#This Row],[Resolution Time]],"")</f>
        <v>8.1000000000000014</v>
      </c>
      <c r="AD26" s="212">
        <v>2803</v>
      </c>
      <c r="AE26" s="255">
        <f>Grid_BD[[#This Row],[Lost PoA(kWh/m2)]]*Grid_BD[[#This Row],[DC Capacity Affected (kW)]]*_xlfn.XLOOKUP(Grid_BD[[#This Row],[Month Year]],'Modelling New'!$D:$D,'Modelling New'!$O:$O)/1000</f>
        <v>24013.710798622265</v>
      </c>
    </row>
    <row r="27" spans="1:31">
      <c r="A27" s="212">
        <f t="shared" si="0"/>
        <v>26</v>
      </c>
      <c r="B27" s="250">
        <v>45808</v>
      </c>
      <c r="C27" s="221">
        <f>YEAR(Grid_BD[[#This Row],[Date]])+IF(MONTH(Grid_BD[[#This Row],[Date]])&gt;=4,1,0)</f>
        <v>2026</v>
      </c>
      <c r="D27" s="260">
        <f>YEAR(Grid_BD[[#This Row],[Date]])</f>
        <v>2025</v>
      </c>
      <c r="E27" s="251" t="s">
        <v>155</v>
      </c>
      <c r="F27" s="251" t="s">
        <v>155</v>
      </c>
      <c r="G27" s="252">
        <f>Grid_BD[[#This Row],[Date]]-DAY(Grid_BD[[#This Row],[Date]])+1</f>
        <v>45778</v>
      </c>
      <c r="H27" s="261">
        <f>DAY(EOMONTH(Grid_BD[[#This Row],[Month Year]],0))</f>
        <v>31</v>
      </c>
      <c r="I27" s="262">
        <f>_xlfn.XLOOKUP(Grid_BD[[#This Row],[Date]],'Raw Data'!$G:$G,'Raw Data'!$I:$I)</f>
        <v>0.24444444444444444</v>
      </c>
      <c r="J27" s="262">
        <f>_xlfn.XLOOKUP(Grid_BD[[#This Row],[Date]],'Raw Data'!$G:$G,'Raw Data'!$J:$J)</f>
        <v>0.77569444444444446</v>
      </c>
      <c r="K27" s="255">
        <f>IFERROR((Grid_BD[[#This Row],[Sunset Time (POA&lt;20 W/m2)]]-Grid_BD[[#This Row],[Sunrise Time (POA&gt;20 W/m2)]])*24,"")</f>
        <v>12.75</v>
      </c>
      <c r="L27" s="212" t="s">
        <v>323</v>
      </c>
      <c r="M27" s="256">
        <f>_xlfn.XLOOKUP(Grid_BD[[#This Row],[Affected Equipment ]],'Basic Data'!$A:$A,'Basic Data'!$B:$B)</f>
        <v>11710.44</v>
      </c>
      <c r="N27" s="263">
        <f>_xlfn.XLOOKUP(Grid_BD[[#This Row],[Affected Equipment ]],'Basic Data'!$A:$A,'Basic Data'!$C:$C)</f>
        <v>1</v>
      </c>
      <c r="O27" s="212" t="s">
        <v>324</v>
      </c>
      <c r="P27" s="212" t="s">
        <v>268</v>
      </c>
      <c r="R27" s="258" t="s">
        <v>503</v>
      </c>
      <c r="S27" s="254">
        <v>0.49722222222222223</v>
      </c>
      <c r="T27" s="254">
        <v>0.49722222222222223</v>
      </c>
      <c r="U27" s="254">
        <v>0.51041666666666663</v>
      </c>
      <c r="V27" s="254">
        <v>0.53819444444444442</v>
      </c>
      <c r="W27" s="254">
        <f>(Grid_BD[[#This Row],[Acknowledgement Time ]]-Grid_BD[[#This Row],[Fault Time]])*24</f>
        <v>0</v>
      </c>
      <c r="X27" s="212">
        <f>(Grid_BD[[#This Row],[Work Start time on Fault]]-Grid_BD[[#This Row],[Fault Time]])*24</f>
        <v>0.31666666666666554</v>
      </c>
      <c r="Y27" s="255">
        <f>(Grid_BD[[#This Row],[Work Completion time on fault]]-Grid_BD[[#This Row],[Fault Time]])*24</f>
        <v>0.9833333333333325</v>
      </c>
      <c r="Z27" s="256">
        <f>(Grid_BD[[#This Row],[Work Completion time on fault]]-Grid_BD[[#This Row],[Fault Time]])*24</f>
        <v>0.9833333333333325</v>
      </c>
      <c r="AA27" s="212" t="s">
        <v>326</v>
      </c>
      <c r="AB27" s="212" t="s">
        <v>240</v>
      </c>
      <c r="AC27" s="256">
        <f>IFERROR(Grid_BD[[#This Row],[Plant Equivalent Weightage]]*Grid_BD[[#This Row],[Resolution Time]],"")</f>
        <v>0.9833333333333325</v>
      </c>
      <c r="AD27" s="212">
        <v>993</v>
      </c>
      <c r="AE27" s="255">
        <f>Grid_BD[[#This Row],[Lost PoA(kWh/m2)]]*Grid_BD[[#This Row],[DC Capacity Affected (kW)]]*_xlfn.XLOOKUP(Grid_BD[[#This Row],[Month Year]],'Modelling New'!$D:$D,'Modelling New'!$O:$O)/1000</f>
        <v>8507.1761766078871</v>
      </c>
    </row>
    <row r="28" spans="1:31">
      <c r="A28" s="212">
        <f t="shared" si="0"/>
        <v>27</v>
      </c>
      <c r="B28" s="250">
        <v>45810</v>
      </c>
      <c r="C28" s="221">
        <f>YEAR(Grid_BD[[#This Row],[Date]])+IF(MONTH(Grid_BD[[#This Row],[Date]])&gt;=4,1,0)</f>
        <v>2026</v>
      </c>
      <c r="D28" s="260">
        <f>YEAR(Grid_BD[[#This Row],[Date]])</f>
        <v>2025</v>
      </c>
      <c r="E28" s="251" t="s">
        <v>155</v>
      </c>
      <c r="F28" s="251" t="s">
        <v>155</v>
      </c>
      <c r="G28" s="252">
        <f>Grid_BD[[#This Row],[Date]]-DAY(Grid_BD[[#This Row],[Date]])+1</f>
        <v>45809</v>
      </c>
      <c r="H28" s="261">
        <f>DAY(EOMONTH(Grid_BD[[#This Row],[Month Year]],0))</f>
        <v>30</v>
      </c>
      <c r="I28" s="262">
        <f>_xlfn.XLOOKUP(Grid_BD[[#This Row],[Date]],'Raw Data'!$G:$G,'Raw Data'!$I:$I)</f>
        <v>0.24166666666666667</v>
      </c>
      <c r="J28" s="262">
        <f>_xlfn.XLOOKUP(Grid_BD[[#This Row],[Date]],'Raw Data'!$G:$G,'Raw Data'!$J:$J)</f>
        <v>0.77083333333333337</v>
      </c>
      <c r="K28" s="255">
        <f>IFERROR((Grid_BD[[#This Row],[Sunset Time (POA&lt;20 W/m2)]]-Grid_BD[[#This Row],[Sunrise Time (POA&gt;20 W/m2)]])*24,"")</f>
        <v>12.7</v>
      </c>
      <c r="L28" s="212" t="s">
        <v>323</v>
      </c>
      <c r="M28" s="256">
        <f>_xlfn.XLOOKUP(Grid_BD[[#This Row],[Affected Equipment ]],'Basic Data'!$A:$A,'Basic Data'!$B:$B)</f>
        <v>11710.44</v>
      </c>
      <c r="N28" s="263">
        <f>_xlfn.XLOOKUP(Grid_BD[[#This Row],[Affected Equipment ]],'Basic Data'!$A:$A,'Basic Data'!$C:$C)</f>
        <v>1</v>
      </c>
      <c r="O28" s="212" t="s">
        <v>324</v>
      </c>
      <c r="P28" s="212" t="s">
        <v>268</v>
      </c>
      <c r="R28" s="258" t="s">
        <v>492</v>
      </c>
      <c r="S28" s="254">
        <v>0.68333333333333335</v>
      </c>
      <c r="T28" s="254">
        <v>0.68402777777777779</v>
      </c>
      <c r="U28" s="254">
        <v>0.6875</v>
      </c>
      <c r="V28" s="254">
        <v>0.71388888888888891</v>
      </c>
      <c r="W28" s="254">
        <f>(Grid_BD[[#This Row],[Acknowledgement Time ]]-Grid_BD[[#This Row],[Fault Time]])*24</f>
        <v>1.6666666666666607E-2</v>
      </c>
      <c r="X28" s="212">
        <f>(Grid_BD[[#This Row],[Work Start time on Fault]]-Grid_BD[[#This Row],[Fault Time]])*24</f>
        <v>9.9999999999999645E-2</v>
      </c>
      <c r="Y28" s="255">
        <f>(Grid_BD[[#This Row],[Work Completion time on fault]]-Grid_BD[[#This Row],[Fault Time]])*24</f>
        <v>0.73333333333333339</v>
      </c>
      <c r="Z28" s="256">
        <f>(Grid_BD[[#This Row],[Work Completion time on fault]]-Grid_BD[[#This Row],[Fault Time]])*24</f>
        <v>0.73333333333333339</v>
      </c>
      <c r="AA28" s="212" t="s">
        <v>326</v>
      </c>
      <c r="AB28" s="212" t="s">
        <v>240</v>
      </c>
      <c r="AC28" s="256">
        <f>IFERROR(Grid_BD[[#This Row],[Plant Equivalent Weightage]]*Grid_BD[[#This Row],[Resolution Time]],"")</f>
        <v>0.73333333333333339</v>
      </c>
      <c r="AD28" s="212">
        <v>174</v>
      </c>
      <c r="AE28" s="255">
        <f>Grid_BD[[#This Row],[Lost PoA(kWh/m2)]]*Grid_BD[[#This Row],[DC Capacity Affected (kW)]]*_xlfn.XLOOKUP(Grid_BD[[#This Row],[Month Year]],'Modelling New'!$D:$D,'Modelling New'!$O:$O)/1000</f>
        <v>1467.4787114883502</v>
      </c>
    </row>
    <row r="29" spans="1:31">
      <c r="A29" s="212">
        <f t="shared" si="0"/>
        <v>28</v>
      </c>
      <c r="B29" s="250">
        <v>45811</v>
      </c>
      <c r="C29" s="221">
        <f>YEAR(Grid_BD[[#This Row],[Date]])+IF(MONTH(Grid_BD[[#This Row],[Date]])&gt;=4,1,0)</f>
        <v>2026</v>
      </c>
      <c r="D29" s="260">
        <f>YEAR(Grid_BD[[#This Row],[Date]])</f>
        <v>2025</v>
      </c>
      <c r="E29" s="251" t="s">
        <v>155</v>
      </c>
      <c r="F29" s="251" t="s">
        <v>155</v>
      </c>
      <c r="G29" s="252">
        <f>Grid_BD[[#This Row],[Date]]-DAY(Grid_BD[[#This Row],[Date]])+1</f>
        <v>45809</v>
      </c>
      <c r="H29" s="261">
        <f>DAY(EOMONTH(Grid_BD[[#This Row],[Month Year]],0))</f>
        <v>30</v>
      </c>
      <c r="I29" s="262">
        <f>_xlfn.XLOOKUP(Grid_BD[[#This Row],[Date]],'Raw Data'!$G:$G,'Raw Data'!$I:$I)</f>
        <v>0.24374999999999999</v>
      </c>
      <c r="J29" s="262">
        <f>_xlfn.XLOOKUP(Grid_BD[[#This Row],[Date]],'Raw Data'!$G:$G,'Raw Data'!$J:$J)</f>
        <v>0.77361111111111114</v>
      </c>
      <c r="K29" s="255">
        <f>IFERROR((Grid_BD[[#This Row],[Sunset Time (POA&lt;20 W/m2)]]-Grid_BD[[#This Row],[Sunrise Time (POA&gt;20 W/m2)]])*24,"")</f>
        <v>12.716666666666667</v>
      </c>
      <c r="L29" s="212" t="s">
        <v>323</v>
      </c>
      <c r="M29" s="256">
        <f>_xlfn.XLOOKUP(Grid_BD[[#This Row],[Affected Equipment ]],'Basic Data'!$A:$A,'Basic Data'!$B:$B)</f>
        <v>11710.44</v>
      </c>
      <c r="N29" s="263">
        <f>_xlfn.XLOOKUP(Grid_BD[[#This Row],[Affected Equipment ]],'Basic Data'!$A:$A,'Basic Data'!$C:$C)</f>
        <v>1</v>
      </c>
      <c r="O29" s="212" t="s">
        <v>324</v>
      </c>
      <c r="P29" s="212" t="s">
        <v>268</v>
      </c>
      <c r="R29" s="258" t="s">
        <v>493</v>
      </c>
      <c r="S29" s="254">
        <v>0.42916666666666664</v>
      </c>
      <c r="T29" s="254">
        <v>0.42916666666666664</v>
      </c>
      <c r="U29" s="254">
        <v>0.43402777777777779</v>
      </c>
      <c r="V29" s="254">
        <v>0.4597222222222222</v>
      </c>
      <c r="W29" s="254">
        <f>(Grid_BD[[#This Row],[Acknowledgement Time ]]-Grid_BD[[#This Row],[Fault Time]])*24</f>
        <v>0</v>
      </c>
      <c r="X29" s="212">
        <f>(Grid_BD[[#This Row],[Work Start time on Fault]]-Grid_BD[[#This Row],[Fault Time]])*24</f>
        <v>0.11666666666666758</v>
      </c>
      <c r="Y29" s="255">
        <f>(Grid_BD[[#This Row],[Work Completion time on fault]]-Grid_BD[[#This Row],[Fault Time]])*24</f>
        <v>0.73333333333333339</v>
      </c>
      <c r="Z29" s="256">
        <f>(Grid_BD[[#This Row],[Work Completion time on fault]]-Grid_BD[[#This Row],[Fault Time]])*24</f>
        <v>0.73333333333333339</v>
      </c>
      <c r="AA29" s="212" t="s">
        <v>326</v>
      </c>
      <c r="AB29" s="212" t="s">
        <v>240</v>
      </c>
      <c r="AC29" s="256">
        <f>IFERROR(Grid_BD[[#This Row],[Plant Equivalent Weightage]]*Grid_BD[[#This Row],[Resolution Time]],"")</f>
        <v>0.73333333333333339</v>
      </c>
      <c r="AD29" s="212">
        <v>656</v>
      </c>
      <c r="AE29" s="255">
        <f>Grid_BD[[#This Row],[Lost PoA(kWh/m2)]]*Grid_BD[[#This Row],[DC Capacity Affected (kW)]]*_xlfn.XLOOKUP(Grid_BD[[#This Row],[Month Year]],'Modelling New'!$D:$D,'Modelling New'!$O:$O)/1000</f>
        <v>5532.5634180250445</v>
      </c>
    </row>
    <row r="30" spans="1:31">
      <c r="A30" s="212">
        <f t="shared" si="0"/>
        <v>29</v>
      </c>
      <c r="B30" s="250">
        <v>45814</v>
      </c>
      <c r="C30" s="221">
        <f>YEAR(Grid_BD[[#This Row],[Date]])+IF(MONTH(Grid_BD[[#This Row],[Date]])&gt;=4,1,0)</f>
        <v>2026</v>
      </c>
      <c r="D30" s="260">
        <f>YEAR(Grid_BD[[#This Row],[Date]])</f>
        <v>2025</v>
      </c>
      <c r="E30" s="251" t="s">
        <v>155</v>
      </c>
      <c r="F30" s="251" t="s">
        <v>155</v>
      </c>
      <c r="G30" s="252">
        <f>Grid_BD[[#This Row],[Date]]-DAY(Grid_BD[[#This Row],[Date]])+1</f>
        <v>45809</v>
      </c>
      <c r="H30" s="261">
        <f>DAY(EOMONTH(Grid_BD[[#This Row],[Month Year]],0))</f>
        <v>30</v>
      </c>
      <c r="I30" s="262">
        <f>_xlfn.XLOOKUP(Grid_BD[[#This Row],[Date]],'Raw Data'!$G:$G,'Raw Data'!$I:$I)</f>
        <v>0.25069444444444444</v>
      </c>
      <c r="J30" s="262">
        <f>_xlfn.XLOOKUP(Grid_BD[[#This Row],[Date]],'Raw Data'!$G:$G,'Raw Data'!$J:$J)</f>
        <v>0.77361111111111114</v>
      </c>
      <c r="K30" s="255">
        <f>IFERROR((Grid_BD[[#This Row],[Sunset Time (POA&lt;20 W/m2)]]-Grid_BD[[#This Row],[Sunrise Time (POA&gt;20 W/m2)]])*24,"")</f>
        <v>12.55</v>
      </c>
      <c r="L30" s="212" t="s">
        <v>323</v>
      </c>
      <c r="M30" s="256">
        <f>_xlfn.XLOOKUP(Grid_BD[[#This Row],[Affected Equipment ]],'Basic Data'!$A:$A,'Basic Data'!$B:$B)</f>
        <v>11710.44</v>
      </c>
      <c r="N30" s="263">
        <f>_xlfn.XLOOKUP(Grid_BD[[#This Row],[Affected Equipment ]],'Basic Data'!$A:$A,'Basic Data'!$C:$C)</f>
        <v>1</v>
      </c>
      <c r="O30" s="212" t="s">
        <v>324</v>
      </c>
      <c r="P30" s="212" t="s">
        <v>268</v>
      </c>
      <c r="R30" s="258" t="s">
        <v>494</v>
      </c>
      <c r="S30" s="254">
        <v>0.56180555555555556</v>
      </c>
      <c r="T30" s="254">
        <v>0.5625</v>
      </c>
      <c r="U30" s="254">
        <v>0.56597222222222221</v>
      </c>
      <c r="V30" s="254">
        <v>0.69444444444444442</v>
      </c>
      <c r="W30" s="254">
        <f>(Grid_BD[[#This Row],[Acknowledgement Time ]]-Grid_BD[[#This Row],[Fault Time]])*24</f>
        <v>1.6666666666666607E-2</v>
      </c>
      <c r="X30" s="212">
        <f>(Grid_BD[[#This Row],[Work Start time on Fault]]-Grid_BD[[#This Row],[Fault Time]])*24</f>
        <v>9.9999999999999645E-2</v>
      </c>
      <c r="Y30" s="255">
        <f>(Grid_BD[[#This Row],[Work Completion time on fault]]-Grid_BD[[#This Row],[Fault Time]])*24</f>
        <v>3.1833333333333327</v>
      </c>
      <c r="Z30" s="256">
        <f>(Grid_BD[[#This Row],[Work Completion time on fault]]-Grid_BD[[#This Row],[Fault Time]])*24</f>
        <v>3.1833333333333327</v>
      </c>
      <c r="AA30" s="212" t="s">
        <v>326</v>
      </c>
      <c r="AB30" s="212" t="s">
        <v>240</v>
      </c>
      <c r="AC30" s="256">
        <f>IFERROR(Grid_BD[[#This Row],[Plant Equivalent Weightage]]*Grid_BD[[#This Row],[Resolution Time]],"")</f>
        <v>3.1833333333333327</v>
      </c>
      <c r="AD30" s="212">
        <v>2062</v>
      </c>
      <c r="AE30" s="255">
        <f>Grid_BD[[#This Row],[Lost PoA(kWh/m2)]]*Grid_BD[[#This Row],[DC Capacity Affected (kW)]]*_xlfn.XLOOKUP(Grid_BD[[#This Row],[Month Year]],'Modelling New'!$D:$D,'Modelling New'!$O:$O)/1000</f>
        <v>17390.466109706769</v>
      </c>
    </row>
    <row r="31" spans="1:31">
      <c r="A31" s="212">
        <f t="shared" si="0"/>
        <v>30</v>
      </c>
      <c r="B31" s="250">
        <v>45815</v>
      </c>
      <c r="C31" s="221">
        <f>YEAR(Grid_BD[[#This Row],[Date]])+IF(MONTH(Grid_BD[[#This Row],[Date]])&gt;=4,1,0)</f>
        <v>2026</v>
      </c>
      <c r="D31" s="260">
        <f>YEAR(Grid_BD[[#This Row],[Date]])</f>
        <v>2025</v>
      </c>
      <c r="E31" s="251" t="s">
        <v>155</v>
      </c>
      <c r="F31" s="251" t="s">
        <v>155</v>
      </c>
      <c r="G31" s="252">
        <f>Grid_BD[[#This Row],[Date]]-DAY(Grid_BD[[#This Row],[Date]])+1</f>
        <v>45809</v>
      </c>
      <c r="H31" s="261">
        <f>DAY(EOMONTH(Grid_BD[[#This Row],[Month Year]],0))</f>
        <v>30</v>
      </c>
      <c r="I31" s="262">
        <f>_xlfn.XLOOKUP(Grid_BD[[#This Row],[Date]],'Raw Data'!$G:$G,'Raw Data'!$I:$I)</f>
        <v>0.24583333333333332</v>
      </c>
      <c r="J31" s="262">
        <f>_xlfn.XLOOKUP(Grid_BD[[#This Row],[Date]],'Raw Data'!$G:$G,'Raw Data'!$J:$J)</f>
        <v>0.77569444444444446</v>
      </c>
      <c r="K31" s="255">
        <f>IFERROR((Grid_BD[[#This Row],[Sunset Time (POA&lt;20 W/m2)]]-Grid_BD[[#This Row],[Sunrise Time (POA&gt;20 W/m2)]])*24,"")</f>
        <v>12.716666666666667</v>
      </c>
      <c r="L31" s="212" t="s">
        <v>323</v>
      </c>
      <c r="M31" s="256">
        <f>_xlfn.XLOOKUP(Grid_BD[[#This Row],[Affected Equipment ]],'Basic Data'!$A:$A,'Basic Data'!$B:$B)</f>
        <v>11710.44</v>
      </c>
      <c r="N31" s="263">
        <f>_xlfn.XLOOKUP(Grid_BD[[#This Row],[Affected Equipment ]],'Basic Data'!$A:$A,'Basic Data'!$C:$C)</f>
        <v>1</v>
      </c>
      <c r="O31" s="212" t="s">
        <v>324</v>
      </c>
      <c r="P31" s="212" t="s">
        <v>268</v>
      </c>
      <c r="R31" s="258" t="s">
        <v>327</v>
      </c>
      <c r="S31" s="254">
        <v>0.62291666666666667</v>
      </c>
      <c r="T31" s="254">
        <v>0.62430555555555556</v>
      </c>
      <c r="U31" s="254">
        <v>0.625</v>
      </c>
      <c r="V31" s="254">
        <v>0.62986111111111109</v>
      </c>
      <c r="W31" s="254">
        <f>(Grid_BD[[#This Row],[Acknowledgement Time ]]-Grid_BD[[#This Row],[Fault Time]])*24</f>
        <v>3.3333333333333215E-2</v>
      </c>
      <c r="X31" s="212">
        <f>(Grid_BD[[#This Row],[Work Start time on Fault]]-Grid_BD[[#This Row],[Fault Time]])*24</f>
        <v>4.9999999999999822E-2</v>
      </c>
      <c r="Y31" s="255">
        <f>(Grid_BD[[#This Row],[Work Completion time on fault]]-Grid_BD[[#This Row],[Fault Time]])*24</f>
        <v>0.16666666666666607</v>
      </c>
      <c r="Z31" s="256">
        <f>(Grid_BD[[#This Row],[Work Completion time on fault]]-Grid_BD[[#This Row],[Fault Time]])*24</f>
        <v>0.16666666666666607</v>
      </c>
      <c r="AA31" s="212" t="s">
        <v>326</v>
      </c>
      <c r="AB31" s="212" t="s">
        <v>240</v>
      </c>
      <c r="AC31" s="256">
        <f>IFERROR(Grid_BD[[#This Row],[Plant Equivalent Weightage]]*Grid_BD[[#This Row],[Resolution Time]],"")</f>
        <v>0.16666666666666607</v>
      </c>
      <c r="AD31" s="212">
        <v>49</v>
      </c>
      <c r="AE31" s="255">
        <f>Grid_BD[[#This Row],[Lost PoA(kWh/m2)]]*Grid_BD[[#This Row],[DC Capacity Affected (kW)]]*_xlfn.XLOOKUP(Grid_BD[[#This Row],[Month Year]],'Modelling New'!$D:$D,'Modelling New'!$O:$O)/1000</f>
        <v>413.2554992122366</v>
      </c>
    </row>
    <row r="32" spans="1:31">
      <c r="A32" s="212">
        <f t="shared" si="0"/>
        <v>31</v>
      </c>
      <c r="B32" s="250">
        <v>45819</v>
      </c>
      <c r="C32" s="221">
        <f>YEAR(Grid_BD[[#This Row],[Date]])+IF(MONTH(Grid_BD[[#This Row],[Date]])&gt;=4,1,0)</f>
        <v>2026</v>
      </c>
      <c r="D32" s="260">
        <f>YEAR(Grid_BD[[#This Row],[Date]])</f>
        <v>2025</v>
      </c>
      <c r="E32" s="251" t="s">
        <v>155</v>
      </c>
      <c r="F32" s="251" t="s">
        <v>155</v>
      </c>
      <c r="G32" s="252">
        <f>Grid_BD[[#This Row],[Date]]-DAY(Grid_BD[[#This Row],[Date]])+1</f>
        <v>45809</v>
      </c>
      <c r="H32" s="261">
        <f>DAY(EOMONTH(Grid_BD[[#This Row],[Month Year]],0))</f>
        <v>30</v>
      </c>
      <c r="I32" s="262">
        <f>_xlfn.XLOOKUP(Grid_BD[[#This Row],[Date]],'Raw Data'!$G:$G,'Raw Data'!$I:$I)</f>
        <v>0.29166666666666669</v>
      </c>
      <c r="J32" s="262">
        <f>_xlfn.XLOOKUP(Grid_BD[[#This Row],[Date]],'Raw Data'!$G:$G,'Raw Data'!$J:$J)</f>
        <v>0.77708333333333335</v>
      </c>
      <c r="K32" s="255">
        <f>IFERROR((Grid_BD[[#This Row],[Sunset Time (POA&lt;20 W/m2)]]-Grid_BD[[#This Row],[Sunrise Time (POA&gt;20 W/m2)]])*24,"")</f>
        <v>11.65</v>
      </c>
      <c r="L32" s="212" t="s">
        <v>323</v>
      </c>
      <c r="M32" s="256">
        <f>_xlfn.XLOOKUP(Grid_BD[[#This Row],[Affected Equipment ]],'Basic Data'!$A:$A,'Basic Data'!$B:$B)</f>
        <v>11710.44</v>
      </c>
      <c r="N32" s="263">
        <f>_xlfn.XLOOKUP(Grid_BD[[#This Row],[Affected Equipment ]],'Basic Data'!$A:$A,'Basic Data'!$C:$C)</f>
        <v>1</v>
      </c>
      <c r="O32" s="212" t="s">
        <v>324</v>
      </c>
      <c r="P32" s="212" t="s">
        <v>268</v>
      </c>
      <c r="R32" s="258" t="s">
        <v>330</v>
      </c>
      <c r="S32" s="254">
        <v>0.42152777777777778</v>
      </c>
      <c r="T32" s="254">
        <v>0.42152777777777778</v>
      </c>
      <c r="U32" s="254">
        <v>0.42222222222222222</v>
      </c>
      <c r="V32" s="254">
        <v>0.43194444444444446</v>
      </c>
      <c r="W32" s="254">
        <f>(Grid_BD[[#This Row],[Acknowledgement Time ]]-Grid_BD[[#This Row],[Fault Time]])*24</f>
        <v>0</v>
      </c>
      <c r="X32" s="212">
        <f>(Grid_BD[[#This Row],[Work Start time on Fault]]-Grid_BD[[#This Row],[Fault Time]])*24</f>
        <v>1.6666666666666607E-2</v>
      </c>
      <c r="Y32" s="255">
        <f>(Grid_BD[[#This Row],[Work Completion time on fault]]-Grid_BD[[#This Row],[Fault Time]])*24</f>
        <v>0.25000000000000044</v>
      </c>
      <c r="Z32" s="256">
        <f>(Grid_BD[[#This Row],[Work Completion time on fault]]-Grid_BD[[#This Row],[Fault Time]])*24</f>
        <v>0.25000000000000044</v>
      </c>
      <c r="AA32" s="212" t="s">
        <v>326</v>
      </c>
      <c r="AB32" s="212" t="s">
        <v>240</v>
      </c>
      <c r="AC32" s="256">
        <f>IFERROR(Grid_BD[[#This Row],[Plant Equivalent Weightage]]*Grid_BD[[#This Row],[Resolution Time]],"")</f>
        <v>0.25000000000000044</v>
      </c>
      <c r="AD32" s="212">
        <v>50</v>
      </c>
      <c r="AE32" s="255">
        <f>Grid_BD[[#This Row],[Lost PoA(kWh/m2)]]*Grid_BD[[#This Row],[DC Capacity Affected (kW)]]*_xlfn.XLOOKUP(Grid_BD[[#This Row],[Month Year]],'Modelling New'!$D:$D,'Modelling New'!$O:$O)/1000</f>
        <v>421.68928491044545</v>
      </c>
    </row>
    <row r="33" spans="1:31">
      <c r="A33" s="212">
        <f t="shared" si="0"/>
        <v>32</v>
      </c>
      <c r="B33" s="250">
        <v>45820</v>
      </c>
      <c r="C33" s="221">
        <f>YEAR(Grid_BD[[#This Row],[Date]])+IF(MONTH(Grid_BD[[#This Row],[Date]])&gt;=4,1,0)</f>
        <v>2026</v>
      </c>
      <c r="D33" s="260">
        <f>YEAR(Grid_BD[[#This Row],[Date]])</f>
        <v>2025</v>
      </c>
      <c r="E33" s="251" t="s">
        <v>155</v>
      </c>
      <c r="F33" s="251" t="s">
        <v>155</v>
      </c>
      <c r="G33" s="252">
        <f>Grid_BD[[#This Row],[Date]]-DAY(Grid_BD[[#This Row],[Date]])+1</f>
        <v>45809</v>
      </c>
      <c r="H33" s="261">
        <f>DAY(EOMONTH(Grid_BD[[#This Row],[Month Year]],0))</f>
        <v>30</v>
      </c>
      <c r="I33" s="262">
        <f>_xlfn.XLOOKUP(Grid_BD[[#This Row],[Date]],'Raw Data'!$G:$G,'Raw Data'!$I:$I)</f>
        <v>0.28125</v>
      </c>
      <c r="J33" s="262">
        <f>_xlfn.XLOOKUP(Grid_BD[[#This Row],[Date]],'Raw Data'!$G:$G,'Raw Data'!$J:$J)</f>
        <v>0.77430555555555558</v>
      </c>
      <c r="K33" s="255">
        <f>IFERROR((Grid_BD[[#This Row],[Sunset Time (POA&lt;20 W/m2)]]-Grid_BD[[#This Row],[Sunrise Time (POA&gt;20 W/m2)]])*24,"")</f>
        <v>11.833333333333334</v>
      </c>
      <c r="L33" s="212" t="s">
        <v>323</v>
      </c>
      <c r="M33" s="256">
        <f>_xlfn.XLOOKUP(Grid_BD[[#This Row],[Affected Equipment ]],'Basic Data'!$A:$A,'Basic Data'!$B:$B)</f>
        <v>11710.44</v>
      </c>
      <c r="N33" s="263">
        <f>_xlfn.XLOOKUP(Grid_BD[[#This Row],[Affected Equipment ]],'Basic Data'!$A:$A,'Basic Data'!$C:$C)</f>
        <v>1</v>
      </c>
      <c r="O33" s="212" t="s">
        <v>324</v>
      </c>
      <c r="P33" s="212" t="s">
        <v>268</v>
      </c>
      <c r="R33" s="258" t="s">
        <v>327</v>
      </c>
      <c r="S33" s="254">
        <v>0.70208333333333328</v>
      </c>
      <c r="T33" s="254">
        <v>0.70208333333333328</v>
      </c>
      <c r="U33" s="254">
        <v>0.70486111111111116</v>
      </c>
      <c r="V33" s="254">
        <v>0.70833333333333337</v>
      </c>
      <c r="W33" s="254">
        <f>(Grid_BD[[#This Row],[Acknowledgement Time ]]-Grid_BD[[#This Row],[Fault Time]])*24</f>
        <v>0</v>
      </c>
      <c r="X33" s="212">
        <f>(Grid_BD[[#This Row],[Work Start time on Fault]]-Grid_BD[[#This Row],[Fault Time]])*24</f>
        <v>6.6666666666669094E-2</v>
      </c>
      <c r="Y33" s="255">
        <f>(Grid_BD[[#This Row],[Work Completion time on fault]]-Grid_BD[[#This Row],[Fault Time]])*24</f>
        <v>0.15000000000000213</v>
      </c>
      <c r="Z33" s="256">
        <f>(Grid_BD[[#This Row],[Work Completion time on fault]]-Grid_BD[[#This Row],[Fault Time]])*24</f>
        <v>0.15000000000000213</v>
      </c>
      <c r="AA33" s="212" t="s">
        <v>326</v>
      </c>
      <c r="AB33" s="212" t="s">
        <v>240</v>
      </c>
      <c r="AC33" s="256">
        <f>IFERROR(Grid_BD[[#This Row],[Plant Equivalent Weightage]]*Grid_BD[[#This Row],[Resolution Time]],"")</f>
        <v>0.15000000000000213</v>
      </c>
      <c r="AD33" s="212">
        <v>50</v>
      </c>
      <c r="AE33" s="255">
        <f>Grid_BD[[#This Row],[Lost PoA(kWh/m2)]]*Grid_BD[[#This Row],[DC Capacity Affected (kW)]]*_xlfn.XLOOKUP(Grid_BD[[#This Row],[Month Year]],'Modelling New'!$D:$D,'Modelling New'!$O:$O)/1000</f>
        <v>421.68928491044545</v>
      </c>
    </row>
    <row r="34" spans="1:31">
      <c r="A34" s="212">
        <f t="shared" si="0"/>
        <v>33</v>
      </c>
      <c r="B34" s="250">
        <v>45821</v>
      </c>
      <c r="C34" s="221">
        <f>YEAR(Grid_BD[[#This Row],[Date]])+IF(MONTH(Grid_BD[[#This Row],[Date]])&gt;=4,1,0)</f>
        <v>2026</v>
      </c>
      <c r="D34" s="260">
        <f>YEAR(Grid_BD[[#This Row],[Date]])</f>
        <v>2025</v>
      </c>
      <c r="E34" s="251" t="s">
        <v>155</v>
      </c>
      <c r="F34" s="251" t="s">
        <v>155</v>
      </c>
      <c r="G34" s="252">
        <f>Grid_BD[[#This Row],[Date]]-DAY(Grid_BD[[#This Row],[Date]])+1</f>
        <v>45809</v>
      </c>
      <c r="H34" s="261">
        <f>DAY(EOMONTH(Grid_BD[[#This Row],[Month Year]],0))</f>
        <v>30</v>
      </c>
      <c r="I34" s="262">
        <f>_xlfn.XLOOKUP(Grid_BD[[#This Row],[Date]],'Raw Data'!$G:$G,'Raw Data'!$I:$I)</f>
        <v>0.24861111111111112</v>
      </c>
      <c r="J34" s="262">
        <f>_xlfn.XLOOKUP(Grid_BD[[#This Row],[Date]],'Raw Data'!$G:$G,'Raw Data'!$J:$J)</f>
        <v>0.77569444444444446</v>
      </c>
      <c r="K34" s="255">
        <f>IFERROR((Grid_BD[[#This Row],[Sunset Time (POA&lt;20 W/m2)]]-Grid_BD[[#This Row],[Sunrise Time (POA&gt;20 W/m2)]])*24,"")</f>
        <v>12.65</v>
      </c>
      <c r="L34" s="212" t="s">
        <v>323</v>
      </c>
      <c r="M34" s="256">
        <f>_xlfn.XLOOKUP(Grid_BD[[#This Row],[Affected Equipment ]],'Basic Data'!$A:$A,'Basic Data'!$B:$B)</f>
        <v>11710.44</v>
      </c>
      <c r="N34" s="263">
        <f>_xlfn.XLOOKUP(Grid_BD[[#This Row],[Affected Equipment ]],'Basic Data'!$A:$A,'Basic Data'!$C:$C)</f>
        <v>1</v>
      </c>
      <c r="O34" s="212" t="s">
        <v>324</v>
      </c>
      <c r="P34" s="212" t="s">
        <v>268</v>
      </c>
      <c r="R34" s="258" t="s">
        <v>495</v>
      </c>
      <c r="S34" s="254">
        <v>0.53194444444444444</v>
      </c>
      <c r="T34" s="254">
        <v>0.53194444444444444</v>
      </c>
      <c r="U34" s="254">
        <v>0.53819444444444442</v>
      </c>
      <c r="V34" s="254">
        <v>0.65694444444444444</v>
      </c>
      <c r="W34" s="254">
        <f>(Grid_BD[[#This Row],[Acknowledgement Time ]]-Grid_BD[[#This Row],[Fault Time]])*24</f>
        <v>0</v>
      </c>
      <c r="X34" s="212">
        <f>(Grid_BD[[#This Row],[Work Start time on Fault]]-Grid_BD[[#This Row],[Fault Time]])*24</f>
        <v>0.14999999999999947</v>
      </c>
      <c r="Y34" s="255">
        <f>(Grid_BD[[#This Row],[Work Completion time on fault]]-Grid_BD[[#This Row],[Fault Time]])*24</f>
        <v>3</v>
      </c>
      <c r="Z34" s="256">
        <f>(Grid_BD[[#This Row],[Work Completion time on fault]]-Grid_BD[[#This Row],[Fault Time]])*24</f>
        <v>3</v>
      </c>
      <c r="AA34" s="212" t="s">
        <v>326</v>
      </c>
      <c r="AB34" s="212" t="s">
        <v>240</v>
      </c>
      <c r="AC34" s="256">
        <f>IFERROR(Grid_BD[[#This Row],[Plant Equivalent Weightage]]*Grid_BD[[#This Row],[Resolution Time]],"")</f>
        <v>3</v>
      </c>
      <c r="AD34" s="212">
        <v>1097</v>
      </c>
      <c r="AE34" s="255">
        <f>Grid_BD[[#This Row],[Lost PoA(kWh/m2)]]*Grid_BD[[#This Row],[DC Capacity Affected (kW)]]*_xlfn.XLOOKUP(Grid_BD[[#This Row],[Month Year]],'Modelling New'!$D:$D,'Modelling New'!$O:$O)/1000</f>
        <v>9251.8629109351732</v>
      </c>
    </row>
    <row r="35" spans="1:31">
      <c r="A35" s="212">
        <f t="shared" si="0"/>
        <v>34</v>
      </c>
      <c r="B35" s="250">
        <v>45823</v>
      </c>
      <c r="C35" s="221">
        <f>YEAR(Grid_BD[[#This Row],[Date]])+IF(MONTH(Grid_BD[[#This Row],[Date]])&gt;=4,1,0)</f>
        <v>2026</v>
      </c>
      <c r="D35" s="260">
        <f>YEAR(Grid_BD[[#This Row],[Date]])</f>
        <v>2025</v>
      </c>
      <c r="E35" s="251" t="s">
        <v>155</v>
      </c>
      <c r="F35" s="251" t="s">
        <v>155</v>
      </c>
      <c r="G35" s="252">
        <f>Grid_BD[[#This Row],[Date]]-DAY(Grid_BD[[#This Row],[Date]])+1</f>
        <v>45809</v>
      </c>
      <c r="H35" s="261">
        <f>DAY(EOMONTH(Grid_BD[[#This Row],[Month Year]],0))</f>
        <v>30</v>
      </c>
      <c r="I35" s="262">
        <f>_xlfn.XLOOKUP(Grid_BD[[#This Row],[Date]],'Raw Data'!$G:$G,'Raw Data'!$I:$I)</f>
        <v>0.25</v>
      </c>
      <c r="J35" s="262">
        <f>_xlfn.XLOOKUP(Grid_BD[[#This Row],[Date]],'Raw Data'!$G:$G,'Raw Data'!$J:$J)</f>
        <v>0.76249999999999996</v>
      </c>
      <c r="K35" s="255">
        <f>IFERROR((Grid_BD[[#This Row],[Sunset Time (POA&lt;20 W/m2)]]-Grid_BD[[#This Row],[Sunrise Time (POA&gt;20 W/m2)]])*24,"")</f>
        <v>12.299999999999999</v>
      </c>
      <c r="L35" s="212" t="s">
        <v>323</v>
      </c>
      <c r="M35" s="256">
        <f>_xlfn.XLOOKUP(Grid_BD[[#This Row],[Affected Equipment ]],'Basic Data'!$A:$A,'Basic Data'!$B:$B)</f>
        <v>11710.44</v>
      </c>
      <c r="N35" s="263">
        <f>_xlfn.XLOOKUP(Grid_BD[[#This Row],[Affected Equipment ]],'Basic Data'!$A:$A,'Basic Data'!$C:$C)</f>
        <v>1</v>
      </c>
      <c r="O35" s="212" t="s">
        <v>324</v>
      </c>
      <c r="P35" s="212" t="s">
        <v>268</v>
      </c>
      <c r="R35" s="258" t="s">
        <v>501</v>
      </c>
      <c r="S35" s="254">
        <v>0.51736111111111116</v>
      </c>
      <c r="T35" s="254">
        <v>0.51736111111111116</v>
      </c>
      <c r="U35" s="254">
        <v>0.53125</v>
      </c>
      <c r="V35" s="254">
        <v>0.62222222222222223</v>
      </c>
      <c r="W35" s="254">
        <f>(Grid_BD[[#This Row],[Acknowledgement Time ]]-Grid_BD[[#This Row],[Fault Time]])*24</f>
        <v>0</v>
      </c>
      <c r="X35" s="212">
        <f>(Grid_BD[[#This Row],[Work Start time on Fault]]-Grid_BD[[#This Row],[Fault Time]])*24</f>
        <v>0.33333333333333215</v>
      </c>
      <c r="Y35" s="255">
        <f>(Grid_BD[[#This Row],[Work Completion time on fault]]-Grid_BD[[#This Row],[Fault Time]])*24</f>
        <v>2.5166666666666657</v>
      </c>
      <c r="Z35" s="256">
        <f>(Grid_BD[[#This Row],[Work Completion time on fault]]-Grid_BD[[#This Row],[Fault Time]])*24</f>
        <v>2.5166666666666657</v>
      </c>
      <c r="AA35" s="212" t="s">
        <v>326</v>
      </c>
      <c r="AB35" s="212" t="s">
        <v>240</v>
      </c>
      <c r="AC35" s="256">
        <f>IFERROR(Grid_BD[[#This Row],[Plant Equivalent Weightage]]*Grid_BD[[#This Row],[Resolution Time]],"")</f>
        <v>2.5166666666666657</v>
      </c>
      <c r="AD35" s="212">
        <v>1253</v>
      </c>
      <c r="AE35" s="255">
        <f>Grid_BD[[#This Row],[Lost PoA(kWh/m2)]]*Grid_BD[[#This Row],[DC Capacity Affected (kW)]]*_xlfn.XLOOKUP(Grid_BD[[#This Row],[Month Year]],'Modelling New'!$D:$D,'Modelling New'!$O:$O)/1000</f>
        <v>10567.533479855765</v>
      </c>
    </row>
    <row r="36" spans="1:31">
      <c r="A36" s="212">
        <f t="shared" si="0"/>
        <v>35</v>
      </c>
      <c r="B36" s="250">
        <v>45824</v>
      </c>
      <c r="C36" s="221">
        <f>YEAR(Grid_BD[[#This Row],[Date]])+IF(MONTH(Grid_BD[[#This Row],[Date]])&gt;=4,1,0)</f>
        <v>2026</v>
      </c>
      <c r="D36" s="260">
        <f>YEAR(Grid_BD[[#This Row],[Date]])</f>
        <v>2025</v>
      </c>
      <c r="E36" s="251" t="s">
        <v>155</v>
      </c>
      <c r="F36" s="251" t="s">
        <v>155</v>
      </c>
      <c r="G36" s="252">
        <f>Grid_BD[[#This Row],[Date]]-DAY(Grid_BD[[#This Row],[Date]])+1</f>
        <v>45809</v>
      </c>
      <c r="H36" s="261">
        <f>DAY(EOMONTH(Grid_BD[[#This Row],[Month Year]],0))</f>
        <v>30</v>
      </c>
      <c r="I36" s="262">
        <f>_xlfn.XLOOKUP(Grid_BD[[#This Row],[Date]],'Raw Data'!$G:$G,'Raw Data'!$I:$I)</f>
        <v>0.25763888888888886</v>
      </c>
      <c r="J36" s="262">
        <f>_xlfn.XLOOKUP(Grid_BD[[#This Row],[Date]],'Raw Data'!$G:$G,'Raw Data'!$J:$J)</f>
        <v>0.75416666666666665</v>
      </c>
      <c r="K36" s="255">
        <f>IFERROR((Grid_BD[[#This Row],[Sunset Time (POA&lt;20 W/m2)]]-Grid_BD[[#This Row],[Sunrise Time (POA&gt;20 W/m2)]])*24,"")</f>
        <v>11.916666666666668</v>
      </c>
      <c r="L36" s="212" t="s">
        <v>323</v>
      </c>
      <c r="M36" s="256">
        <f>_xlfn.XLOOKUP(Grid_BD[[#This Row],[Affected Equipment ]],'Basic Data'!$A:$A,'Basic Data'!$B:$B)</f>
        <v>11710.44</v>
      </c>
      <c r="N36" s="263">
        <f>_xlfn.XLOOKUP(Grid_BD[[#This Row],[Affected Equipment ]],'Basic Data'!$A:$A,'Basic Data'!$C:$C)</f>
        <v>1</v>
      </c>
      <c r="O36" s="212" t="s">
        <v>324</v>
      </c>
      <c r="P36" s="212" t="s">
        <v>268</v>
      </c>
      <c r="R36" s="258" t="s">
        <v>502</v>
      </c>
      <c r="S36" s="254">
        <v>0.50694444444444442</v>
      </c>
      <c r="T36" s="254">
        <v>0.50694444444444442</v>
      </c>
      <c r="U36" s="254">
        <v>0.52083333333333337</v>
      </c>
      <c r="V36" s="254">
        <v>0.56388888888888888</v>
      </c>
      <c r="W36" s="254">
        <f>(Grid_BD[[#This Row],[Acknowledgement Time ]]-Grid_BD[[#This Row],[Fault Time]])*24</f>
        <v>0</v>
      </c>
      <c r="X36" s="212">
        <f>(Grid_BD[[#This Row],[Work Start time on Fault]]-Grid_BD[[#This Row],[Fault Time]])*24</f>
        <v>0.33333333333333481</v>
      </c>
      <c r="Y36" s="255">
        <f>(Grid_BD[[#This Row],[Work Completion time on fault]]-Grid_BD[[#This Row],[Fault Time]])*24</f>
        <v>1.3666666666666671</v>
      </c>
      <c r="Z36" s="256">
        <f>(Grid_BD[[#This Row],[Work Completion time on fault]]-Grid_BD[[#This Row],[Fault Time]])*24</f>
        <v>1.3666666666666671</v>
      </c>
      <c r="AA36" s="212" t="s">
        <v>326</v>
      </c>
      <c r="AB36" s="212" t="s">
        <v>240</v>
      </c>
      <c r="AC36" s="256">
        <f>IFERROR(Grid_BD[[#This Row],[Plant Equivalent Weightage]]*Grid_BD[[#This Row],[Resolution Time]],"")</f>
        <v>1.3666666666666671</v>
      </c>
      <c r="AD36" s="212">
        <v>618</v>
      </c>
      <c r="AE36" s="255">
        <f>Grid_BD[[#This Row],[Lost PoA(kWh/m2)]]*Grid_BD[[#This Row],[DC Capacity Affected (kW)]]*_xlfn.XLOOKUP(Grid_BD[[#This Row],[Month Year]],'Modelling New'!$D:$D,'Modelling New'!$O:$O)/1000</f>
        <v>5212.0795614931058</v>
      </c>
    </row>
    <row r="37" spans="1:31">
      <c r="A37" s="212">
        <f t="shared" si="0"/>
        <v>36</v>
      </c>
      <c r="B37" s="250">
        <v>45826</v>
      </c>
      <c r="C37" s="221">
        <f>YEAR(Grid_BD[[#This Row],[Date]])+IF(MONTH(Grid_BD[[#This Row],[Date]])&gt;=4,1,0)</f>
        <v>2026</v>
      </c>
      <c r="D37" s="260">
        <f>YEAR(Grid_BD[[#This Row],[Date]])</f>
        <v>2025</v>
      </c>
      <c r="E37" s="251" t="s">
        <v>155</v>
      </c>
      <c r="F37" s="251" t="s">
        <v>155</v>
      </c>
      <c r="G37" s="252">
        <f>Grid_BD[[#This Row],[Date]]-DAY(Grid_BD[[#This Row],[Date]])+1</f>
        <v>45809</v>
      </c>
      <c r="H37" s="261">
        <f>DAY(EOMONTH(Grid_BD[[#This Row],[Month Year]],0))</f>
        <v>30</v>
      </c>
      <c r="I37" s="262">
        <f>_xlfn.XLOOKUP(Grid_BD[[#This Row],[Date]],'Raw Data'!$G:$G,'Raw Data'!$I:$I)</f>
        <v>0.24444444444444444</v>
      </c>
      <c r="J37" s="262">
        <f>_xlfn.XLOOKUP(Grid_BD[[#This Row],[Date]],'Raw Data'!$G:$G,'Raw Data'!$J:$J)</f>
        <v>0.77430555555555558</v>
      </c>
      <c r="K37" s="255">
        <f>IFERROR((Grid_BD[[#This Row],[Sunset Time (POA&lt;20 W/m2)]]-Grid_BD[[#This Row],[Sunrise Time (POA&gt;20 W/m2)]])*24,"")</f>
        <v>12.716666666666667</v>
      </c>
      <c r="L37" s="212" t="s">
        <v>323</v>
      </c>
      <c r="M37" s="256">
        <f>_xlfn.XLOOKUP(Grid_BD[[#This Row],[Affected Equipment ]],'Basic Data'!$A:$A,'Basic Data'!$B:$B)</f>
        <v>11710.44</v>
      </c>
      <c r="N37" s="263">
        <f>_xlfn.XLOOKUP(Grid_BD[[#This Row],[Affected Equipment ]],'Basic Data'!$A:$A,'Basic Data'!$C:$C)</f>
        <v>1</v>
      </c>
      <c r="O37" s="212" t="s">
        <v>324</v>
      </c>
      <c r="P37" s="212" t="s">
        <v>268</v>
      </c>
      <c r="R37" s="258" t="s">
        <v>503</v>
      </c>
      <c r="S37" s="254">
        <v>0.40069444444444446</v>
      </c>
      <c r="T37" s="254">
        <v>0.40069444444444446</v>
      </c>
      <c r="U37" s="254">
        <v>0.40277777777777779</v>
      </c>
      <c r="V37" s="254">
        <v>0.41319444444444442</v>
      </c>
      <c r="W37" s="254">
        <f>(Grid_BD[[#This Row],[Acknowledgement Time ]]-Grid_BD[[#This Row],[Fault Time]])*24</f>
        <v>0</v>
      </c>
      <c r="X37" s="212">
        <f>(Grid_BD[[#This Row],[Work Start time on Fault]]-Grid_BD[[#This Row],[Fault Time]])*24</f>
        <v>4.9999999999999822E-2</v>
      </c>
      <c r="Y37" s="255">
        <f>(Grid_BD[[#This Row],[Work Completion time on fault]]-Grid_BD[[#This Row],[Fault Time]])*24</f>
        <v>0.29999999999999893</v>
      </c>
      <c r="Z37" s="256">
        <f>(Grid_BD[[#This Row],[Work Completion time on fault]]-Grid_BD[[#This Row],[Fault Time]])*24</f>
        <v>0.29999999999999893</v>
      </c>
      <c r="AA37" s="212" t="s">
        <v>326</v>
      </c>
      <c r="AB37" s="212" t="s">
        <v>240</v>
      </c>
      <c r="AC37" s="256">
        <f>IFERROR(Grid_BD[[#This Row],[Plant Equivalent Weightage]]*Grid_BD[[#This Row],[Resolution Time]],"")</f>
        <v>0.29999999999999893</v>
      </c>
      <c r="AD37" s="212">
        <v>216</v>
      </c>
      <c r="AE37" s="255">
        <f>Grid_BD[[#This Row],[Lost PoA(kWh/m2)]]*Grid_BD[[#This Row],[DC Capacity Affected (kW)]]*_xlfn.XLOOKUP(Grid_BD[[#This Row],[Month Year]],'Modelling New'!$D:$D,'Modelling New'!$O:$O)/1000</f>
        <v>1821.6977108131243</v>
      </c>
    </row>
    <row r="38" spans="1:31">
      <c r="A38" s="212">
        <f t="shared" si="0"/>
        <v>37</v>
      </c>
      <c r="B38" s="250">
        <v>45826</v>
      </c>
      <c r="C38" s="221">
        <f>YEAR(Grid_BD[[#This Row],[Date]])+IF(MONTH(Grid_BD[[#This Row],[Date]])&gt;=4,1,0)</f>
        <v>2026</v>
      </c>
      <c r="D38" s="260">
        <f>YEAR(Grid_BD[[#This Row],[Date]])</f>
        <v>2025</v>
      </c>
      <c r="E38" s="251" t="s">
        <v>155</v>
      </c>
      <c r="F38" s="251" t="s">
        <v>155</v>
      </c>
      <c r="G38" s="252">
        <f>Grid_BD[[#This Row],[Date]]-DAY(Grid_BD[[#This Row],[Date]])+1</f>
        <v>45809</v>
      </c>
      <c r="H38" s="261">
        <f>DAY(EOMONTH(Grid_BD[[#This Row],[Month Year]],0))</f>
        <v>30</v>
      </c>
      <c r="I38" s="262">
        <f>_xlfn.XLOOKUP(Grid_BD[[#This Row],[Date]],'Raw Data'!$G:$G,'Raw Data'!$I:$I)</f>
        <v>0.24444444444444444</v>
      </c>
      <c r="J38" s="262">
        <f>_xlfn.XLOOKUP(Grid_BD[[#This Row],[Date]],'Raw Data'!$G:$G,'Raw Data'!$J:$J)</f>
        <v>0.77430555555555558</v>
      </c>
      <c r="K38" s="255">
        <f>IFERROR((Grid_BD[[#This Row],[Sunset Time (POA&lt;20 W/m2)]]-Grid_BD[[#This Row],[Sunrise Time (POA&gt;20 W/m2)]])*24,"")</f>
        <v>12.716666666666667</v>
      </c>
      <c r="L38" s="212" t="s">
        <v>323</v>
      </c>
      <c r="M38" s="256">
        <f>_xlfn.XLOOKUP(Grid_BD[[#This Row],[Affected Equipment ]],'Basic Data'!$A:$A,'Basic Data'!$B:$B)</f>
        <v>11710.44</v>
      </c>
      <c r="N38" s="263">
        <f>_xlfn.XLOOKUP(Grid_BD[[#This Row],[Affected Equipment ]],'Basic Data'!$A:$A,'Basic Data'!$C:$C)</f>
        <v>1</v>
      </c>
      <c r="O38" s="212" t="s">
        <v>324</v>
      </c>
      <c r="P38" s="212" t="s">
        <v>268</v>
      </c>
      <c r="R38" s="258" t="s">
        <v>503</v>
      </c>
      <c r="S38" s="254">
        <v>0.50208333333333333</v>
      </c>
      <c r="T38" s="254">
        <v>0.54166666666666663</v>
      </c>
      <c r="U38" s="254">
        <v>0.56944444444444442</v>
      </c>
      <c r="V38" s="254">
        <v>0.54166666666666663</v>
      </c>
      <c r="W38" s="254">
        <f>(Grid_BD[[#This Row],[Acknowledgement Time ]]-Grid_BD[[#This Row],[Fault Time]])*24</f>
        <v>0.94999999999999929</v>
      </c>
      <c r="X38" s="212">
        <f>(Grid_BD[[#This Row],[Work Start time on Fault]]-Grid_BD[[#This Row],[Fault Time]])*24</f>
        <v>1.6166666666666663</v>
      </c>
      <c r="Y38" s="255">
        <f>(Grid_BD[[#This Row],[Work Completion time on fault]]-Grid_BD[[#This Row],[Fault Time]])*24</f>
        <v>0.94999999999999929</v>
      </c>
      <c r="Z38" s="256">
        <f>(Grid_BD[[#This Row],[Work Completion time on fault]]-Grid_BD[[#This Row],[Fault Time]])*24</f>
        <v>0.94999999999999929</v>
      </c>
      <c r="AA38" s="212" t="s">
        <v>326</v>
      </c>
      <c r="AB38" s="212" t="s">
        <v>240</v>
      </c>
      <c r="AC38" s="256">
        <f>IFERROR(Grid_BD[[#This Row],[Plant Equivalent Weightage]]*Grid_BD[[#This Row],[Resolution Time]],"")</f>
        <v>0.94999999999999929</v>
      </c>
      <c r="AD38" s="212">
        <v>570</v>
      </c>
      <c r="AE38" s="255">
        <f>Grid_BD[[#This Row],[Lost PoA(kWh/m2)]]*Grid_BD[[#This Row],[DC Capacity Affected (kW)]]*_xlfn.XLOOKUP(Grid_BD[[#This Row],[Month Year]],'Modelling New'!$D:$D,'Modelling New'!$O:$O)/1000</f>
        <v>4807.2578479790791</v>
      </c>
    </row>
    <row r="39" spans="1:31">
      <c r="A39" s="212">
        <f t="shared" si="0"/>
        <v>38</v>
      </c>
      <c r="B39" s="250">
        <v>45826</v>
      </c>
      <c r="C39" s="221">
        <f>YEAR(Grid_BD[[#This Row],[Date]])+IF(MONTH(Grid_BD[[#This Row],[Date]])&gt;=4,1,0)</f>
        <v>2026</v>
      </c>
      <c r="D39" s="260">
        <f>YEAR(Grid_BD[[#This Row],[Date]])</f>
        <v>2025</v>
      </c>
      <c r="E39" s="251" t="s">
        <v>155</v>
      </c>
      <c r="F39" s="251" t="s">
        <v>155</v>
      </c>
      <c r="G39" s="252">
        <f>Grid_BD[[#This Row],[Date]]-DAY(Grid_BD[[#This Row],[Date]])+1</f>
        <v>45809</v>
      </c>
      <c r="H39" s="261">
        <f>DAY(EOMONTH(Grid_BD[[#This Row],[Month Year]],0))</f>
        <v>30</v>
      </c>
      <c r="I39" s="262">
        <f>_xlfn.XLOOKUP(Grid_BD[[#This Row],[Date]],'Raw Data'!$G:$G,'Raw Data'!$I:$I)</f>
        <v>0.24444444444444444</v>
      </c>
      <c r="J39" s="262">
        <f>_xlfn.XLOOKUP(Grid_BD[[#This Row],[Date]],'Raw Data'!$G:$G,'Raw Data'!$J:$J)</f>
        <v>0.77430555555555558</v>
      </c>
      <c r="K39" s="255">
        <f>IFERROR((Grid_BD[[#This Row],[Sunset Time (POA&lt;20 W/m2)]]-Grid_BD[[#This Row],[Sunrise Time (POA&gt;20 W/m2)]])*24,"")</f>
        <v>12.716666666666667</v>
      </c>
      <c r="L39" s="212" t="s">
        <v>323</v>
      </c>
      <c r="M39" s="256">
        <f>_xlfn.XLOOKUP(Grid_BD[[#This Row],[Affected Equipment ]],'Basic Data'!$A:$A,'Basic Data'!$B:$B)</f>
        <v>11710.44</v>
      </c>
      <c r="N39" s="263">
        <f>_xlfn.XLOOKUP(Grid_BD[[#This Row],[Affected Equipment ]],'Basic Data'!$A:$A,'Basic Data'!$C:$C)</f>
        <v>1</v>
      </c>
      <c r="O39" s="212" t="s">
        <v>324</v>
      </c>
      <c r="P39" s="212" t="s">
        <v>268</v>
      </c>
      <c r="R39" s="258" t="s">
        <v>503</v>
      </c>
      <c r="S39" s="254">
        <v>0.66666666666666663</v>
      </c>
      <c r="T39" s="254">
        <v>0.66666666666666663</v>
      </c>
      <c r="U39" s="254">
        <v>0.6875</v>
      </c>
      <c r="V39" s="254">
        <v>0.73124999999999996</v>
      </c>
      <c r="W39" s="254">
        <f>(Grid_BD[[#This Row],[Acknowledgement Time ]]-Grid_BD[[#This Row],[Fault Time]])*24</f>
        <v>0</v>
      </c>
      <c r="X39" s="212">
        <f>(Grid_BD[[#This Row],[Work Start time on Fault]]-Grid_BD[[#This Row],[Fault Time]])*24</f>
        <v>0.50000000000000089</v>
      </c>
      <c r="Y39" s="255">
        <f>(Grid_BD[[#This Row],[Work Completion time on fault]]-Grid_BD[[#This Row],[Fault Time]])*24</f>
        <v>1.5499999999999998</v>
      </c>
      <c r="Z39" s="256">
        <f>(Grid_BD[[#This Row],[Work Completion time on fault]]-Grid_BD[[#This Row],[Fault Time]])*24</f>
        <v>1.5499999999999998</v>
      </c>
      <c r="AA39" s="212" t="s">
        <v>326</v>
      </c>
      <c r="AB39" s="212" t="s">
        <v>240</v>
      </c>
      <c r="AC39" s="256">
        <f>IFERROR(Grid_BD[[#This Row],[Plant Equivalent Weightage]]*Grid_BD[[#This Row],[Resolution Time]],"")</f>
        <v>1.5499999999999998</v>
      </c>
      <c r="AD39" s="212">
        <v>337</v>
      </c>
      <c r="AE39" s="255">
        <f>Grid_BD[[#This Row],[Lost PoA(kWh/m2)]]*Grid_BD[[#This Row],[DC Capacity Affected (kW)]]*_xlfn.XLOOKUP(Grid_BD[[#This Row],[Month Year]],'Modelling New'!$D:$D,'Modelling New'!$O:$O)/1000</f>
        <v>2842.1857802964023</v>
      </c>
    </row>
    <row r="40" spans="1:31">
      <c r="A40" s="212">
        <f t="shared" si="0"/>
        <v>39</v>
      </c>
      <c r="B40" s="250">
        <v>45827</v>
      </c>
      <c r="C40" s="221">
        <f>YEAR(Grid_BD[[#This Row],[Date]])+IF(MONTH(Grid_BD[[#This Row],[Date]])&gt;=4,1,0)</f>
        <v>2026</v>
      </c>
      <c r="D40" s="260">
        <f>YEAR(Grid_BD[[#This Row],[Date]])</f>
        <v>2025</v>
      </c>
      <c r="E40" s="251" t="s">
        <v>155</v>
      </c>
      <c r="F40" s="251" t="s">
        <v>155</v>
      </c>
      <c r="G40" s="252">
        <f>Grid_BD[[#This Row],[Date]]-DAY(Grid_BD[[#This Row],[Date]])+1</f>
        <v>45809</v>
      </c>
      <c r="H40" s="261">
        <f>DAY(EOMONTH(Grid_BD[[#This Row],[Month Year]],0))</f>
        <v>30</v>
      </c>
      <c r="I40" s="262">
        <f>_xlfn.XLOOKUP(Grid_BD[[#This Row],[Date]],'Raw Data'!$G:$G,'Raw Data'!$I:$I)</f>
        <v>0.24861111111111112</v>
      </c>
      <c r="J40" s="262">
        <f>_xlfn.XLOOKUP(Grid_BD[[#This Row],[Date]],'Raw Data'!$G:$G,'Raw Data'!$J:$J)</f>
        <v>0.77083333333333337</v>
      </c>
      <c r="K40" s="255">
        <f>IFERROR((Grid_BD[[#This Row],[Sunset Time (POA&lt;20 W/m2)]]-Grid_BD[[#This Row],[Sunrise Time (POA&gt;20 W/m2)]])*24,"")</f>
        <v>12.533333333333335</v>
      </c>
      <c r="L40" s="212" t="s">
        <v>323</v>
      </c>
      <c r="M40" s="256">
        <f>_xlfn.XLOOKUP(Grid_BD[[#This Row],[Affected Equipment ]],'Basic Data'!$A:$A,'Basic Data'!$B:$B)</f>
        <v>11710.44</v>
      </c>
      <c r="N40" s="263">
        <f>_xlfn.XLOOKUP(Grid_BD[[#This Row],[Affected Equipment ]],'Basic Data'!$A:$A,'Basic Data'!$C:$C)</f>
        <v>1</v>
      </c>
      <c r="O40" s="212" t="s">
        <v>324</v>
      </c>
      <c r="P40" s="212" t="s">
        <v>268</v>
      </c>
      <c r="R40" s="258" t="s">
        <v>504</v>
      </c>
      <c r="S40" s="254">
        <v>0.34027777777777779</v>
      </c>
      <c r="T40" s="254">
        <v>0.34097222222222223</v>
      </c>
      <c r="U40" s="254">
        <v>0.375</v>
      </c>
      <c r="V40" s="254">
        <v>0.77083333333333337</v>
      </c>
      <c r="W40" s="254">
        <f>(Grid_BD[[#This Row],[Acknowledgement Time ]]-Grid_BD[[#This Row],[Fault Time]])*24</f>
        <v>1.6666666666666607E-2</v>
      </c>
      <c r="X40" s="212">
        <f>(Grid_BD[[#This Row],[Work Start time on Fault]]-Grid_BD[[#This Row],[Fault Time]])*24</f>
        <v>0.83333333333333304</v>
      </c>
      <c r="Y40" s="255">
        <f>(Grid_BD[[#This Row],[Work Completion time on fault]]-Grid_BD[[#This Row],[Fault Time]])*24</f>
        <v>10.333333333333334</v>
      </c>
      <c r="Z40" s="256">
        <f>(Grid_BD[[#This Row],[Work Completion time on fault]]-Grid_BD[[#This Row],[Fault Time]])*24</f>
        <v>10.333333333333334</v>
      </c>
      <c r="AA40" s="212" t="s">
        <v>326</v>
      </c>
      <c r="AB40" s="212" t="s">
        <v>240</v>
      </c>
      <c r="AC40" s="256">
        <f>IFERROR(Grid_BD[[#This Row],[Plant Equivalent Weightage]]*Grid_BD[[#This Row],[Resolution Time]],"")</f>
        <v>10.333333333333334</v>
      </c>
      <c r="AD40" s="212">
        <v>5160</v>
      </c>
      <c r="AE40" s="255">
        <f>Grid_BD[[#This Row],[Lost PoA(kWh/m2)]]*Grid_BD[[#This Row],[DC Capacity Affected (kW)]]*_xlfn.XLOOKUP(Grid_BD[[#This Row],[Month Year]],'Modelling New'!$D:$D,'Modelling New'!$O:$O)/1000</f>
        <v>43518.334202757978</v>
      </c>
    </row>
    <row r="41" spans="1:31">
      <c r="A41" s="212">
        <f t="shared" si="0"/>
        <v>40</v>
      </c>
      <c r="B41" s="250">
        <v>45833</v>
      </c>
      <c r="C41" s="221">
        <f>YEAR(Grid_BD[[#This Row],[Date]])+IF(MONTH(Grid_BD[[#This Row],[Date]])&gt;=4,1,0)</f>
        <v>2026</v>
      </c>
      <c r="D41" s="260">
        <f>YEAR(Grid_BD[[#This Row],[Date]])</f>
        <v>2025</v>
      </c>
      <c r="E41" s="251" t="s">
        <v>155</v>
      </c>
      <c r="F41" s="251" t="s">
        <v>155</v>
      </c>
      <c r="G41" s="252">
        <f>Grid_BD[[#This Row],[Date]]-DAY(Grid_BD[[#This Row],[Date]])+1</f>
        <v>45809</v>
      </c>
      <c r="H41" s="261">
        <f>DAY(EOMONTH(Grid_BD[[#This Row],[Month Year]],0))</f>
        <v>30</v>
      </c>
      <c r="I41" s="262">
        <f>_xlfn.XLOOKUP(Grid_BD[[#This Row],[Date]],'Raw Data'!$G:$G,'Raw Data'!$I:$I)</f>
        <v>0.25416666666666665</v>
      </c>
      <c r="J41" s="262">
        <f>_xlfn.XLOOKUP(Grid_BD[[#This Row],[Date]],'Raw Data'!$G:$G,'Raw Data'!$J:$J)</f>
        <v>0.77777777777777779</v>
      </c>
      <c r="K41" s="255">
        <f>IFERROR((Grid_BD[[#This Row],[Sunset Time (POA&lt;20 W/m2)]]-Grid_BD[[#This Row],[Sunrise Time (POA&gt;20 W/m2)]])*24,"")</f>
        <v>12.566666666666666</v>
      </c>
      <c r="L41" s="212" t="s">
        <v>323</v>
      </c>
      <c r="M41" s="256">
        <f>_xlfn.XLOOKUP(Grid_BD[[#This Row],[Affected Equipment ]],'Basic Data'!$A:$A,'Basic Data'!$B:$B)</f>
        <v>11710.44</v>
      </c>
      <c r="N41" s="263">
        <f>_xlfn.XLOOKUP(Grid_BD[[#This Row],[Affected Equipment ]],'Basic Data'!$A:$A,'Basic Data'!$C:$C)</f>
        <v>1</v>
      </c>
      <c r="O41" s="212" t="s">
        <v>324</v>
      </c>
      <c r="P41" s="212" t="s">
        <v>268</v>
      </c>
      <c r="R41" s="258" t="s">
        <v>327</v>
      </c>
      <c r="S41" s="254">
        <v>0.4201388888888889</v>
      </c>
      <c r="T41" s="254">
        <v>0.4201388888888889</v>
      </c>
      <c r="U41" s="254">
        <v>0.4236111111111111</v>
      </c>
      <c r="V41" s="254">
        <v>0.42777777777777776</v>
      </c>
      <c r="W41" s="254">
        <f>(Grid_BD[[#This Row],[Acknowledgement Time ]]-Grid_BD[[#This Row],[Fault Time]])*24</f>
        <v>0</v>
      </c>
      <c r="X41" s="212">
        <f>(Grid_BD[[#This Row],[Work Start time on Fault]]-Grid_BD[[#This Row],[Fault Time]])*24</f>
        <v>8.3333333333333037E-2</v>
      </c>
      <c r="Y41" s="255">
        <f>(Grid_BD[[#This Row],[Work Completion time on fault]]-Grid_BD[[#This Row],[Fault Time]])*24</f>
        <v>0.18333333333333268</v>
      </c>
      <c r="Z41" s="256">
        <f>(Grid_BD[[#This Row],[Work Completion time on fault]]-Grid_BD[[#This Row],[Fault Time]])*24</f>
        <v>0.18333333333333268</v>
      </c>
      <c r="AA41" s="212" t="s">
        <v>326</v>
      </c>
      <c r="AB41" s="212" t="s">
        <v>240</v>
      </c>
      <c r="AC41" s="256">
        <f>IFERROR(Grid_BD[[#This Row],[Plant Equivalent Weightage]]*Grid_BD[[#This Row],[Resolution Time]],"")</f>
        <v>0.18333333333333268</v>
      </c>
      <c r="AD41" s="212">
        <v>124</v>
      </c>
      <c r="AE41" s="255">
        <f>Grid_BD[[#This Row],[Lost PoA(kWh/m2)]]*Grid_BD[[#This Row],[DC Capacity Affected (kW)]]*_xlfn.XLOOKUP(Grid_BD[[#This Row],[Month Year]],'Modelling New'!$D:$D,'Modelling New'!$O:$O)/1000</f>
        <v>1045.7894265779048</v>
      </c>
    </row>
    <row r="42" spans="1:31">
      <c r="A42" s="212">
        <f t="shared" si="0"/>
        <v>41</v>
      </c>
      <c r="B42" s="250">
        <v>45839</v>
      </c>
      <c r="C42" s="221">
        <f>YEAR(Grid_BD[[#This Row],[Date]])+IF(MONTH(Grid_BD[[#This Row],[Date]])&gt;=4,1,0)</f>
        <v>2026</v>
      </c>
      <c r="D42" s="260">
        <f>YEAR(Grid_BD[[#This Row],[Date]])</f>
        <v>2025</v>
      </c>
      <c r="E42" s="251" t="s">
        <v>155</v>
      </c>
      <c r="F42" s="251" t="s">
        <v>155</v>
      </c>
      <c r="G42" s="252">
        <f>Grid_BD[[#This Row],[Date]]-DAY(Grid_BD[[#This Row],[Date]])+1</f>
        <v>45839</v>
      </c>
      <c r="H42" s="261">
        <f>DAY(EOMONTH(Grid_BD[[#This Row],[Month Year]],0))</f>
        <v>31</v>
      </c>
      <c r="I42" s="262">
        <f>_xlfn.XLOOKUP(Grid_BD[[#This Row],[Date]],'Raw Data'!$G:$G,'Raw Data'!$I:$I)</f>
        <v>0.25833333333333336</v>
      </c>
      <c r="J42" s="262">
        <f>_xlfn.XLOOKUP(Grid_BD[[#This Row],[Date]],'Raw Data'!$G:$G,'Raw Data'!$J:$J)</f>
        <v>0.77083333333333337</v>
      </c>
      <c r="K42" s="255">
        <f>IFERROR((Grid_BD[[#This Row],[Sunset Time (POA&lt;20 W/m2)]]-Grid_BD[[#This Row],[Sunrise Time (POA&gt;20 W/m2)]])*24,"")</f>
        <v>12.299999999999999</v>
      </c>
      <c r="L42" s="212" t="s">
        <v>323</v>
      </c>
      <c r="M42" s="256">
        <f>_xlfn.XLOOKUP(Grid_BD[[#This Row],[Affected Equipment ]],'Basic Data'!$A:$A,'Basic Data'!$B:$B)</f>
        <v>11710.44</v>
      </c>
      <c r="N42" s="263">
        <f>_xlfn.XLOOKUP(Grid_BD[[#This Row],[Affected Equipment ]],'Basic Data'!$A:$A,'Basic Data'!$C:$C)</f>
        <v>1</v>
      </c>
      <c r="O42" s="212" t="s">
        <v>324</v>
      </c>
      <c r="P42" s="212" t="s">
        <v>268</v>
      </c>
      <c r="R42" s="258" t="s">
        <v>481</v>
      </c>
      <c r="S42" s="254">
        <v>0.59791666666666665</v>
      </c>
      <c r="T42" s="254">
        <v>0.59791666666666665</v>
      </c>
      <c r="U42" s="254">
        <v>0.60763888888888884</v>
      </c>
      <c r="V42" s="254">
        <v>0.63541666666666663</v>
      </c>
      <c r="W42" s="254">
        <f>(Grid_BD[[#This Row],[Acknowledgement Time ]]-Grid_BD[[#This Row],[Fault Time]])*24</f>
        <v>0</v>
      </c>
      <c r="X42" s="212">
        <f>(Grid_BD[[#This Row],[Work Start time on Fault]]-Grid_BD[[#This Row],[Fault Time]])*24</f>
        <v>0.2333333333333325</v>
      </c>
      <c r="Y42" s="255">
        <f>(Grid_BD[[#This Row],[Work Completion time on fault]]-Grid_BD[[#This Row],[Fault Time]])*24</f>
        <v>0.89999999999999947</v>
      </c>
      <c r="Z42" s="256">
        <f>(Grid_BD[[#This Row],[Work Completion time on fault]]-Grid_BD[[#This Row],[Fault Time]])*24</f>
        <v>0.89999999999999947</v>
      </c>
      <c r="AA42" s="212" t="s">
        <v>326</v>
      </c>
      <c r="AB42" s="212" t="s">
        <v>240</v>
      </c>
      <c r="AC42" s="256">
        <f>IFERROR(Grid_BD[[#This Row],[Plant Equivalent Weightage]]*Grid_BD[[#This Row],[Resolution Time]],"")</f>
        <v>0.89999999999999947</v>
      </c>
      <c r="AD42" s="212">
        <v>506</v>
      </c>
      <c r="AE42" s="255">
        <f>Grid_BD[[#This Row],[Lost PoA(kWh/m2)]]*Grid_BD[[#This Row],[DC Capacity Affected (kW)]]*_xlfn.XLOOKUP(Grid_BD[[#This Row],[Month Year]],'Modelling New'!$D:$D,'Modelling New'!$O:$O)/1000</f>
        <v>4447.598889177626</v>
      </c>
    </row>
    <row r="43" spans="1:31">
      <c r="A43" s="212">
        <f t="shared" si="0"/>
        <v>42</v>
      </c>
      <c r="B43" s="250">
        <v>45853</v>
      </c>
      <c r="C43" s="221">
        <f>YEAR(Grid_BD[[#This Row],[Date]])+IF(MONTH(Grid_BD[[#This Row],[Date]])&gt;=4,1,0)</f>
        <v>2026</v>
      </c>
      <c r="D43" s="260">
        <f>YEAR(Grid_BD[[#This Row],[Date]])</f>
        <v>2025</v>
      </c>
      <c r="E43" s="251" t="s">
        <v>155</v>
      </c>
      <c r="F43" s="251" t="s">
        <v>155</v>
      </c>
      <c r="G43" s="252">
        <f>Grid_BD[[#This Row],[Date]]-DAY(Grid_BD[[#This Row],[Date]])+1</f>
        <v>45839</v>
      </c>
      <c r="H43" s="261">
        <f>DAY(EOMONTH(Grid_BD[[#This Row],[Month Year]],0))</f>
        <v>31</v>
      </c>
      <c r="I43" s="262">
        <f>_xlfn.XLOOKUP(Grid_BD[[#This Row],[Date]],'Raw Data'!$G:$G,'Raw Data'!$I:$I)</f>
        <v>0.25763888888888886</v>
      </c>
      <c r="J43" s="262">
        <f>_xlfn.XLOOKUP(Grid_BD[[#This Row],[Date]],'Raw Data'!$G:$G,'Raw Data'!$J:$J)</f>
        <v>0.78680555555555554</v>
      </c>
      <c r="K43" s="255">
        <f>IFERROR((Grid_BD[[#This Row],[Sunset Time (POA&lt;20 W/m2)]]-Grid_BD[[#This Row],[Sunrise Time (POA&gt;20 W/m2)]])*24,"")</f>
        <v>12.7</v>
      </c>
      <c r="L43" s="212" t="s">
        <v>323</v>
      </c>
      <c r="M43" s="256">
        <f>_xlfn.XLOOKUP(Grid_BD[[#This Row],[Affected Equipment ]],'Basic Data'!$A:$A,'Basic Data'!$B:$B)</f>
        <v>11710.44</v>
      </c>
      <c r="N43" s="263">
        <f>_xlfn.XLOOKUP(Grid_BD[[#This Row],[Affected Equipment ]],'Basic Data'!$A:$A,'Basic Data'!$C:$C)</f>
        <v>1</v>
      </c>
      <c r="O43" s="212" t="s">
        <v>324</v>
      </c>
      <c r="P43" s="212" t="s">
        <v>268</v>
      </c>
      <c r="R43" s="258" t="s">
        <v>514</v>
      </c>
      <c r="S43" s="254">
        <v>0.71805555555555556</v>
      </c>
      <c r="T43" s="254">
        <v>0.71944444444444444</v>
      </c>
      <c r="U43" s="254">
        <v>0.72916666666666663</v>
      </c>
      <c r="V43" s="254">
        <v>0.75</v>
      </c>
      <c r="W43" s="254">
        <f>(Grid_BD[[#This Row],[Acknowledgement Time ]]-Grid_BD[[#This Row],[Fault Time]])*24</f>
        <v>3.3333333333333215E-2</v>
      </c>
      <c r="X43" s="212">
        <f>(Grid_BD[[#This Row],[Work Start time on Fault]]-Grid_BD[[#This Row],[Fault Time]])*24</f>
        <v>0.26666666666666572</v>
      </c>
      <c r="Y43" s="255">
        <f>(Grid_BD[[#This Row],[Work Completion time on fault]]-Grid_BD[[#This Row],[Fault Time]])*24</f>
        <v>0.76666666666666661</v>
      </c>
      <c r="Z43" s="256">
        <f>(Grid_BD[[#This Row],[Work Completion time on fault]]-Grid_BD[[#This Row],[Fault Time]])*24</f>
        <v>0.76666666666666661</v>
      </c>
      <c r="AA43" s="212" t="s">
        <v>326</v>
      </c>
      <c r="AB43" s="212" t="s">
        <v>240</v>
      </c>
      <c r="AC43" s="256">
        <f>IFERROR(Grid_BD[[#This Row],[Plant Equivalent Weightage]]*Grid_BD[[#This Row],[Resolution Time]],"")</f>
        <v>0.76666666666666661</v>
      </c>
      <c r="AD43" s="212">
        <v>114</v>
      </c>
      <c r="AE43" s="255">
        <f>Grid_BD[[#This Row],[Lost PoA(kWh/m2)]]*Grid_BD[[#This Row],[DC Capacity Affected (kW)]]*_xlfn.XLOOKUP(Grid_BD[[#This Row],[Month Year]],'Modelling New'!$D:$D,'Modelling New'!$O:$O)/1000</f>
        <v>1002.0282082336944</v>
      </c>
    </row>
    <row r="44" spans="1:31">
      <c r="A44" s="212">
        <f t="shared" si="0"/>
        <v>43</v>
      </c>
      <c r="B44" s="250">
        <v>45857</v>
      </c>
      <c r="C44" s="221">
        <f>YEAR(Grid_BD[[#This Row],[Date]])+IF(MONTH(Grid_BD[[#This Row],[Date]])&gt;=4,1,0)</f>
        <v>2026</v>
      </c>
      <c r="D44" s="260">
        <f>YEAR(Grid_BD[[#This Row],[Date]])</f>
        <v>2025</v>
      </c>
      <c r="E44" s="251" t="s">
        <v>155</v>
      </c>
      <c r="F44" s="251" t="s">
        <v>155</v>
      </c>
      <c r="G44" s="252">
        <f>Grid_BD[[#This Row],[Date]]-DAY(Grid_BD[[#This Row],[Date]])+1</f>
        <v>45839</v>
      </c>
      <c r="H44" s="261">
        <f>DAY(EOMONTH(Grid_BD[[#This Row],[Month Year]],0))</f>
        <v>31</v>
      </c>
      <c r="I44" s="262">
        <f>_xlfn.XLOOKUP(Grid_BD[[#This Row],[Date]],'Raw Data'!$G:$G,'Raw Data'!$I:$I)</f>
        <v>0.25694444444444442</v>
      </c>
      <c r="J44" s="262">
        <f>_xlfn.XLOOKUP(Grid_BD[[#This Row],[Date]],'Raw Data'!$G:$G,'Raw Data'!$J:$J)</f>
        <v>0.77777777777777779</v>
      </c>
      <c r="K44" s="255">
        <f>IFERROR((Grid_BD[[#This Row],[Sunset Time (POA&lt;20 W/m2)]]-Grid_BD[[#This Row],[Sunrise Time (POA&gt;20 W/m2)]])*24,"")</f>
        <v>12.5</v>
      </c>
      <c r="L44" s="212" t="s">
        <v>323</v>
      </c>
      <c r="M44" s="256">
        <f>_xlfn.XLOOKUP(Grid_BD[[#This Row],[Affected Equipment ]],'Basic Data'!$A:$A,'Basic Data'!$B:$B)</f>
        <v>11710.44</v>
      </c>
      <c r="N44" s="263">
        <f>_xlfn.XLOOKUP(Grid_BD[[#This Row],[Affected Equipment ]],'Basic Data'!$A:$A,'Basic Data'!$C:$C)</f>
        <v>1</v>
      </c>
      <c r="O44" s="212" t="s">
        <v>324</v>
      </c>
      <c r="P44" s="212" t="s">
        <v>268</v>
      </c>
      <c r="R44" s="258" t="s">
        <v>515</v>
      </c>
      <c r="S44" s="254">
        <v>0.26597222222222222</v>
      </c>
      <c r="T44" s="254">
        <v>0.26597222222222222</v>
      </c>
      <c r="U44" s="254">
        <v>0.29166666666666669</v>
      </c>
      <c r="V44" s="254">
        <v>0.3347222222222222</v>
      </c>
      <c r="W44" s="254">
        <f>(Grid_BD[[#This Row],[Acknowledgement Time ]]-Grid_BD[[#This Row],[Fault Time]])*24</f>
        <v>0</v>
      </c>
      <c r="X44" s="212">
        <f>(Grid_BD[[#This Row],[Work Start time on Fault]]-Grid_BD[[#This Row],[Fault Time]])*24</f>
        <v>0.61666666666666714</v>
      </c>
      <c r="Y44" s="255">
        <f>(Grid_BD[[#This Row],[Work Completion time on fault]]-Grid_BD[[#This Row],[Fault Time]])*24</f>
        <v>1.6499999999999995</v>
      </c>
      <c r="Z44" s="256">
        <f>(Grid_BD[[#This Row],[Work Completion time on fault]]-Grid_BD[[#This Row],[Fault Time]])*24</f>
        <v>1.6499999999999995</v>
      </c>
      <c r="AA44" s="212" t="s">
        <v>326</v>
      </c>
      <c r="AB44" s="212" t="s">
        <v>240</v>
      </c>
      <c r="AC44" s="256">
        <f>IFERROR(Grid_BD[[#This Row],[Plant Equivalent Weightage]]*Grid_BD[[#This Row],[Resolution Time]],"")</f>
        <v>1.6499999999999995</v>
      </c>
      <c r="AD44" s="212">
        <v>516</v>
      </c>
      <c r="AE44" s="255">
        <f>Grid_BD[[#This Row],[Lost PoA(kWh/m2)]]*Grid_BD[[#This Row],[DC Capacity Affected (kW)]]*_xlfn.XLOOKUP(Grid_BD[[#This Row],[Month Year]],'Modelling New'!$D:$D,'Modelling New'!$O:$O)/1000</f>
        <v>4535.496100426195</v>
      </c>
    </row>
    <row r="45" spans="1:31">
      <c r="A45" s="212">
        <f t="shared" si="0"/>
        <v>44</v>
      </c>
      <c r="B45" s="250">
        <v>45858</v>
      </c>
      <c r="C45" s="221">
        <f>YEAR(Grid_BD[[#This Row],[Date]])+IF(MONTH(Grid_BD[[#This Row],[Date]])&gt;=4,1,0)</f>
        <v>2026</v>
      </c>
      <c r="D45" s="260">
        <f>YEAR(Grid_BD[[#This Row],[Date]])</f>
        <v>2025</v>
      </c>
      <c r="E45" s="251" t="s">
        <v>155</v>
      </c>
      <c r="F45" s="251" t="s">
        <v>155</v>
      </c>
      <c r="G45" s="252">
        <f>Grid_BD[[#This Row],[Date]]-DAY(Grid_BD[[#This Row],[Date]])+1</f>
        <v>45839</v>
      </c>
      <c r="H45" s="261">
        <f>DAY(EOMONTH(Grid_BD[[#This Row],[Month Year]],0))</f>
        <v>31</v>
      </c>
      <c r="I45" s="262">
        <f>_xlfn.XLOOKUP(Grid_BD[[#This Row],[Date]],'Raw Data'!$G:$G,'Raw Data'!$I:$I)</f>
        <v>0.25972222222222224</v>
      </c>
      <c r="J45" s="262">
        <f>_xlfn.XLOOKUP(Grid_BD[[#This Row],[Date]],'Raw Data'!$G:$G,'Raw Data'!$J:$J)</f>
        <v>0.77986111111111112</v>
      </c>
      <c r="K45" s="255">
        <f>IFERROR((Grid_BD[[#This Row],[Sunset Time (POA&lt;20 W/m2)]]-Grid_BD[[#This Row],[Sunrise Time (POA&gt;20 W/m2)]])*24,"")</f>
        <v>12.483333333333334</v>
      </c>
      <c r="L45" s="212" t="s">
        <v>323</v>
      </c>
      <c r="M45" s="256">
        <f>_xlfn.XLOOKUP(Grid_BD[[#This Row],[Affected Equipment ]],'Basic Data'!$A:$A,'Basic Data'!$B:$B)</f>
        <v>11710.44</v>
      </c>
      <c r="N45" s="263">
        <f>_xlfn.XLOOKUP(Grid_BD[[#This Row],[Affected Equipment ]],'Basic Data'!$A:$A,'Basic Data'!$C:$C)</f>
        <v>1</v>
      </c>
      <c r="O45" s="212" t="s">
        <v>324</v>
      </c>
      <c r="P45" s="212" t="s">
        <v>268</v>
      </c>
      <c r="R45" s="258" t="s">
        <v>325</v>
      </c>
      <c r="S45" s="254">
        <v>0.50555555555555554</v>
      </c>
      <c r="T45" s="254">
        <v>0.50555555555555554</v>
      </c>
      <c r="U45" s="254">
        <v>0.50763888888888886</v>
      </c>
      <c r="V45" s="254">
        <v>0.51249999999999996</v>
      </c>
      <c r="W45" s="254">
        <f>(Grid_BD[[#This Row],[Acknowledgement Time ]]-Grid_BD[[#This Row],[Fault Time]])*24</f>
        <v>0</v>
      </c>
      <c r="X45" s="212">
        <f>(Grid_BD[[#This Row],[Work Start time on Fault]]-Grid_BD[[#This Row],[Fault Time]])*24</f>
        <v>4.9999999999999822E-2</v>
      </c>
      <c r="Y45" s="255">
        <f>(Grid_BD[[#This Row],[Work Completion time on fault]]-Grid_BD[[#This Row],[Fault Time]])*24</f>
        <v>0.16666666666666607</v>
      </c>
      <c r="Z45" s="256">
        <f>(Grid_BD[[#This Row],[Work Completion time on fault]]-Grid_BD[[#This Row],[Fault Time]])*24</f>
        <v>0.16666666666666607</v>
      </c>
      <c r="AA45" s="212" t="s">
        <v>326</v>
      </c>
      <c r="AB45" s="212" t="s">
        <v>240</v>
      </c>
      <c r="AC45" s="256">
        <f>IFERROR(Grid_BD[[#This Row],[Plant Equivalent Weightage]]*Grid_BD[[#This Row],[Resolution Time]],"")</f>
        <v>0.16666666666666607</v>
      </c>
      <c r="AD45" s="212">
        <v>125</v>
      </c>
      <c r="AE45" s="255">
        <f>Grid_BD[[#This Row],[Lost PoA(kWh/m2)]]*Grid_BD[[#This Row],[DC Capacity Affected (kW)]]*_xlfn.XLOOKUP(Grid_BD[[#This Row],[Month Year]],'Modelling New'!$D:$D,'Modelling New'!$O:$O)/1000</f>
        <v>1098.7151406071209</v>
      </c>
    </row>
    <row r="46" spans="1:31">
      <c r="A46" s="212">
        <f t="shared" si="0"/>
        <v>45</v>
      </c>
      <c r="B46" s="250">
        <v>45868</v>
      </c>
      <c r="C46" s="221">
        <f>YEAR(Grid_BD[[#This Row],[Date]])+IF(MONTH(Grid_BD[[#This Row],[Date]])&gt;=4,1,0)</f>
        <v>2026</v>
      </c>
      <c r="D46" s="260">
        <f>YEAR(Grid_BD[[#This Row],[Date]])</f>
        <v>2025</v>
      </c>
      <c r="E46" s="251" t="s">
        <v>155</v>
      </c>
      <c r="F46" s="251" t="s">
        <v>155</v>
      </c>
      <c r="G46" s="252">
        <f>Grid_BD[[#This Row],[Date]]-DAY(Grid_BD[[#This Row],[Date]])+1</f>
        <v>45839</v>
      </c>
      <c r="H46" s="261">
        <f>DAY(EOMONTH(Grid_BD[[#This Row],[Month Year]],0))</f>
        <v>31</v>
      </c>
      <c r="I46" s="262">
        <f>_xlfn.XLOOKUP(Grid_BD[[#This Row],[Date]],'Raw Data'!$G:$G,'Raw Data'!$I:$I)</f>
        <v>0.25694444444444442</v>
      </c>
      <c r="J46" s="262">
        <f>_xlfn.XLOOKUP(Grid_BD[[#This Row],[Date]],'Raw Data'!$G:$G,'Raw Data'!$J:$J)</f>
        <v>0.76875000000000004</v>
      </c>
      <c r="K46" s="255">
        <f>IFERROR((Grid_BD[[#This Row],[Sunset Time (POA&lt;20 W/m2)]]-Grid_BD[[#This Row],[Sunrise Time (POA&gt;20 W/m2)]])*24,"")</f>
        <v>12.283333333333335</v>
      </c>
      <c r="L46" s="212" t="s">
        <v>323</v>
      </c>
      <c r="M46" s="256">
        <f>_xlfn.XLOOKUP(Grid_BD[[#This Row],[Affected Equipment ]],'Basic Data'!$A:$A,'Basic Data'!$B:$B)</f>
        <v>11710.44</v>
      </c>
      <c r="N46" s="263">
        <f>_xlfn.XLOOKUP(Grid_BD[[#This Row],[Affected Equipment ]],'Basic Data'!$A:$A,'Basic Data'!$C:$C)</f>
        <v>1</v>
      </c>
      <c r="O46" s="212" t="s">
        <v>324</v>
      </c>
      <c r="P46" s="212" t="s">
        <v>268</v>
      </c>
      <c r="R46" s="258" t="s">
        <v>481</v>
      </c>
      <c r="S46" s="254">
        <v>0.67291666666666672</v>
      </c>
      <c r="T46" s="254">
        <v>0.67291666666666672</v>
      </c>
      <c r="U46" s="254">
        <v>0.68402777777777779</v>
      </c>
      <c r="V46" s="254">
        <v>0.70833333333333337</v>
      </c>
      <c r="W46" s="254">
        <f>(Grid_BD[[#This Row],[Acknowledgement Time ]]-Grid_BD[[#This Row],[Fault Time]])*24</f>
        <v>0</v>
      </c>
      <c r="X46" s="212">
        <f>(Grid_BD[[#This Row],[Work Start time on Fault]]-Grid_BD[[#This Row],[Fault Time]])*24</f>
        <v>0.26666666666666572</v>
      </c>
      <c r="Y46" s="255">
        <f>(Grid_BD[[#This Row],[Work Completion time on fault]]-Grid_BD[[#This Row],[Fault Time]])*24</f>
        <v>0.84999999999999964</v>
      </c>
      <c r="Z46" s="256">
        <f>(Grid_BD[[#This Row],[Work Completion time on fault]]-Grid_BD[[#This Row],[Fault Time]])*24</f>
        <v>0.84999999999999964</v>
      </c>
      <c r="AA46" s="212" t="s">
        <v>326</v>
      </c>
      <c r="AB46" s="212" t="s">
        <v>240</v>
      </c>
      <c r="AC46" s="256">
        <f>IFERROR(Grid_BD[[#This Row],[Plant Equivalent Weightage]]*Grid_BD[[#This Row],[Resolution Time]],"")</f>
        <v>0.84999999999999964</v>
      </c>
      <c r="AD46" s="212">
        <v>85</v>
      </c>
      <c r="AE46" s="255">
        <f>Grid_BD[[#This Row],[Lost PoA(kWh/m2)]]*Grid_BD[[#This Row],[DC Capacity Affected (kW)]]*_xlfn.XLOOKUP(Grid_BD[[#This Row],[Month Year]],'Modelling New'!$D:$D,'Modelling New'!$O:$O)/1000</f>
        <v>747.12629561284234</v>
      </c>
    </row>
    <row r="47" spans="1:31">
      <c r="A47" s="212">
        <f t="shared" si="0"/>
        <v>46</v>
      </c>
      <c r="B47" s="250">
        <v>45868</v>
      </c>
      <c r="C47" s="221">
        <f>YEAR(Grid_BD[[#This Row],[Date]])+IF(MONTH(Grid_BD[[#This Row],[Date]])&gt;=4,1,0)</f>
        <v>2026</v>
      </c>
      <c r="D47" s="260">
        <f>YEAR(Grid_BD[[#This Row],[Date]])</f>
        <v>2025</v>
      </c>
      <c r="E47" s="253" t="s">
        <v>155</v>
      </c>
      <c r="F47" s="253" t="s">
        <v>155</v>
      </c>
      <c r="G47" s="264">
        <f>Grid_BD[[#This Row],[Date]]-DAY(Grid_BD[[#This Row],[Date]])+1</f>
        <v>45839</v>
      </c>
      <c r="H47" s="261">
        <f>DAY(EOMONTH(Grid_BD[[#This Row],[Month Year]],0))</f>
        <v>31</v>
      </c>
      <c r="I47" s="262">
        <f>_xlfn.XLOOKUP(Grid_BD[[#This Row],[Date]],'Raw Data'!$G:$G,'Raw Data'!$I:$I)</f>
        <v>0.25694444444444442</v>
      </c>
      <c r="J47" s="262">
        <f>_xlfn.XLOOKUP(Grid_BD[[#This Row],[Date]],'Raw Data'!$G:$G,'Raw Data'!$J:$J)</f>
        <v>0.76875000000000004</v>
      </c>
      <c r="K47" s="255">
        <f>IFERROR((Grid_BD[[#This Row],[Sunset Time (POA&lt;20 W/m2)]]-Grid_BD[[#This Row],[Sunrise Time (POA&gt;20 W/m2)]])*24,"")</f>
        <v>12.283333333333335</v>
      </c>
      <c r="L47" s="212" t="s">
        <v>323</v>
      </c>
      <c r="M47" s="256">
        <f>_xlfn.XLOOKUP(Grid_BD[[#This Row],[Affected Equipment ]],'Basic Data'!$A:$A,'Basic Data'!$B:$B)</f>
        <v>11710.44</v>
      </c>
      <c r="N47" s="265">
        <f>_xlfn.XLOOKUP(Grid_BD[[#This Row],[Affected Equipment ]],'Basic Data'!$A:$A,'Basic Data'!$C:$C)</f>
        <v>1</v>
      </c>
      <c r="O47" s="212" t="s">
        <v>324</v>
      </c>
      <c r="P47" s="212" t="s">
        <v>268</v>
      </c>
      <c r="R47" s="258" t="s">
        <v>481</v>
      </c>
      <c r="S47" s="254">
        <v>0.65277777777777779</v>
      </c>
      <c r="T47" s="254">
        <v>0.65416666666666667</v>
      </c>
      <c r="U47" s="254">
        <v>0.66319444444444442</v>
      </c>
      <c r="V47" s="254">
        <v>0.66527777777777775</v>
      </c>
      <c r="W47" s="254">
        <f>(Grid_BD[[#This Row],[Acknowledgement Time ]]-Grid_BD[[#This Row],[Fault Time]])*24</f>
        <v>3.3333333333333215E-2</v>
      </c>
      <c r="X47" s="212">
        <f>(Grid_BD[[#This Row],[Work Start time on Fault]]-Grid_BD[[#This Row],[Fault Time]])*24</f>
        <v>0.24999999999999911</v>
      </c>
      <c r="Y47" s="255">
        <f>(Grid_BD[[#This Row],[Work Completion time on fault]]-Grid_BD[[#This Row],[Fault Time]])*24</f>
        <v>0.29999999999999893</v>
      </c>
      <c r="Z47" s="256">
        <f>(Grid_BD[[#This Row],[Work Completion time on fault]]-Grid_BD[[#This Row],[Fault Time]])*24</f>
        <v>0.29999999999999893</v>
      </c>
      <c r="AA47" s="212" t="s">
        <v>326</v>
      </c>
      <c r="AB47" s="212" t="s">
        <v>240</v>
      </c>
      <c r="AC47" s="256">
        <f>IFERROR(Grid_BD[[#This Row],[Plant Equivalent Weightage]]*Grid_BD[[#This Row],[Resolution Time]],"")</f>
        <v>0.29999999999999893</v>
      </c>
      <c r="AD47" s="212">
        <v>138</v>
      </c>
      <c r="AE47" s="255">
        <f>Grid_BD[[#This Row],[Lost PoA(kWh/m2)]]*Grid_BD[[#This Row],[DC Capacity Affected (kW)]]*_xlfn.XLOOKUP(Grid_BD[[#This Row],[Month Year]],'Modelling New'!$D:$D,'Modelling New'!$O:$O)/1000</f>
        <v>1212.9815152302615</v>
      </c>
    </row>
    <row r="48" spans="1:31">
      <c r="A48" s="212">
        <f t="shared" si="0"/>
        <v>47</v>
      </c>
      <c r="B48" s="250">
        <v>45868</v>
      </c>
      <c r="C48" s="221">
        <f>YEAR(Grid_BD[[#This Row],[Date]])+IF(MONTH(Grid_BD[[#This Row],[Date]])&gt;=4,1,0)</f>
        <v>2026</v>
      </c>
      <c r="D48" s="260">
        <f>YEAR(Grid_BD[[#This Row],[Date]])</f>
        <v>2025</v>
      </c>
      <c r="E48" s="253" t="s">
        <v>155</v>
      </c>
      <c r="F48" s="253" t="s">
        <v>155</v>
      </c>
      <c r="G48" s="264">
        <f>Grid_BD[[#This Row],[Date]]-DAY(Grid_BD[[#This Row],[Date]])+1</f>
        <v>45839</v>
      </c>
      <c r="H48" s="261">
        <f>DAY(EOMONTH(Grid_BD[[#This Row],[Month Year]],0))</f>
        <v>31</v>
      </c>
      <c r="I48" s="262">
        <f>_xlfn.XLOOKUP(Grid_BD[[#This Row],[Date]],'Raw Data'!$G:$G,'Raw Data'!$I:$I)</f>
        <v>0.25694444444444442</v>
      </c>
      <c r="J48" s="262">
        <f>_xlfn.XLOOKUP(Grid_BD[[#This Row],[Date]],'Raw Data'!$G:$G,'Raw Data'!$J:$J)</f>
        <v>0.76875000000000004</v>
      </c>
      <c r="K48" s="255">
        <f>IFERROR((Grid_BD[[#This Row],[Sunset Time (POA&lt;20 W/m2)]]-Grid_BD[[#This Row],[Sunrise Time (POA&gt;20 W/m2)]])*24,"")</f>
        <v>12.283333333333335</v>
      </c>
      <c r="L48" s="212" t="s">
        <v>323</v>
      </c>
      <c r="M48" s="256">
        <f>_xlfn.XLOOKUP(Grid_BD[[#This Row],[Affected Equipment ]],'Basic Data'!$A:$A,'Basic Data'!$B:$B)</f>
        <v>11710.44</v>
      </c>
      <c r="N48" s="265">
        <f>_xlfn.XLOOKUP(Grid_BD[[#This Row],[Affected Equipment ]],'Basic Data'!$A:$A,'Basic Data'!$C:$C)</f>
        <v>1</v>
      </c>
      <c r="O48" s="212" t="s">
        <v>324</v>
      </c>
      <c r="P48" s="212" t="s">
        <v>268</v>
      </c>
      <c r="R48" s="258" t="s">
        <v>542</v>
      </c>
      <c r="S48" s="254">
        <v>0.70138888888888884</v>
      </c>
      <c r="T48" s="254">
        <v>0.70138888888888884</v>
      </c>
      <c r="U48" s="254">
        <v>0.70833333333333337</v>
      </c>
      <c r="V48" s="254">
        <v>0.74652777777777779</v>
      </c>
      <c r="W48" s="254">
        <f>(Grid_BD[[#This Row],[Acknowledgement Time ]]-Grid_BD[[#This Row],[Fault Time]])*24</f>
        <v>0</v>
      </c>
      <c r="X48" s="212">
        <f>(Grid_BD[[#This Row],[Work Start time on Fault]]-Grid_BD[[#This Row],[Fault Time]])*24</f>
        <v>0.16666666666666874</v>
      </c>
      <c r="Y48" s="255">
        <f>(Grid_BD[[#This Row],[Work Completion time on fault]]-Grid_BD[[#This Row],[Fault Time]])*24</f>
        <v>1.0833333333333348</v>
      </c>
      <c r="Z48" s="256">
        <f>(Grid_BD[[#This Row],[Work Completion time on fault]]-Grid_BD[[#This Row],[Fault Time]])*24</f>
        <v>1.0833333333333348</v>
      </c>
      <c r="AA48" s="212" t="s">
        <v>326</v>
      </c>
      <c r="AB48" s="212" t="s">
        <v>240</v>
      </c>
      <c r="AC48" s="256">
        <f>IFERROR(Grid_BD[[#This Row],[Plant Equivalent Weightage]]*Grid_BD[[#This Row],[Resolution Time]],"")</f>
        <v>1.0833333333333348</v>
      </c>
      <c r="AD48" s="212">
        <v>200</v>
      </c>
      <c r="AE48" s="255">
        <f>Grid_BD[[#This Row],[Lost PoA(kWh/m2)]]*Grid_BD[[#This Row],[DC Capacity Affected (kW)]]*_xlfn.XLOOKUP(Grid_BD[[#This Row],[Month Year]],'Modelling New'!$D:$D,'Modelling New'!$O:$O)/1000</f>
        <v>1757.9442249713936</v>
      </c>
    </row>
    <row r="49" spans="1:31">
      <c r="A49" s="212">
        <f t="shared" si="0"/>
        <v>48</v>
      </c>
      <c r="B49" s="250">
        <v>45871</v>
      </c>
      <c r="C49" s="221">
        <f>YEAR(Grid_BD[[#This Row],[Date]])+IF(MONTH(Grid_BD[[#This Row],[Date]])&gt;=4,1,0)</f>
        <v>2026</v>
      </c>
      <c r="D49" s="260">
        <f>YEAR(Grid_BD[[#This Row],[Date]])</f>
        <v>2025</v>
      </c>
      <c r="E49" s="253" t="s">
        <v>155</v>
      </c>
      <c r="F49" s="253" t="s">
        <v>155</v>
      </c>
      <c r="G49" s="266">
        <f>Grid_BD[[#This Row],[Date]]-DAY(Grid_BD[[#This Row],[Date]])+1</f>
        <v>45870</v>
      </c>
      <c r="H49" s="261">
        <f>DAY(EOMONTH(Grid_BD[[#This Row],[Month Year]],0))</f>
        <v>31</v>
      </c>
      <c r="I49" s="262">
        <f>_xlfn.XLOOKUP(Grid_BD[[#This Row],[Date]],'Raw Data'!$G:$G,'Raw Data'!$I:$I)</f>
        <v>0.25694444444444442</v>
      </c>
      <c r="J49" s="262">
        <f>_xlfn.XLOOKUP(Grid_BD[[#This Row],[Date]],'Raw Data'!$G:$G,'Raw Data'!$J:$J)</f>
        <v>0.77777777777777779</v>
      </c>
      <c r="K49" s="255">
        <f>IFERROR((Grid_BD[[#This Row],[Sunset Time (POA&lt;20 W/m2)]]-Grid_BD[[#This Row],[Sunrise Time (POA&gt;20 W/m2)]])*24,"")</f>
        <v>12.5</v>
      </c>
      <c r="L49" s="212" t="s">
        <v>323</v>
      </c>
      <c r="M49" s="256">
        <f>_xlfn.XLOOKUP(Grid_BD[[#This Row],[Affected Equipment ]],'Basic Data'!$A:$A,'Basic Data'!$B:$B)</f>
        <v>11710.44</v>
      </c>
      <c r="N49" s="265">
        <f>_xlfn.XLOOKUP(Grid_BD[[#This Row],[Affected Equipment ]],'Basic Data'!$A:$A,'Basic Data'!$C:$C)</f>
        <v>1</v>
      </c>
      <c r="O49" s="212" t="s">
        <v>324</v>
      </c>
      <c r="P49" s="212" t="s">
        <v>268</v>
      </c>
      <c r="R49" s="258" t="s">
        <v>481</v>
      </c>
      <c r="S49" s="254">
        <v>0.65277777777777779</v>
      </c>
      <c r="T49" s="254">
        <v>0.65416666666666667</v>
      </c>
      <c r="U49" s="254">
        <v>0.66319444444444442</v>
      </c>
      <c r="V49" s="254">
        <v>0.66527777777777775</v>
      </c>
      <c r="W49" s="254">
        <f>(Grid_BD[[#This Row],[Acknowledgement Time ]]-Grid_BD[[#This Row],[Fault Time]])*24</f>
        <v>3.3333333333333215E-2</v>
      </c>
      <c r="X49" s="212">
        <f>(Grid_BD[[#This Row],[Work Start time on Fault]]-Grid_BD[[#This Row],[Fault Time]])*24</f>
        <v>0.24999999999999911</v>
      </c>
      <c r="Y49" s="255">
        <f>(Grid_BD[[#This Row],[Work Completion time on fault]]-Grid_BD[[#This Row],[Fault Time]])*24</f>
        <v>0.29999999999999893</v>
      </c>
      <c r="Z49" s="256">
        <f>(Grid_BD[[#This Row],[Work Completion time on fault]]-Grid_BD[[#This Row],[Fault Time]])*24</f>
        <v>0.29999999999999893</v>
      </c>
      <c r="AA49" s="212" t="s">
        <v>326</v>
      </c>
      <c r="AB49" s="212" t="s">
        <v>240</v>
      </c>
      <c r="AC49" s="256">
        <f>IFERROR(Grid_BD[[#This Row],[Plant Equivalent Weightage]]*Grid_BD[[#This Row],[Resolution Time]],"")</f>
        <v>0.29999999999999893</v>
      </c>
      <c r="AD49" s="212">
        <v>138</v>
      </c>
      <c r="AE49" s="255">
        <f>Grid_BD[[#This Row],[Lost PoA(kWh/m2)]]*Grid_BD[[#This Row],[DC Capacity Affected (kW)]]*_xlfn.XLOOKUP(Grid_BD[[#This Row],[Month Year]],'Modelling New'!$D:$D,'Modelling New'!$O:$O)/1000</f>
        <v>1216.1338455603602</v>
      </c>
    </row>
    <row r="50" spans="1:31">
      <c r="A50" s="212">
        <f t="shared" si="0"/>
        <v>49</v>
      </c>
      <c r="B50" s="250">
        <v>45871</v>
      </c>
      <c r="C50" s="221">
        <f>YEAR(Grid_BD[[#This Row],[Date]])+IF(MONTH(Grid_BD[[#This Row],[Date]])&gt;=4,1,0)</f>
        <v>2026</v>
      </c>
      <c r="D50" s="260">
        <f>YEAR(Grid_BD[[#This Row],[Date]])</f>
        <v>2025</v>
      </c>
      <c r="E50" s="253" t="s">
        <v>155</v>
      </c>
      <c r="F50" s="253" t="s">
        <v>155</v>
      </c>
      <c r="G50" s="266">
        <f>Grid_BD[[#This Row],[Date]]-DAY(Grid_BD[[#This Row],[Date]])+1</f>
        <v>45870</v>
      </c>
      <c r="H50" s="261">
        <f>DAY(EOMONTH(Grid_BD[[#This Row],[Month Year]],0))</f>
        <v>31</v>
      </c>
      <c r="I50" s="262">
        <f>_xlfn.XLOOKUP(Grid_BD[[#This Row],[Date]],'Raw Data'!$G:$G,'Raw Data'!$I:$I)</f>
        <v>0.25694444444444442</v>
      </c>
      <c r="J50" s="262">
        <f>_xlfn.XLOOKUP(Grid_BD[[#This Row],[Date]],'Raw Data'!$G:$G,'Raw Data'!$J:$J)</f>
        <v>0.77777777777777779</v>
      </c>
      <c r="K50" s="255">
        <f>IFERROR((Grid_BD[[#This Row],[Sunset Time (POA&lt;20 W/m2)]]-Grid_BD[[#This Row],[Sunrise Time (POA&gt;20 W/m2)]])*24,"")</f>
        <v>12.5</v>
      </c>
      <c r="L50" s="212" t="s">
        <v>323</v>
      </c>
      <c r="M50" s="256">
        <f>_xlfn.XLOOKUP(Grid_BD[[#This Row],[Affected Equipment ]],'Basic Data'!$A:$A,'Basic Data'!$B:$B)</f>
        <v>11710.44</v>
      </c>
      <c r="N50" s="265">
        <f>_xlfn.XLOOKUP(Grid_BD[[#This Row],[Affected Equipment ]],'Basic Data'!$A:$A,'Basic Data'!$C:$C)</f>
        <v>1</v>
      </c>
      <c r="O50" s="212" t="s">
        <v>324</v>
      </c>
      <c r="P50" s="212" t="s">
        <v>268</v>
      </c>
      <c r="R50" s="258" t="s">
        <v>542</v>
      </c>
      <c r="S50" s="254">
        <v>0.70138888888888884</v>
      </c>
      <c r="T50" s="254">
        <v>0.70138888888888884</v>
      </c>
      <c r="U50" s="254">
        <v>0.70833333333333337</v>
      </c>
      <c r="V50" s="254">
        <v>0.74652777777777779</v>
      </c>
      <c r="W50" s="254">
        <f>(Grid_BD[[#This Row],[Acknowledgement Time ]]-Grid_BD[[#This Row],[Fault Time]])*24</f>
        <v>0</v>
      </c>
      <c r="X50" s="212">
        <f>(Grid_BD[[#This Row],[Work Start time on Fault]]-Grid_BD[[#This Row],[Fault Time]])*24</f>
        <v>0.16666666666666874</v>
      </c>
      <c r="Y50" s="255">
        <f>(Grid_BD[[#This Row],[Work Completion time on fault]]-Grid_BD[[#This Row],[Fault Time]])*24</f>
        <v>1.0833333333333348</v>
      </c>
      <c r="Z50" s="256">
        <f>(Grid_BD[[#This Row],[Work Completion time on fault]]-Grid_BD[[#This Row],[Fault Time]])*24</f>
        <v>1.0833333333333348</v>
      </c>
      <c r="AA50" s="212" t="s">
        <v>326</v>
      </c>
      <c r="AB50" s="212" t="s">
        <v>240</v>
      </c>
      <c r="AC50" s="256">
        <f>IFERROR(Grid_BD[[#This Row],[Plant Equivalent Weightage]]*Grid_BD[[#This Row],[Resolution Time]],"")</f>
        <v>1.0833333333333348</v>
      </c>
      <c r="AD50" s="212">
        <v>100</v>
      </c>
      <c r="AE50" s="255">
        <f>Grid_BD[[#This Row],[Lost PoA(kWh/m2)]]*Grid_BD[[#This Row],[DC Capacity Affected (kW)]]*_xlfn.XLOOKUP(Grid_BD[[#This Row],[Month Year]],'Modelling New'!$D:$D,'Modelling New'!$O:$O)/1000</f>
        <v>881.25640982634798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E46A911-2CFE-4845-B5A7-5A2F5694C349}">
          <x14:formula1>
            <xm:f>'Basic Data'!$A$2:$A$105</xm:f>
          </x14:formula1>
          <xm:sqref>L2:L1048576</xm:sqref>
        </x14:dataValidation>
        <x14:dataValidation type="list" allowBlank="1" showInputMessage="1" showErrorMessage="1" xr:uid="{77C1E7FC-BECB-4178-A030-EF63ACC6B2F2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71"/>
  <sheetViews>
    <sheetView workbookViewId="0">
      <pane xSplit="8" ySplit="3" topLeftCell="V1758" activePane="bottomRight" state="frozen"/>
      <selection pane="topRight" activeCell="I1" sqref="I1"/>
      <selection pane="bottomLeft" activeCell="A4" sqref="A4"/>
      <selection pane="bottomRight" activeCell="A1762" sqref="A1762"/>
    </sheetView>
  </sheetViews>
  <sheetFormatPr defaultColWidth="9" defaultRowHeight="14.5"/>
  <cols>
    <col min="2" max="2" width="9.453125" style="2" customWidth="1"/>
    <col min="3" max="5" width="8.7265625" style="2"/>
    <col min="6" max="6" width="10.81640625" style="2" customWidth="1"/>
    <col min="7" max="7" width="8.7265625" style="2"/>
    <col min="8" max="8" width="14.453125" style="2" customWidth="1"/>
    <col min="9" max="10" width="10.7265625" style="2" customWidth="1"/>
    <col min="11" max="11" width="13.453125" style="2" bestFit="1" customWidth="1"/>
    <col min="12" max="12" width="23.7265625" style="2" customWidth="1"/>
    <col min="13" max="13" width="8.7265625" style="2"/>
    <col min="14" max="14" width="9" customWidth="1"/>
    <col min="15" max="15" width="13" customWidth="1"/>
    <col min="20" max="20" width="13.453125" customWidth="1"/>
    <col min="21" max="21" width="28.1796875" customWidth="1"/>
    <col min="22" max="22" width="26.7265625" customWidth="1"/>
    <col min="24" max="24" width="10.26953125" customWidth="1"/>
    <col min="25" max="25" width="9.7265625" style="2" customWidth="1"/>
    <col min="26" max="26" width="10.7265625" style="2" customWidth="1"/>
    <col min="27" max="27" width="10.26953125" style="2" customWidth="1"/>
    <col min="28" max="28" width="9" style="2"/>
    <col min="29" max="29" width="13" style="2" customWidth="1"/>
    <col min="30" max="30" width="8.7265625" style="2" customWidth="1"/>
    <col min="31" max="31" width="61.54296875" customWidth="1"/>
    <col min="32" max="32" width="11.54296875" customWidth="1"/>
    <col min="33" max="33" width="13.26953125" customWidth="1"/>
    <col min="34" max="34" width="16.26953125" customWidth="1"/>
    <col min="35" max="35" width="11.7265625" customWidth="1"/>
    <col min="36" max="36" width="21.26953125" customWidth="1"/>
    <col min="37" max="37" width="20.7265625" customWidth="1"/>
  </cols>
  <sheetData>
    <row r="3" spans="1:37" ht="36">
      <c r="A3" s="28" t="s">
        <v>5</v>
      </c>
      <c r="B3" s="28" t="s">
        <v>82</v>
      </c>
      <c r="C3" s="28" t="s">
        <v>83</v>
      </c>
      <c r="D3" s="28" t="s">
        <v>269</v>
      </c>
      <c r="E3" s="28" t="s">
        <v>128</v>
      </c>
      <c r="F3" s="28" t="s">
        <v>84</v>
      </c>
      <c r="G3" s="28" t="s">
        <v>63</v>
      </c>
      <c r="H3" s="29" t="s">
        <v>34</v>
      </c>
      <c r="I3" s="31" t="s">
        <v>130</v>
      </c>
      <c r="J3" s="31" t="s">
        <v>131</v>
      </c>
      <c r="K3" s="28" t="s">
        <v>225</v>
      </c>
      <c r="L3" s="28" t="s">
        <v>270</v>
      </c>
      <c r="M3" s="28" t="s">
        <v>226</v>
      </c>
      <c r="N3" s="28" t="s">
        <v>271</v>
      </c>
      <c r="O3" s="28" t="s">
        <v>272</v>
      </c>
      <c r="P3" s="28" t="s">
        <v>273</v>
      </c>
      <c r="Q3" s="28" t="s">
        <v>274</v>
      </c>
      <c r="R3" s="28" t="s">
        <v>275</v>
      </c>
      <c r="S3" s="28" t="s">
        <v>276</v>
      </c>
      <c r="T3" s="28" t="s">
        <v>277</v>
      </c>
      <c r="U3" s="28" t="s">
        <v>227</v>
      </c>
      <c r="V3" s="28" t="s">
        <v>228</v>
      </c>
      <c r="W3" s="28" t="s">
        <v>229</v>
      </c>
      <c r="X3" s="28" t="s">
        <v>278</v>
      </c>
      <c r="Y3" s="28" t="s">
        <v>230</v>
      </c>
      <c r="Z3" s="28" t="s">
        <v>279</v>
      </c>
      <c r="AA3" s="28" t="s">
        <v>280</v>
      </c>
      <c r="AB3" s="28" t="s">
        <v>231</v>
      </c>
      <c r="AC3" s="28" t="s">
        <v>232</v>
      </c>
      <c r="AD3" s="28" t="s">
        <v>233</v>
      </c>
      <c r="AE3" s="28" t="s">
        <v>234</v>
      </c>
      <c r="AF3" s="28" t="s">
        <v>235</v>
      </c>
      <c r="AG3" s="28" t="s">
        <v>281</v>
      </c>
      <c r="AH3" s="28" t="s">
        <v>282</v>
      </c>
      <c r="AI3" s="34" t="s">
        <v>236</v>
      </c>
      <c r="AJ3" s="34" t="s">
        <v>283</v>
      </c>
      <c r="AK3" s="34" t="s">
        <v>284</v>
      </c>
    </row>
    <row r="4" spans="1:37">
      <c r="A4" s="2">
        <v>1</v>
      </c>
      <c r="B4" s="143">
        <f>YEAR(H4)+IF(MONTH(H4)&gt;=4,1,0)</f>
        <v>2025</v>
      </c>
      <c r="C4" s="116">
        <f>YEAR(H4)</f>
        <v>2025</v>
      </c>
      <c r="D4" s="2" t="s">
        <v>155</v>
      </c>
      <c r="E4" s="2" t="s">
        <v>155</v>
      </c>
      <c r="F4" s="30">
        <v>45717</v>
      </c>
      <c r="G4" s="2">
        <f>DAY(EOMONTH(TA[[#This Row],[Month Year]],0))</f>
        <v>31</v>
      </c>
      <c r="H4" s="21">
        <v>45745</v>
      </c>
      <c r="I4" s="32">
        <f>IFERROR(VLOOKUP(TA[[#This Row],[Date]],Raw_Data[[Date]:[Sunset Time (POA&lt;20 W/m2)]],3,0),"")</f>
        <v>0.2590277777777778</v>
      </c>
      <c r="J4" s="32">
        <f>IFERROR(VLOOKUP(TA[[#This Row],[Date]],Raw_Data[[Date]:[Sunset Time (POA&lt;20 W/m2)]],4,0),"")</f>
        <v>0.76180555555555551</v>
      </c>
      <c r="K4" s="27">
        <f>IFERROR((TA[[#This Row],[Sunset Time (POA&lt;20 W/m2)]]-TA[[#This Row],[Sunrise Time (POA&gt;20 W/m2)]])*24,"")</f>
        <v>12.066666666666666</v>
      </c>
      <c r="L4" s="2" t="s">
        <v>285</v>
      </c>
      <c r="M4" s="33">
        <f>IFERROR(VLOOKUP(TA[[#This Row],[Affected Equipment]],'Basic Data'!$I$2:$K$40,3,0),"")</f>
        <v>1.7241379310344799E-3</v>
      </c>
      <c r="N4">
        <v>-28</v>
      </c>
      <c r="O4" t="s">
        <v>135</v>
      </c>
      <c r="P4" s="114" t="s">
        <v>309</v>
      </c>
      <c r="Q4" s="113" t="s">
        <v>309</v>
      </c>
      <c r="R4">
        <v>130</v>
      </c>
      <c r="S4" s="2">
        <v>36</v>
      </c>
      <c r="T4" t="s">
        <v>286</v>
      </c>
      <c r="U4" t="s">
        <v>291</v>
      </c>
      <c r="V4" t="s">
        <v>289</v>
      </c>
      <c r="W4" s="32"/>
      <c r="X4" s="32"/>
      <c r="Y4" s="26"/>
      <c r="Z4" s="26"/>
      <c r="AA4" s="27">
        <f>IF(TA[[#This Row],[Work Start time on Fault]]="NA","",(TA[[#This Row],[Fault Acknowledgement Time ]]-TA[[#This Row],[Fault Time]])*24)</f>
        <v>0</v>
      </c>
      <c r="AB4" s="27">
        <f>(TA[[#This Row],[Work Start time on Fault]]-TA[[#This Row],[Fault Time]])*24</f>
        <v>0</v>
      </c>
      <c r="AC4" s="26">
        <f>(TA[[#This Row],[Work Completion time on fault]]-TA[[#This Row],[Fault Time]])*24</f>
        <v>0</v>
      </c>
      <c r="AD4" s="27">
        <f>IFERROR((TA[[#This Row],[Work Completion time on fault]]-TA[[#This Row],[Fault Time]])*24,"")</f>
        <v>0</v>
      </c>
      <c r="AE4" t="s">
        <v>319</v>
      </c>
      <c r="AF4" t="s">
        <v>247</v>
      </c>
      <c r="AG4" s="2"/>
      <c r="AH4" s="35">
        <f>1-COS(RADIANS(TA[[#This Row],[Avg. Target Angle during Fault Time (Radians)]]-TA[[#This Row],[Angle of affected equipment ]]))</f>
        <v>0.11705240714107301</v>
      </c>
      <c r="AI4" s="27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43">
        <f t="shared" ref="B5:B68" si="1">YEAR(H5)+IF(MONTH(H5)&gt;=4,1,0)</f>
        <v>2025</v>
      </c>
      <c r="C5" s="116">
        <f t="shared" ref="C5:C68" si="2">YEAR(H5)</f>
        <v>2025</v>
      </c>
      <c r="D5" s="2" t="s">
        <v>155</v>
      </c>
      <c r="E5" s="2" t="s">
        <v>155</v>
      </c>
      <c r="F5" s="30">
        <v>45717</v>
      </c>
      <c r="G5" s="2">
        <f>DAY(EOMONTH(TA[[#This Row],[Month Year]],0))</f>
        <v>31</v>
      </c>
      <c r="H5" s="21">
        <v>45745</v>
      </c>
      <c r="I5" s="32">
        <f>IFERROR(VLOOKUP(TA[[#This Row],[Date]],Raw_Data[[Date]:[Sunset Time (POA&lt;20 W/m2)]],3,0),"")</f>
        <v>0.2590277777777778</v>
      </c>
      <c r="J5" s="32">
        <f>IFERROR(VLOOKUP(TA[[#This Row],[Date]],Raw_Data[[Date]:[Sunset Time (POA&lt;20 W/m2)]],4,0),"")</f>
        <v>0.76180555555555551</v>
      </c>
      <c r="K5" s="27">
        <f>IFERROR((TA[[#This Row],[Sunset Time (POA&lt;20 W/m2)]]-TA[[#This Row],[Sunrise Time (POA&gt;20 W/m2)]])*24,"")</f>
        <v>12.066666666666666</v>
      </c>
      <c r="L5" s="2" t="s">
        <v>285</v>
      </c>
      <c r="M5" s="33">
        <f>IFERROR(VLOOKUP(TA[[#This Row],[Affected Equipment]],'Basic Data'!$I$2:$K$40,3,0),"")</f>
        <v>1.7241379310344799E-3</v>
      </c>
      <c r="N5">
        <v>-28</v>
      </c>
      <c r="O5" t="s">
        <v>135</v>
      </c>
      <c r="P5" s="114" t="s">
        <v>309</v>
      </c>
      <c r="Q5" s="113" t="s">
        <v>309</v>
      </c>
      <c r="R5">
        <v>130</v>
      </c>
      <c r="S5" s="2">
        <v>37</v>
      </c>
      <c r="T5" t="s">
        <v>286</v>
      </c>
      <c r="U5" t="s">
        <v>291</v>
      </c>
      <c r="V5" t="s">
        <v>289</v>
      </c>
      <c r="W5" s="32"/>
      <c r="X5" s="32"/>
      <c r="Y5" s="26"/>
      <c r="Z5" s="26"/>
      <c r="AA5" s="27">
        <f>IF(TA[[#This Row],[Work Start time on Fault]]="NA","",(TA[[#This Row],[Fault Acknowledgement Time ]]-TA[[#This Row],[Fault Time]])*24)</f>
        <v>0</v>
      </c>
      <c r="AB5" s="27">
        <f>(TA[[#This Row],[Work Start time on Fault]]-TA[[#This Row],[Fault Time]])*24</f>
        <v>0</v>
      </c>
      <c r="AC5" s="26">
        <f>(TA[[#This Row],[Work Completion time on fault]]-TA[[#This Row],[Fault Time]])*24</f>
        <v>0</v>
      </c>
      <c r="AD5" s="27">
        <f>IFERROR((TA[[#This Row],[Work Completion time on fault]]-TA[[#This Row],[Fault Time]])*24,"")</f>
        <v>0</v>
      </c>
      <c r="AE5" t="s">
        <v>319</v>
      </c>
      <c r="AF5" t="s">
        <v>247</v>
      </c>
      <c r="AG5" s="2"/>
      <c r="AH5" s="35">
        <f>1-COS(RADIANS(TA[[#This Row],[Avg. Target Angle during Fault Time (Radians)]]-TA[[#This Row],[Angle of affected equipment ]]))</f>
        <v>0.11705240714107301</v>
      </c>
      <c r="AI5" s="27">
        <f>IFERROR(TA[[#This Row],[Breakdown Time]]*TA[[#This Row],[Plant Equivalent Weightage]],"")</f>
        <v>0</v>
      </c>
    </row>
    <row r="6" spans="1:37">
      <c r="A6" s="2">
        <f t="shared" si="0"/>
        <v>3</v>
      </c>
      <c r="B6" s="143">
        <f t="shared" si="1"/>
        <v>2025</v>
      </c>
      <c r="C6" s="116">
        <f t="shared" si="2"/>
        <v>2025</v>
      </c>
      <c r="D6" s="2" t="s">
        <v>155</v>
      </c>
      <c r="E6" s="2" t="s">
        <v>155</v>
      </c>
      <c r="F6" s="30">
        <v>45717</v>
      </c>
      <c r="G6" s="2">
        <f>DAY(EOMONTH(TA[[#This Row],[Month Year]],0))</f>
        <v>31</v>
      </c>
      <c r="H6" s="21">
        <v>45745</v>
      </c>
      <c r="I6" s="32">
        <f>IFERROR(VLOOKUP(TA[[#This Row],[Date]],Raw_Data[[Date]:[Sunset Time (POA&lt;20 W/m2)]],3,0),"")</f>
        <v>0.2590277777777778</v>
      </c>
      <c r="J6" s="32">
        <f>IFERROR(VLOOKUP(TA[[#This Row],[Date]],Raw_Data[[Date]:[Sunset Time (POA&lt;20 W/m2)]],4,0),"")</f>
        <v>0.76180555555555551</v>
      </c>
      <c r="K6" s="27">
        <f>IFERROR((TA[[#This Row],[Sunset Time (POA&lt;20 W/m2)]]-TA[[#This Row],[Sunrise Time (POA&gt;20 W/m2)]])*24,"")</f>
        <v>12.066666666666666</v>
      </c>
      <c r="L6" s="2" t="s">
        <v>285</v>
      </c>
      <c r="M6" s="33">
        <f>IFERROR(VLOOKUP(TA[[#This Row],[Affected Equipment]],'Basic Data'!$I$2:$K$40,3,0),"")</f>
        <v>1.7241379310344799E-3</v>
      </c>
      <c r="N6">
        <v>-28</v>
      </c>
      <c r="O6" t="s">
        <v>135</v>
      </c>
      <c r="P6" s="114" t="s">
        <v>309</v>
      </c>
      <c r="Q6" s="113" t="s">
        <v>309</v>
      </c>
      <c r="R6">
        <v>131</v>
      </c>
      <c r="S6" s="2">
        <v>38</v>
      </c>
      <c r="T6" t="s">
        <v>286</v>
      </c>
      <c r="U6" t="s">
        <v>291</v>
      </c>
      <c r="V6" t="s">
        <v>289</v>
      </c>
      <c r="W6" s="32"/>
      <c r="X6" s="32"/>
      <c r="Y6" s="26"/>
      <c r="Z6" s="26"/>
      <c r="AA6" s="27">
        <f>IF(TA[[#This Row],[Work Start time on Fault]]="NA","",(TA[[#This Row],[Fault Acknowledgement Time ]]-TA[[#This Row],[Fault Time]])*24)</f>
        <v>0</v>
      </c>
      <c r="AB6" s="27">
        <f>(TA[[#This Row],[Work Start time on Fault]]-TA[[#This Row],[Fault Time]])*24</f>
        <v>0</v>
      </c>
      <c r="AC6" s="26">
        <f>(TA[[#This Row],[Work Completion time on fault]]-TA[[#This Row],[Fault Time]])*24</f>
        <v>0</v>
      </c>
      <c r="AD6" s="27">
        <f>IFERROR((TA[[#This Row],[Work Completion time on fault]]-TA[[#This Row],[Fault Time]])*24,"")</f>
        <v>0</v>
      </c>
      <c r="AE6" t="s">
        <v>319</v>
      </c>
      <c r="AF6" t="s">
        <v>247</v>
      </c>
      <c r="AG6" s="2"/>
      <c r="AH6" s="35">
        <f>1-COS(RADIANS(TA[[#This Row],[Avg. Target Angle during Fault Time (Radians)]]-TA[[#This Row],[Angle of affected equipment ]]))</f>
        <v>0.11705240714107301</v>
      </c>
      <c r="AI6" s="27">
        <f>IFERROR(TA[[#This Row],[Breakdown Time]]*TA[[#This Row],[Plant Equivalent Weightage]],"")</f>
        <v>0</v>
      </c>
    </row>
    <row r="7" spans="1:37">
      <c r="A7" s="2">
        <f t="shared" si="0"/>
        <v>4</v>
      </c>
      <c r="B7" s="143">
        <f t="shared" si="1"/>
        <v>2025</v>
      </c>
      <c r="C7" s="116">
        <f t="shared" si="2"/>
        <v>2025</v>
      </c>
      <c r="D7" s="2" t="s">
        <v>155</v>
      </c>
      <c r="E7" s="2" t="s">
        <v>155</v>
      </c>
      <c r="F7" s="30">
        <v>45717</v>
      </c>
      <c r="G7" s="2">
        <f>DAY(EOMONTH(TA[[#This Row],[Month Year]],0))</f>
        <v>31</v>
      </c>
      <c r="H7" s="21">
        <v>45745</v>
      </c>
      <c r="I7" s="32">
        <f>IFERROR(VLOOKUP(TA[[#This Row],[Date]],Raw_Data[[Date]:[Sunset Time (POA&lt;20 W/m2)]],3,0),"")</f>
        <v>0.2590277777777778</v>
      </c>
      <c r="J7" s="32">
        <f>IFERROR(VLOOKUP(TA[[#This Row],[Date]],Raw_Data[[Date]:[Sunset Time (POA&lt;20 W/m2)]],4,0),"")</f>
        <v>0.76180555555555551</v>
      </c>
      <c r="K7" s="27">
        <f>IFERROR((TA[[#This Row],[Sunset Time (POA&lt;20 W/m2)]]-TA[[#This Row],[Sunrise Time (POA&gt;20 W/m2)]])*24,"")</f>
        <v>12.066666666666666</v>
      </c>
      <c r="L7" s="2" t="s">
        <v>285</v>
      </c>
      <c r="M7" s="33">
        <f>IFERROR(VLOOKUP(TA[[#This Row],[Affected Equipment]],'Basic Data'!$I$2:$K$40,3,0),"")</f>
        <v>1.7241379310344799E-3</v>
      </c>
      <c r="N7">
        <v>-28</v>
      </c>
      <c r="O7" t="s">
        <v>135</v>
      </c>
      <c r="P7" s="114" t="s">
        <v>309</v>
      </c>
      <c r="Q7" s="113" t="s">
        <v>309</v>
      </c>
      <c r="R7">
        <v>131</v>
      </c>
      <c r="S7" s="2">
        <v>39</v>
      </c>
      <c r="T7" t="s">
        <v>286</v>
      </c>
      <c r="U7" t="s">
        <v>291</v>
      </c>
      <c r="V7" t="s">
        <v>289</v>
      </c>
      <c r="W7" s="32"/>
      <c r="X7" s="32"/>
      <c r="Y7" s="26"/>
      <c r="Z7" s="26"/>
      <c r="AA7" s="27">
        <f>IF(TA[[#This Row],[Work Start time on Fault]]="NA","",(TA[[#This Row],[Fault Acknowledgement Time ]]-TA[[#This Row],[Fault Time]])*24)</f>
        <v>0</v>
      </c>
      <c r="AB7" s="27">
        <f>(TA[[#This Row],[Work Start time on Fault]]-TA[[#This Row],[Fault Time]])*24</f>
        <v>0</v>
      </c>
      <c r="AC7" s="26">
        <f>(TA[[#This Row],[Work Completion time on fault]]-TA[[#This Row],[Fault Time]])*24</f>
        <v>0</v>
      </c>
      <c r="AD7" s="27">
        <f>IFERROR((TA[[#This Row],[Work Completion time on fault]]-TA[[#This Row],[Fault Time]])*24,"")</f>
        <v>0</v>
      </c>
      <c r="AE7" t="s">
        <v>319</v>
      </c>
      <c r="AF7" t="s">
        <v>247</v>
      </c>
      <c r="AG7" s="2"/>
      <c r="AH7" s="35">
        <f>1-COS(RADIANS(TA[[#This Row],[Avg. Target Angle during Fault Time (Radians)]]-TA[[#This Row],[Angle of affected equipment ]]))</f>
        <v>0.11705240714107301</v>
      </c>
      <c r="AI7" s="27">
        <f>IFERROR(TA[[#This Row],[Breakdown Time]]*TA[[#This Row],[Plant Equivalent Weightage]],"")</f>
        <v>0</v>
      </c>
    </row>
    <row r="8" spans="1:37">
      <c r="A8" s="2">
        <f t="shared" si="0"/>
        <v>5</v>
      </c>
      <c r="B8" s="143">
        <f t="shared" si="1"/>
        <v>2025</v>
      </c>
      <c r="C8" s="116">
        <f t="shared" si="2"/>
        <v>2025</v>
      </c>
      <c r="D8" s="2" t="s">
        <v>155</v>
      </c>
      <c r="E8" s="2" t="s">
        <v>155</v>
      </c>
      <c r="F8" s="30">
        <v>45717</v>
      </c>
      <c r="G8" s="2">
        <f>DAY(EOMONTH(TA[[#This Row],[Month Year]],0))</f>
        <v>31</v>
      </c>
      <c r="H8" s="21">
        <v>45745</v>
      </c>
      <c r="I8" s="32">
        <f>IFERROR(VLOOKUP(TA[[#This Row],[Date]],Raw_Data[[Date]:[Sunset Time (POA&lt;20 W/m2)]],3,0),"")</f>
        <v>0.2590277777777778</v>
      </c>
      <c r="J8" s="32">
        <f>IFERROR(VLOOKUP(TA[[#This Row],[Date]],Raw_Data[[Date]:[Sunset Time (POA&lt;20 W/m2)]],4,0),"")</f>
        <v>0.76180555555555551</v>
      </c>
      <c r="K8" s="27">
        <f>IFERROR((TA[[#This Row],[Sunset Time (POA&lt;20 W/m2)]]-TA[[#This Row],[Sunrise Time (POA&gt;20 W/m2)]])*24,"")</f>
        <v>12.066666666666666</v>
      </c>
      <c r="L8" s="2" t="s">
        <v>287</v>
      </c>
      <c r="M8" s="33">
        <f>IFERROR(VLOOKUP(TA[[#This Row],[Affected Equipment]],'Basic Data'!$I$2:$K$40,3,0),"")</f>
        <v>8.6206896551724102E-3</v>
      </c>
      <c r="N8">
        <v>-28</v>
      </c>
      <c r="O8" t="s">
        <v>135</v>
      </c>
      <c r="P8" s="114" t="s">
        <v>309</v>
      </c>
      <c r="Q8" s="2" t="s">
        <v>312</v>
      </c>
      <c r="R8">
        <v>133</v>
      </c>
      <c r="S8" s="2">
        <v>26</v>
      </c>
      <c r="T8" t="s">
        <v>288</v>
      </c>
      <c r="U8" t="s">
        <v>291</v>
      </c>
      <c r="V8" t="s">
        <v>305</v>
      </c>
      <c r="W8" s="32"/>
      <c r="X8" s="32"/>
      <c r="Y8" s="26"/>
      <c r="Z8" s="26"/>
      <c r="AA8" s="27">
        <f>IF(TA[[#This Row],[Work Start time on Fault]]="NA","",(TA[[#This Row],[Fault Acknowledgement Time ]]-TA[[#This Row],[Fault Time]])*24)</f>
        <v>0</v>
      </c>
      <c r="AB8" s="27">
        <f>(TA[[#This Row],[Work Start time on Fault]]-TA[[#This Row],[Fault Time]])*24</f>
        <v>0</v>
      </c>
      <c r="AC8" s="26">
        <f>(TA[[#This Row],[Work Completion time on fault]]-TA[[#This Row],[Fault Time]])*24</f>
        <v>0</v>
      </c>
      <c r="AD8" s="27">
        <f>IFERROR((TA[[#This Row],[Work Completion time on fault]]-TA[[#This Row],[Fault Time]])*24,"")</f>
        <v>0</v>
      </c>
      <c r="AE8" t="s">
        <v>319</v>
      </c>
      <c r="AF8" t="s">
        <v>247</v>
      </c>
      <c r="AG8" s="2"/>
      <c r="AH8" s="35">
        <f>1-COS(RADIANS(TA[[#This Row],[Avg. Target Angle during Fault Time (Radians)]]-TA[[#This Row],[Angle of affected equipment ]]))</f>
        <v>0.11705240714107301</v>
      </c>
      <c r="AI8" s="27">
        <f>IFERROR(TA[[#This Row],[Breakdown Time]]*TA[[#This Row],[Plant Equivalent Weightage]],"")</f>
        <v>0</v>
      </c>
    </row>
    <row r="9" spans="1:37">
      <c r="A9" s="2">
        <f t="shared" si="0"/>
        <v>6</v>
      </c>
      <c r="B9" s="143">
        <f t="shared" si="1"/>
        <v>2025</v>
      </c>
      <c r="C9" s="116">
        <f t="shared" si="2"/>
        <v>2025</v>
      </c>
      <c r="D9" s="2" t="s">
        <v>155</v>
      </c>
      <c r="E9" s="2" t="s">
        <v>155</v>
      </c>
      <c r="F9" s="30">
        <v>45717</v>
      </c>
      <c r="G9" s="2">
        <f>DAY(EOMONTH(TA[[#This Row],[Month Year]],0))</f>
        <v>31</v>
      </c>
      <c r="H9" s="21">
        <v>45745</v>
      </c>
      <c r="I9" s="32">
        <f>IFERROR(VLOOKUP(TA[[#This Row],[Date]],Raw_Data[[Date]:[Sunset Time (POA&lt;20 W/m2)]],3,0),"")</f>
        <v>0.2590277777777778</v>
      </c>
      <c r="J9" s="32">
        <f>IFERROR(VLOOKUP(TA[[#This Row],[Date]],Raw_Data[[Date]:[Sunset Time (POA&lt;20 W/m2)]],4,0),"")</f>
        <v>0.76180555555555551</v>
      </c>
      <c r="K9" s="27">
        <f>IFERROR((TA[[#This Row],[Sunset Time (POA&lt;20 W/m2)]]-TA[[#This Row],[Sunrise Time (POA&gt;20 W/m2)]])*24,"")</f>
        <v>12.066666666666666</v>
      </c>
      <c r="L9" s="2" t="s">
        <v>285</v>
      </c>
      <c r="M9" s="33">
        <f>IFERROR(VLOOKUP(TA[[#This Row],[Affected Equipment]],'Basic Data'!$I$2:$K$40,3,0),"")</f>
        <v>1.7241379310344799E-3</v>
      </c>
      <c r="N9">
        <v>-28</v>
      </c>
      <c r="O9" t="s">
        <v>133</v>
      </c>
      <c r="P9" s="114" t="s">
        <v>307</v>
      </c>
      <c r="Q9" s="113" t="s">
        <v>308</v>
      </c>
      <c r="R9">
        <v>7</v>
      </c>
      <c r="S9" s="2">
        <v>32</v>
      </c>
      <c r="T9" t="s">
        <v>286</v>
      </c>
      <c r="U9" t="s">
        <v>291</v>
      </c>
      <c r="V9" t="s">
        <v>289</v>
      </c>
      <c r="W9" s="32"/>
      <c r="X9" s="32"/>
      <c r="Y9" s="26"/>
      <c r="Z9" s="26"/>
      <c r="AA9" s="27">
        <f>IF(TA[[#This Row],[Work Start time on Fault]]="NA","",(TA[[#This Row],[Fault Acknowledgement Time ]]-TA[[#This Row],[Fault Time]])*24)</f>
        <v>0</v>
      </c>
      <c r="AB9" s="27">
        <f>(TA[[#This Row],[Work Start time on Fault]]-TA[[#This Row],[Fault Time]])*24</f>
        <v>0</v>
      </c>
      <c r="AC9" s="26">
        <f>(TA[[#This Row],[Work Completion time on fault]]-TA[[#This Row],[Fault Time]])*24</f>
        <v>0</v>
      </c>
      <c r="AD9" s="27">
        <f>IFERROR((TA[[#This Row],[Work Completion time on fault]]-TA[[#This Row],[Fault Time]])*24,"")</f>
        <v>0</v>
      </c>
      <c r="AE9" t="s">
        <v>319</v>
      </c>
      <c r="AF9" t="s">
        <v>247</v>
      </c>
      <c r="AG9" s="2"/>
      <c r="AH9" s="35">
        <f>1-COS(RADIANS(TA[[#This Row],[Avg. Target Angle during Fault Time (Radians)]]-TA[[#This Row],[Angle of affected equipment ]]))</f>
        <v>0.11705240714107301</v>
      </c>
      <c r="AI9" s="27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43">
        <f t="shared" si="1"/>
        <v>2025</v>
      </c>
      <c r="C10" s="116">
        <f t="shared" si="2"/>
        <v>2025</v>
      </c>
      <c r="D10" s="2" t="s">
        <v>155</v>
      </c>
      <c r="E10" s="2" t="s">
        <v>155</v>
      </c>
      <c r="F10" s="30">
        <v>45717</v>
      </c>
      <c r="G10" s="2">
        <f>DAY(EOMONTH(TA[[#This Row],[Month Year]],0))</f>
        <v>31</v>
      </c>
      <c r="H10" s="21">
        <v>45745</v>
      </c>
      <c r="I10" s="32">
        <f>IFERROR(VLOOKUP(TA[[#This Row],[Date]],Raw_Data[[Date]:[Sunset Time (POA&lt;20 W/m2)]],3,0),"")</f>
        <v>0.2590277777777778</v>
      </c>
      <c r="J10" s="32">
        <f>IFERROR(VLOOKUP(TA[[#This Row],[Date]],Raw_Data[[Date]:[Sunset Time (POA&lt;20 W/m2)]],4,0),"")</f>
        <v>0.76180555555555551</v>
      </c>
      <c r="K10" s="27">
        <f>IFERROR((TA[[#This Row],[Sunset Time (POA&lt;20 W/m2)]]-TA[[#This Row],[Sunrise Time (POA&gt;20 W/m2)]])*24,"")</f>
        <v>12.066666666666666</v>
      </c>
      <c r="L10" s="2" t="s">
        <v>285</v>
      </c>
      <c r="M10" s="33">
        <f>IFERROR(VLOOKUP(TA[[#This Row],[Affected Equipment]],'Basic Data'!$I$2:$K$40,3,0),"")</f>
        <v>1.7241379310344799E-3</v>
      </c>
      <c r="N10">
        <v>-28</v>
      </c>
      <c r="O10" t="s">
        <v>137</v>
      </c>
      <c r="P10" s="114" t="s">
        <v>306</v>
      </c>
      <c r="Q10" s="113" t="s">
        <v>310</v>
      </c>
      <c r="R10">
        <v>166</v>
      </c>
      <c r="S10" s="2">
        <v>91</v>
      </c>
      <c r="T10" t="s">
        <v>286</v>
      </c>
      <c r="U10" t="s">
        <v>291</v>
      </c>
      <c r="V10" t="s">
        <v>289</v>
      </c>
      <c r="W10" s="32"/>
      <c r="X10" s="32"/>
      <c r="Y10" s="26"/>
      <c r="Z10" s="26"/>
      <c r="AA10" s="27">
        <f>IF(TA[[#This Row],[Work Start time on Fault]]="NA","",(TA[[#This Row],[Fault Acknowledgement Time ]]-TA[[#This Row],[Fault Time]])*24)</f>
        <v>0</v>
      </c>
      <c r="AB10" s="27">
        <f>(TA[[#This Row],[Work Start time on Fault]]-TA[[#This Row],[Fault Time]])*24</f>
        <v>0</v>
      </c>
      <c r="AC10" s="26">
        <f>(TA[[#This Row],[Work Completion time on fault]]-TA[[#This Row],[Fault Time]])*24</f>
        <v>0</v>
      </c>
      <c r="AD10" s="27">
        <f>IFERROR((TA[[#This Row],[Work Completion time on fault]]-TA[[#This Row],[Fault Time]])*24,"")</f>
        <v>0</v>
      </c>
      <c r="AE10" t="s">
        <v>319</v>
      </c>
      <c r="AF10" t="s">
        <v>247</v>
      </c>
      <c r="AG10" s="2"/>
      <c r="AH10" s="35">
        <f>1-COS(RADIANS(TA[[#This Row],[Avg. Target Angle during Fault Time (Radians)]]-TA[[#This Row],[Angle of affected equipment ]]))</f>
        <v>0.11705240714107301</v>
      </c>
      <c r="AI10" s="27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43">
        <f t="shared" si="1"/>
        <v>2025</v>
      </c>
      <c r="C11" s="116">
        <f t="shared" si="2"/>
        <v>2025</v>
      </c>
      <c r="D11" s="2" t="s">
        <v>155</v>
      </c>
      <c r="E11" s="2" t="s">
        <v>155</v>
      </c>
      <c r="F11" s="30">
        <v>45717</v>
      </c>
      <c r="G11" s="2">
        <f>DAY(EOMONTH(TA[[#This Row],[Month Year]],0))</f>
        <v>31</v>
      </c>
      <c r="H11" s="21">
        <v>45745</v>
      </c>
      <c r="I11" s="32">
        <f>IFERROR(VLOOKUP(TA[[#This Row],[Date]],Raw_Data[[Date]:[Sunset Time (POA&lt;20 W/m2)]],3,0),"")</f>
        <v>0.2590277777777778</v>
      </c>
      <c r="J11" s="32">
        <f>IFERROR(VLOOKUP(TA[[#This Row],[Date]],Raw_Data[[Date]:[Sunset Time (POA&lt;20 W/m2)]],4,0),"")</f>
        <v>0.76180555555555551</v>
      </c>
      <c r="K11" s="27">
        <f>IFERROR((TA[[#This Row],[Sunset Time (POA&lt;20 W/m2)]]-TA[[#This Row],[Sunrise Time (POA&gt;20 W/m2)]])*24,"")</f>
        <v>12.066666666666666</v>
      </c>
      <c r="L11" s="2" t="s">
        <v>285</v>
      </c>
      <c r="M11" s="33">
        <f>IFERROR(VLOOKUP(TA[[#This Row],[Affected Equipment]],'Basic Data'!$I$2:$K$40,3,0),"")</f>
        <v>1.7241379310344799E-3</v>
      </c>
      <c r="N11">
        <v>-28</v>
      </c>
      <c r="O11" t="s">
        <v>133</v>
      </c>
      <c r="P11" s="114" t="s">
        <v>307</v>
      </c>
      <c r="Q11" s="113" t="s">
        <v>307</v>
      </c>
      <c r="R11">
        <v>117</v>
      </c>
      <c r="S11" s="2">
        <v>20</v>
      </c>
      <c r="T11" t="s">
        <v>286</v>
      </c>
      <c r="U11" t="s">
        <v>291</v>
      </c>
      <c r="V11" t="s">
        <v>289</v>
      </c>
      <c r="W11" s="32"/>
      <c r="X11" s="32"/>
      <c r="Y11" s="26"/>
      <c r="Z11" s="26"/>
      <c r="AA11" s="27">
        <f>IF(TA[[#This Row],[Work Start time on Fault]]="NA","",(TA[[#This Row],[Fault Acknowledgement Time ]]-TA[[#This Row],[Fault Time]])*24)</f>
        <v>0</v>
      </c>
      <c r="AB11" s="27">
        <f>(TA[[#This Row],[Work Start time on Fault]]-TA[[#This Row],[Fault Time]])*24</f>
        <v>0</v>
      </c>
      <c r="AC11" s="26">
        <f>(TA[[#This Row],[Work Completion time on fault]]-TA[[#This Row],[Fault Time]])*24</f>
        <v>0</v>
      </c>
      <c r="AD11" s="27">
        <f>IFERROR((TA[[#This Row],[Work Completion time on fault]]-TA[[#This Row],[Fault Time]])*24,"")</f>
        <v>0</v>
      </c>
      <c r="AE11" t="s">
        <v>319</v>
      </c>
      <c r="AF11" t="s">
        <v>247</v>
      </c>
      <c r="AG11" s="2"/>
      <c r="AH11" s="35">
        <f>1-COS(RADIANS(TA[[#This Row],[Avg. Target Angle during Fault Time (Radians)]]-TA[[#This Row],[Angle of affected equipment ]]))</f>
        <v>0.11705240714107301</v>
      </c>
      <c r="AI11" s="27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43">
        <f t="shared" si="1"/>
        <v>2025</v>
      </c>
      <c r="C12" s="116">
        <f t="shared" si="2"/>
        <v>2025</v>
      </c>
      <c r="D12" s="2" t="s">
        <v>155</v>
      </c>
      <c r="E12" s="2" t="s">
        <v>155</v>
      </c>
      <c r="F12" s="30">
        <v>45717</v>
      </c>
      <c r="G12" s="2">
        <f>DAY(EOMONTH(TA[[#This Row],[Month Year]],0))</f>
        <v>31</v>
      </c>
      <c r="H12" s="21">
        <v>45745</v>
      </c>
      <c r="I12" s="32">
        <f>IFERROR(VLOOKUP(TA[[#This Row],[Date]],Raw_Data[[Date]:[Sunset Time (POA&lt;20 W/m2)]],3,0),"")</f>
        <v>0.2590277777777778</v>
      </c>
      <c r="J12" s="32">
        <f>IFERROR(VLOOKUP(TA[[#This Row],[Date]],Raw_Data[[Date]:[Sunset Time (POA&lt;20 W/m2)]],4,0),"")</f>
        <v>0.76180555555555551</v>
      </c>
      <c r="K12" s="27">
        <f>IFERROR((TA[[#This Row],[Sunset Time (POA&lt;20 W/m2)]]-TA[[#This Row],[Sunrise Time (POA&gt;20 W/m2)]])*24,"")</f>
        <v>12.066666666666666</v>
      </c>
      <c r="L12" s="2" t="s">
        <v>285</v>
      </c>
      <c r="M12" s="33">
        <f>IFERROR(VLOOKUP(TA[[#This Row],[Affected Equipment]],'Basic Data'!$I$2:$K$40,3,0),"")</f>
        <v>1.7241379310344799E-3</v>
      </c>
      <c r="N12">
        <v>-28</v>
      </c>
      <c r="O12" t="s">
        <v>133</v>
      </c>
      <c r="P12" s="114" t="s">
        <v>307</v>
      </c>
      <c r="Q12" s="113" t="s">
        <v>307</v>
      </c>
      <c r="R12">
        <v>118</v>
      </c>
      <c r="S12" s="2">
        <v>22</v>
      </c>
      <c r="T12" t="s">
        <v>286</v>
      </c>
      <c r="U12" t="s">
        <v>291</v>
      </c>
      <c r="V12" t="s">
        <v>289</v>
      </c>
      <c r="W12" s="32"/>
      <c r="X12" s="32"/>
      <c r="Y12" s="26"/>
      <c r="Z12" s="26"/>
      <c r="AA12" s="27">
        <f>IF(TA[[#This Row],[Work Start time on Fault]]="NA","",(TA[[#This Row],[Fault Acknowledgement Time ]]-TA[[#This Row],[Fault Time]])*24)</f>
        <v>0</v>
      </c>
      <c r="AB12" s="27">
        <f>(TA[[#This Row],[Work Start time on Fault]]-TA[[#This Row],[Fault Time]])*24</f>
        <v>0</v>
      </c>
      <c r="AC12" s="26">
        <f>(TA[[#This Row],[Work Completion time on fault]]-TA[[#This Row],[Fault Time]])*24</f>
        <v>0</v>
      </c>
      <c r="AD12" s="27">
        <f>IFERROR((TA[[#This Row],[Work Completion time on fault]]-TA[[#This Row],[Fault Time]])*24,"")</f>
        <v>0</v>
      </c>
      <c r="AE12" t="s">
        <v>319</v>
      </c>
      <c r="AF12" t="s">
        <v>247</v>
      </c>
      <c r="AG12" s="2"/>
      <c r="AH12" s="35">
        <f>1-COS(RADIANS(TA[[#This Row],[Avg. Target Angle during Fault Time (Radians)]]-TA[[#This Row],[Angle of affected equipment ]]))</f>
        <v>0.11705240714107301</v>
      </c>
      <c r="AI12" s="27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43">
        <f t="shared" si="1"/>
        <v>2025</v>
      </c>
      <c r="C13" s="116">
        <f t="shared" si="2"/>
        <v>2025</v>
      </c>
      <c r="D13" s="2" t="s">
        <v>155</v>
      </c>
      <c r="E13" s="2" t="s">
        <v>155</v>
      </c>
      <c r="F13" s="30">
        <v>45413</v>
      </c>
      <c r="G13" s="2">
        <f>DAY(EOMONTH(TA[[#This Row],[Month Year]],0))</f>
        <v>31</v>
      </c>
      <c r="H13" s="21">
        <v>45745</v>
      </c>
      <c r="I13" s="32">
        <f>IFERROR(VLOOKUP(TA[[#This Row],[Date]],Raw_Data[[Date]:[Sunset Time (POA&lt;20 W/m2)]],3,0),"")</f>
        <v>0.2590277777777778</v>
      </c>
      <c r="J13" s="32">
        <f>IFERROR(VLOOKUP(TA[[#This Row],[Date]],Raw_Data[[Date]:[Sunset Time (POA&lt;20 W/m2)]],4,0),"")</f>
        <v>0.76180555555555551</v>
      </c>
      <c r="K13" s="27">
        <f>IFERROR((TA[[#This Row],[Sunset Time (POA&lt;20 W/m2)]]-TA[[#This Row],[Sunrise Time (POA&gt;20 W/m2)]])*24,"")</f>
        <v>12.066666666666666</v>
      </c>
      <c r="L13" s="2" t="s">
        <v>287</v>
      </c>
      <c r="M13" s="33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314</v>
      </c>
      <c r="Q13" s="2" t="s">
        <v>320</v>
      </c>
      <c r="R13">
        <v>45</v>
      </c>
      <c r="S13" s="2">
        <v>8</v>
      </c>
      <c r="T13" t="s">
        <v>288</v>
      </c>
      <c r="U13" t="s">
        <v>317</v>
      </c>
      <c r="V13" t="s">
        <v>292</v>
      </c>
      <c r="W13" s="32">
        <f>IFERROR(VLOOKUP(TA[[#This Row],[Date]],Raw_Data[[Date]:[Sunset Time (POA&lt;20 W/m2)]],3,0),"")</f>
        <v>0.2590277777777778</v>
      </c>
      <c r="X13" s="32">
        <f>IFERROR(VLOOKUP(TA[[#This Row],[Date]],Raw_Data[[Date]:[Sunset Time (POA&lt;20 W/m2)]],3,0),"")</f>
        <v>0.2590277777777778</v>
      </c>
      <c r="Y13" s="26"/>
      <c r="Z13" s="26">
        <v>0.76041666666666663</v>
      </c>
      <c r="AA13" s="27">
        <f>IF(TA[[#This Row],[Work Start time on Fault]]="NA","",(TA[[#This Row],[Fault Acknowledgement Time ]]-TA[[#This Row],[Fault Time]])*24)</f>
        <v>0</v>
      </c>
      <c r="AB13" s="27">
        <f>(TA[[#This Row],[Work Start time on Fault]]-TA[[#This Row],[Fault Time]])*24</f>
        <v>-6.2166666666666668</v>
      </c>
      <c r="AC13" s="26">
        <f>(TA[[#This Row],[Work Completion time on fault]]-TA[[#This Row],[Fault Time]])*24</f>
        <v>12.033333333333333</v>
      </c>
      <c r="AD13" s="27">
        <f>IFERROR((TA[[#This Row],[Work Completion time on fault]]-TA[[#This Row],[Fault Time]])*24,"")</f>
        <v>12.033333333333333</v>
      </c>
      <c r="AE13" t="s">
        <v>300</v>
      </c>
      <c r="AF13" t="s">
        <v>247</v>
      </c>
      <c r="AG13" s="2"/>
      <c r="AH13" s="35">
        <f>1-COS(RADIANS(TA[[#This Row],[Avg. Target Angle during Fault Time (Radians)]]-TA[[#This Row],[Angle of affected equipment ]]))</f>
        <v>0.11705240714107301</v>
      </c>
      <c r="AI13" s="27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43">
        <f t="shared" si="1"/>
        <v>2025</v>
      </c>
      <c r="C14" s="116">
        <f t="shared" si="2"/>
        <v>2025</v>
      </c>
      <c r="D14" s="2" t="s">
        <v>155</v>
      </c>
      <c r="E14" s="2" t="s">
        <v>155</v>
      </c>
      <c r="F14" s="30">
        <v>45413</v>
      </c>
      <c r="G14" s="2">
        <f>DAY(EOMONTH(TA[[#This Row],[Month Year]],0))</f>
        <v>31</v>
      </c>
      <c r="H14" s="21">
        <v>45745</v>
      </c>
      <c r="I14" s="32">
        <f>IFERROR(VLOOKUP(TA[[#This Row],[Date]],Raw_Data[[Date]:[Sunset Time (POA&lt;20 W/m2)]],3,0),"")</f>
        <v>0.2590277777777778</v>
      </c>
      <c r="J14" s="32">
        <f>IFERROR(VLOOKUP(TA[[#This Row],[Date]],Raw_Data[[Date]:[Sunset Time (POA&lt;20 W/m2)]],4,0),"")</f>
        <v>0.76180555555555551</v>
      </c>
      <c r="K14" s="27">
        <f>IFERROR((TA[[#This Row],[Sunset Time (POA&lt;20 W/m2)]]-TA[[#This Row],[Sunrise Time (POA&gt;20 W/m2)]])*24,"")</f>
        <v>12.066666666666666</v>
      </c>
      <c r="L14" s="2" t="s">
        <v>287</v>
      </c>
      <c r="M14" s="33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314</v>
      </c>
      <c r="Q14" s="2" t="s">
        <v>320</v>
      </c>
      <c r="R14">
        <v>47</v>
      </c>
      <c r="S14" s="2">
        <v>18</v>
      </c>
      <c r="T14" t="s">
        <v>288</v>
      </c>
      <c r="U14" t="s">
        <v>317</v>
      </c>
      <c r="V14" t="s">
        <v>292</v>
      </c>
      <c r="W14" s="32">
        <f>IFERROR(VLOOKUP(TA[[#This Row],[Date]],Raw_Data[[Date]:[Sunset Time (POA&lt;20 W/m2)]],3,0),"")</f>
        <v>0.2590277777777778</v>
      </c>
      <c r="X14" s="32">
        <f>IFERROR(VLOOKUP(TA[[#This Row],[Date]],Raw_Data[[Date]:[Sunset Time (POA&lt;20 W/m2)]],3,0),"")</f>
        <v>0.2590277777777778</v>
      </c>
      <c r="Y14" s="26"/>
      <c r="Z14" s="26">
        <v>0.76041666666666663</v>
      </c>
      <c r="AA14" s="27">
        <f>IF(TA[[#This Row],[Work Start time on Fault]]="NA","",(TA[[#This Row],[Fault Acknowledgement Time ]]-TA[[#This Row],[Fault Time]])*24)</f>
        <v>0</v>
      </c>
      <c r="AB14" s="27">
        <f>(TA[[#This Row],[Work Start time on Fault]]-TA[[#This Row],[Fault Time]])*24</f>
        <v>-6.2166666666666668</v>
      </c>
      <c r="AC14" s="26">
        <f>(TA[[#This Row],[Work Completion time on fault]]-TA[[#This Row],[Fault Time]])*24</f>
        <v>12.033333333333333</v>
      </c>
      <c r="AD14" s="27">
        <f>IFERROR((TA[[#This Row],[Work Completion time on fault]]-TA[[#This Row],[Fault Time]])*24,"")</f>
        <v>12.033333333333333</v>
      </c>
      <c r="AE14" t="s">
        <v>300</v>
      </c>
      <c r="AF14" t="s">
        <v>247</v>
      </c>
      <c r="AG14" s="2"/>
      <c r="AH14" s="35">
        <f>1-COS(RADIANS(TA[[#This Row],[Avg. Target Angle during Fault Time (Radians)]]-TA[[#This Row],[Angle of affected equipment ]]))</f>
        <v>0.11705240714107301</v>
      </c>
      <c r="AI14" s="27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43">
        <f t="shared" si="1"/>
        <v>2025</v>
      </c>
      <c r="C15" s="116">
        <f t="shared" si="2"/>
        <v>2025</v>
      </c>
      <c r="D15" s="2" t="s">
        <v>155</v>
      </c>
      <c r="E15" s="2" t="s">
        <v>155</v>
      </c>
      <c r="F15" s="30">
        <v>45413</v>
      </c>
      <c r="G15" s="2">
        <f>DAY(EOMONTH(TA[[#This Row],[Month Year]],0))</f>
        <v>31</v>
      </c>
      <c r="H15" s="21">
        <v>45745</v>
      </c>
      <c r="I15" s="32">
        <f>IFERROR(VLOOKUP(TA[[#This Row],[Date]],Raw_Data[[Date]:[Sunset Time (POA&lt;20 W/m2)]],3,0),"")</f>
        <v>0.2590277777777778</v>
      </c>
      <c r="J15" s="32">
        <f>IFERROR(VLOOKUP(TA[[#This Row],[Date]],Raw_Data[[Date]:[Sunset Time (POA&lt;20 W/m2)]],4,0),"")</f>
        <v>0.76180555555555551</v>
      </c>
      <c r="K15" s="27">
        <f>IFERROR((TA[[#This Row],[Sunset Time (POA&lt;20 W/m2)]]-TA[[#This Row],[Sunrise Time (POA&gt;20 W/m2)]])*24,"")</f>
        <v>12.066666666666666</v>
      </c>
      <c r="L15" s="2" t="s">
        <v>287</v>
      </c>
      <c r="M15" s="33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321</v>
      </c>
      <c r="Q15" s="2" t="s">
        <v>314</v>
      </c>
      <c r="R15">
        <v>30</v>
      </c>
      <c r="S15" s="2">
        <v>57</v>
      </c>
      <c r="T15" t="s">
        <v>288</v>
      </c>
      <c r="U15" t="s">
        <v>317</v>
      </c>
      <c r="V15" t="s">
        <v>292</v>
      </c>
      <c r="W15" s="32">
        <f>IFERROR(VLOOKUP(TA[[#This Row],[Date]],Raw_Data[[Date]:[Sunset Time (POA&lt;20 W/m2)]],3,0),"")</f>
        <v>0.2590277777777778</v>
      </c>
      <c r="X15" s="32">
        <f>IFERROR(VLOOKUP(TA[[#This Row],[Date]],Raw_Data[[Date]:[Sunset Time (POA&lt;20 W/m2)]],3,0),"")</f>
        <v>0.2590277777777778</v>
      </c>
      <c r="Y15" s="26"/>
      <c r="Z15" s="26">
        <v>0.76041666666666663</v>
      </c>
      <c r="AA15" s="27">
        <f>IF(TA[[#This Row],[Work Start time on Fault]]="NA","",(TA[[#This Row],[Fault Acknowledgement Time ]]-TA[[#This Row],[Fault Time]])*24)</f>
        <v>0</v>
      </c>
      <c r="AB15" s="27">
        <f>(TA[[#This Row],[Work Start time on Fault]]-TA[[#This Row],[Fault Time]])*24</f>
        <v>-6.2166666666666668</v>
      </c>
      <c r="AC15" s="26">
        <f>(TA[[#This Row],[Work Completion time on fault]]-TA[[#This Row],[Fault Time]])*24</f>
        <v>12.033333333333333</v>
      </c>
      <c r="AD15" s="27">
        <f>IFERROR((TA[[#This Row],[Work Completion time on fault]]-TA[[#This Row],[Fault Time]])*24,"")</f>
        <v>12.033333333333333</v>
      </c>
      <c r="AE15" t="s">
        <v>300</v>
      </c>
      <c r="AF15" t="s">
        <v>247</v>
      </c>
      <c r="AG15" s="2"/>
      <c r="AH15" s="35">
        <f>1-COS(RADIANS(TA[[#This Row],[Avg. Target Angle during Fault Time (Radians)]]-TA[[#This Row],[Angle of affected equipment ]]))</f>
        <v>0.11705240714107301</v>
      </c>
      <c r="AI15" s="27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43">
        <f t="shared" si="1"/>
        <v>2025</v>
      </c>
      <c r="C16" s="116">
        <f t="shared" si="2"/>
        <v>2025</v>
      </c>
      <c r="D16" s="2" t="s">
        <v>155</v>
      </c>
      <c r="E16" s="2" t="s">
        <v>155</v>
      </c>
      <c r="F16" s="30">
        <v>45413</v>
      </c>
      <c r="G16" s="2">
        <f>DAY(EOMONTH(TA[[#This Row],[Month Year]],0))</f>
        <v>31</v>
      </c>
      <c r="H16" s="21">
        <v>45745</v>
      </c>
      <c r="I16" s="32">
        <f>IFERROR(VLOOKUP(TA[[#This Row],[Date]],Raw_Data[[Date]:[Sunset Time (POA&lt;20 W/m2)]],3,0),"")</f>
        <v>0.2590277777777778</v>
      </c>
      <c r="J16" s="32">
        <f>IFERROR(VLOOKUP(TA[[#This Row],[Date]],Raw_Data[[Date]:[Sunset Time (POA&lt;20 W/m2)]],4,0),"")</f>
        <v>0.76180555555555551</v>
      </c>
      <c r="K16" s="27">
        <f>IFERROR((TA[[#This Row],[Sunset Time (POA&lt;20 W/m2)]]-TA[[#This Row],[Sunrise Time (POA&gt;20 W/m2)]])*24,"")</f>
        <v>12.066666666666666</v>
      </c>
      <c r="L16" s="2" t="s">
        <v>287</v>
      </c>
      <c r="M16" s="33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321</v>
      </c>
      <c r="Q16" s="2" t="s">
        <v>314</v>
      </c>
      <c r="R16">
        <v>31</v>
      </c>
      <c r="S16" s="2">
        <v>61</v>
      </c>
      <c r="T16" t="s">
        <v>288</v>
      </c>
      <c r="U16" t="s">
        <v>317</v>
      </c>
      <c r="V16" t="s">
        <v>292</v>
      </c>
      <c r="W16" s="32">
        <f>IFERROR(VLOOKUP(TA[[#This Row],[Date]],Raw_Data[[Date]:[Sunset Time (POA&lt;20 W/m2)]],3,0),"")</f>
        <v>0.2590277777777778</v>
      </c>
      <c r="X16" s="32">
        <f>IFERROR(VLOOKUP(TA[[#This Row],[Date]],Raw_Data[[Date]:[Sunset Time (POA&lt;20 W/m2)]],3,0),"")</f>
        <v>0.2590277777777778</v>
      </c>
      <c r="Y16" s="26"/>
      <c r="Z16" s="26">
        <v>0.76041666666666663</v>
      </c>
      <c r="AA16" s="27">
        <f>IF(TA[[#This Row],[Work Start time on Fault]]="NA","",(TA[[#This Row],[Fault Acknowledgement Time ]]-TA[[#This Row],[Fault Time]])*24)</f>
        <v>0</v>
      </c>
      <c r="AB16" s="27">
        <f>(TA[[#This Row],[Work Start time on Fault]]-TA[[#This Row],[Fault Time]])*24</f>
        <v>-6.2166666666666668</v>
      </c>
      <c r="AC16" s="26">
        <f>(TA[[#This Row],[Work Completion time on fault]]-TA[[#This Row],[Fault Time]])*24</f>
        <v>12.033333333333333</v>
      </c>
      <c r="AD16" s="27">
        <f>IFERROR((TA[[#This Row],[Work Completion time on fault]]-TA[[#This Row],[Fault Time]])*24,"")</f>
        <v>12.033333333333333</v>
      </c>
      <c r="AE16" t="s">
        <v>300</v>
      </c>
      <c r="AF16" t="s">
        <v>247</v>
      </c>
      <c r="AG16" s="2"/>
      <c r="AH16" s="35">
        <f>1-COS(RADIANS(TA[[#This Row],[Avg. Target Angle during Fault Time (Radians)]]-TA[[#This Row],[Angle of affected equipment ]]))</f>
        <v>0.11705240714107301</v>
      </c>
      <c r="AI16" s="27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43">
        <f t="shared" si="1"/>
        <v>2025</v>
      </c>
      <c r="C17" s="116">
        <f t="shared" si="2"/>
        <v>2025</v>
      </c>
      <c r="D17" s="2" t="s">
        <v>155</v>
      </c>
      <c r="E17" s="2" t="s">
        <v>155</v>
      </c>
      <c r="F17" s="30">
        <v>45413</v>
      </c>
      <c r="G17" s="2">
        <f>DAY(EOMONTH(TA[[#This Row],[Month Year]],0))</f>
        <v>31</v>
      </c>
      <c r="H17" s="21">
        <v>45745</v>
      </c>
      <c r="I17" s="32">
        <f>IFERROR(VLOOKUP(TA[[#This Row],[Date]],Raw_Data[[Date]:[Sunset Time (POA&lt;20 W/m2)]],3,0),"")</f>
        <v>0.2590277777777778</v>
      </c>
      <c r="J17" s="32">
        <f>IFERROR(VLOOKUP(TA[[#This Row],[Date]],Raw_Data[[Date]:[Sunset Time (POA&lt;20 W/m2)]],4,0),"")</f>
        <v>0.76180555555555551</v>
      </c>
      <c r="K17" s="27">
        <f>IFERROR((TA[[#This Row],[Sunset Time (POA&lt;20 W/m2)]]-TA[[#This Row],[Sunrise Time (POA&gt;20 W/m2)]])*24,"")</f>
        <v>12.066666666666666</v>
      </c>
      <c r="L17" s="2" t="s">
        <v>303</v>
      </c>
      <c r="M17" s="33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321</v>
      </c>
      <c r="Q17" s="2" t="s">
        <v>314</v>
      </c>
      <c r="R17">
        <v>26</v>
      </c>
      <c r="S17" s="2">
        <v>37</v>
      </c>
      <c r="T17" t="s">
        <v>288</v>
      </c>
      <c r="U17" t="s">
        <v>317</v>
      </c>
      <c r="V17" t="s">
        <v>292</v>
      </c>
      <c r="W17" s="32">
        <f>IFERROR(VLOOKUP(TA[[#This Row],[Date]],Raw_Data[[Date]:[Sunset Time (POA&lt;20 W/m2)]],3,0),"")</f>
        <v>0.2590277777777778</v>
      </c>
      <c r="X17" s="32">
        <f>IFERROR(VLOOKUP(TA[[#This Row],[Date]],Raw_Data[[Date]:[Sunset Time (POA&lt;20 W/m2)]],3,0),"")</f>
        <v>0.2590277777777778</v>
      </c>
      <c r="Y17" s="26"/>
      <c r="Z17" s="26">
        <v>0.76041666666666663</v>
      </c>
      <c r="AA17" s="27">
        <f>IF(TA[[#This Row],[Work Start time on Fault]]="NA","",(TA[[#This Row],[Fault Acknowledgement Time ]]-TA[[#This Row],[Fault Time]])*24)</f>
        <v>0</v>
      </c>
      <c r="AB17" s="27">
        <f>(TA[[#This Row],[Work Start time on Fault]]-TA[[#This Row],[Fault Time]])*24</f>
        <v>-6.2166666666666668</v>
      </c>
      <c r="AC17" s="26">
        <f>(TA[[#This Row],[Work Completion time on fault]]-TA[[#This Row],[Fault Time]])*24</f>
        <v>12.033333333333333</v>
      </c>
      <c r="AD17" s="27">
        <f>IFERROR((TA[[#This Row],[Work Completion time on fault]]-TA[[#This Row],[Fault Time]])*24,"")</f>
        <v>12.033333333333333</v>
      </c>
      <c r="AE17" t="s">
        <v>300</v>
      </c>
      <c r="AF17" t="s">
        <v>247</v>
      </c>
      <c r="AG17" s="2"/>
      <c r="AH17" s="35">
        <f>1-COS(RADIANS(TA[[#This Row],[Avg. Target Angle during Fault Time (Radians)]]-TA[[#This Row],[Angle of affected equipment ]]))</f>
        <v>0.11705240714107301</v>
      </c>
      <c r="AI17" s="27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43">
        <f t="shared" si="1"/>
        <v>2025</v>
      </c>
      <c r="C18" s="116">
        <f t="shared" si="2"/>
        <v>2025</v>
      </c>
      <c r="D18" s="2" t="s">
        <v>155</v>
      </c>
      <c r="E18" s="2" t="s">
        <v>155</v>
      </c>
      <c r="F18" s="30">
        <v>45413</v>
      </c>
      <c r="G18" s="2">
        <f>DAY(EOMONTH(TA[[#This Row],[Month Year]],0))</f>
        <v>31</v>
      </c>
      <c r="H18" s="21">
        <v>45745</v>
      </c>
      <c r="I18" s="32">
        <f>IFERROR(VLOOKUP(TA[[#This Row],[Date]],Raw_Data[[Date]:[Sunset Time (POA&lt;20 W/m2)]],3,0),"")</f>
        <v>0.2590277777777778</v>
      </c>
      <c r="J18" s="32">
        <f>IFERROR(VLOOKUP(TA[[#This Row],[Date]],Raw_Data[[Date]:[Sunset Time (POA&lt;20 W/m2)]],4,0),"")</f>
        <v>0.76180555555555551</v>
      </c>
      <c r="K18" s="27">
        <f>IFERROR((TA[[#This Row],[Sunset Time (POA&lt;20 W/m2)]]-TA[[#This Row],[Sunrise Time (POA&gt;20 W/m2)]])*24,"")</f>
        <v>12.066666666666666</v>
      </c>
      <c r="L18" s="2" t="s">
        <v>303</v>
      </c>
      <c r="M18" s="33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321</v>
      </c>
      <c r="Q18" s="2" t="s">
        <v>314</v>
      </c>
      <c r="R18">
        <v>27</v>
      </c>
      <c r="S18" s="2">
        <v>42</v>
      </c>
      <c r="T18" t="s">
        <v>288</v>
      </c>
      <c r="U18" t="s">
        <v>317</v>
      </c>
      <c r="V18" t="s">
        <v>292</v>
      </c>
      <c r="W18" s="32">
        <f>IFERROR(VLOOKUP(TA[[#This Row],[Date]],Raw_Data[[Date]:[Sunset Time (POA&lt;20 W/m2)]],3,0),"")</f>
        <v>0.2590277777777778</v>
      </c>
      <c r="X18" s="32">
        <f>IFERROR(VLOOKUP(TA[[#This Row],[Date]],Raw_Data[[Date]:[Sunset Time (POA&lt;20 W/m2)]],3,0),"")</f>
        <v>0.2590277777777778</v>
      </c>
      <c r="Y18" s="26"/>
      <c r="Z18" s="26">
        <v>0.76041666666666663</v>
      </c>
      <c r="AA18" s="27">
        <f>IF(TA[[#This Row],[Work Start time on Fault]]="NA","",(TA[[#This Row],[Fault Acknowledgement Time ]]-TA[[#This Row],[Fault Time]])*24)</f>
        <v>0</v>
      </c>
      <c r="AB18" s="27">
        <f>(TA[[#This Row],[Work Start time on Fault]]-TA[[#This Row],[Fault Time]])*24</f>
        <v>-6.2166666666666668</v>
      </c>
      <c r="AC18" s="26">
        <f>(TA[[#This Row],[Work Completion time on fault]]-TA[[#This Row],[Fault Time]])*24</f>
        <v>12.033333333333333</v>
      </c>
      <c r="AD18" s="27">
        <f>IFERROR((TA[[#This Row],[Work Completion time on fault]]-TA[[#This Row],[Fault Time]])*24,"")</f>
        <v>12.033333333333333</v>
      </c>
      <c r="AE18" t="s">
        <v>300</v>
      </c>
      <c r="AF18" t="s">
        <v>247</v>
      </c>
      <c r="AG18" s="2"/>
      <c r="AH18" s="35">
        <f>1-COS(RADIANS(TA[[#This Row],[Avg. Target Angle during Fault Time (Radians)]]-TA[[#This Row],[Angle of affected equipment ]]))</f>
        <v>0.11705240714107301</v>
      </c>
      <c r="AI18" s="27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43">
        <f t="shared" si="1"/>
        <v>2025</v>
      </c>
      <c r="C19" s="116">
        <f t="shared" si="2"/>
        <v>2025</v>
      </c>
      <c r="D19" s="2" t="s">
        <v>155</v>
      </c>
      <c r="E19" s="2" t="s">
        <v>155</v>
      </c>
      <c r="F19" s="30">
        <v>45717</v>
      </c>
      <c r="G19" s="2">
        <f>DAY(EOMONTH(TA[[#This Row],[Month Year]],0))</f>
        <v>31</v>
      </c>
      <c r="H19" s="21">
        <v>45746</v>
      </c>
      <c r="I19" s="32">
        <f>IFERROR(VLOOKUP(TA[[#This Row],[Date]],Raw_Data[[Date]:[Sunset Time (POA&lt;20 W/m2)]],3,0),"")</f>
        <v>0.26944444444444443</v>
      </c>
      <c r="J19" s="32">
        <f>IFERROR(VLOOKUP(TA[[#This Row],[Date]],Raw_Data[[Date]:[Sunset Time (POA&lt;20 W/m2)]],4,0),"")</f>
        <v>0.7583333333333333</v>
      </c>
      <c r="K19" s="27">
        <f>IFERROR((TA[[#This Row],[Sunset Time (POA&lt;20 W/m2)]]-TA[[#This Row],[Sunrise Time (POA&gt;20 W/m2)]])*24,"")</f>
        <v>11.733333333333333</v>
      </c>
      <c r="L19" s="2" t="s">
        <v>285</v>
      </c>
      <c r="M19" s="33">
        <f>IFERROR(VLOOKUP(TA[[#This Row],[Affected Equipment]],'Basic Data'!$I$2:$K$40,3,0),"")</f>
        <v>1.7241379310344799E-3</v>
      </c>
      <c r="N19">
        <v>-28</v>
      </c>
      <c r="O19" t="s">
        <v>135</v>
      </c>
      <c r="P19" s="114" t="s">
        <v>309</v>
      </c>
      <c r="Q19" s="113" t="s">
        <v>309</v>
      </c>
      <c r="R19">
        <v>130</v>
      </c>
      <c r="S19" s="2">
        <v>36</v>
      </c>
      <c r="T19" t="s">
        <v>286</v>
      </c>
      <c r="U19" t="s">
        <v>291</v>
      </c>
      <c r="V19" t="s">
        <v>289</v>
      </c>
      <c r="W19" s="32"/>
      <c r="X19" s="32"/>
      <c r="Y19" s="26"/>
      <c r="Z19" s="26"/>
      <c r="AA19" s="27">
        <f>IF(TA[[#This Row],[Work Start time on Fault]]="NA","",(TA[[#This Row],[Fault Acknowledgement Time ]]-TA[[#This Row],[Fault Time]])*24)</f>
        <v>0</v>
      </c>
      <c r="AB19" s="27">
        <f>(TA[[#This Row],[Work Start time on Fault]]-TA[[#This Row],[Fault Time]])*24</f>
        <v>0</v>
      </c>
      <c r="AC19" s="26">
        <f>(TA[[#This Row],[Work Completion time on fault]]-TA[[#This Row],[Fault Time]])*24</f>
        <v>0</v>
      </c>
      <c r="AD19" s="27">
        <f>IFERROR((TA[[#This Row],[Work Completion time on fault]]-TA[[#This Row],[Fault Time]])*24,"")</f>
        <v>0</v>
      </c>
      <c r="AE19" t="s">
        <v>319</v>
      </c>
      <c r="AF19" t="s">
        <v>247</v>
      </c>
      <c r="AG19" s="2"/>
      <c r="AH19" s="35">
        <f>1-COS(RADIANS(TA[[#This Row],[Avg. Target Angle during Fault Time (Radians)]]-TA[[#This Row],[Angle of affected equipment ]]))</f>
        <v>0.11705240714107301</v>
      </c>
      <c r="AI19" s="27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43">
        <f t="shared" si="1"/>
        <v>2025</v>
      </c>
      <c r="C20" s="116">
        <f t="shared" si="2"/>
        <v>2025</v>
      </c>
      <c r="D20" s="2" t="s">
        <v>155</v>
      </c>
      <c r="E20" s="2" t="s">
        <v>155</v>
      </c>
      <c r="F20" s="30">
        <v>45717</v>
      </c>
      <c r="G20" s="2">
        <f>DAY(EOMONTH(TA[[#This Row],[Month Year]],0))</f>
        <v>31</v>
      </c>
      <c r="H20" s="21">
        <v>45746</v>
      </c>
      <c r="I20" s="32">
        <f>IFERROR(VLOOKUP(TA[[#This Row],[Date]],Raw_Data[[Date]:[Sunset Time (POA&lt;20 W/m2)]],3,0),"")</f>
        <v>0.26944444444444443</v>
      </c>
      <c r="J20" s="32">
        <f>IFERROR(VLOOKUP(TA[[#This Row],[Date]],Raw_Data[[Date]:[Sunset Time (POA&lt;20 W/m2)]],4,0),"")</f>
        <v>0.7583333333333333</v>
      </c>
      <c r="K20" s="27">
        <f>IFERROR((TA[[#This Row],[Sunset Time (POA&lt;20 W/m2)]]-TA[[#This Row],[Sunrise Time (POA&gt;20 W/m2)]])*24,"")</f>
        <v>11.733333333333333</v>
      </c>
      <c r="L20" s="2" t="s">
        <v>285</v>
      </c>
      <c r="M20" s="33">
        <f>IFERROR(VLOOKUP(TA[[#This Row],[Affected Equipment]],'Basic Data'!$I$2:$K$40,3,0),"")</f>
        <v>1.7241379310344799E-3</v>
      </c>
      <c r="N20">
        <v>-28</v>
      </c>
      <c r="O20" t="s">
        <v>135</v>
      </c>
      <c r="P20" s="114" t="s">
        <v>309</v>
      </c>
      <c r="Q20" s="113" t="s">
        <v>309</v>
      </c>
      <c r="R20">
        <v>130</v>
      </c>
      <c r="S20" s="2">
        <v>37</v>
      </c>
      <c r="T20" t="s">
        <v>286</v>
      </c>
      <c r="U20" t="s">
        <v>291</v>
      </c>
      <c r="V20" t="s">
        <v>289</v>
      </c>
      <c r="W20" s="32"/>
      <c r="X20" s="32"/>
      <c r="Y20" s="26"/>
      <c r="Z20" s="26"/>
      <c r="AA20" s="27">
        <f>IF(TA[[#This Row],[Work Start time on Fault]]="NA","",(TA[[#This Row],[Fault Acknowledgement Time ]]-TA[[#This Row],[Fault Time]])*24)</f>
        <v>0</v>
      </c>
      <c r="AB20" s="27">
        <f>(TA[[#This Row],[Work Start time on Fault]]-TA[[#This Row],[Fault Time]])*24</f>
        <v>0</v>
      </c>
      <c r="AC20" s="26">
        <f>(TA[[#This Row],[Work Completion time on fault]]-TA[[#This Row],[Fault Time]])*24</f>
        <v>0</v>
      </c>
      <c r="AD20" s="27">
        <f>IFERROR((TA[[#This Row],[Work Completion time on fault]]-TA[[#This Row],[Fault Time]])*24,"")</f>
        <v>0</v>
      </c>
      <c r="AE20" t="s">
        <v>319</v>
      </c>
      <c r="AF20" t="s">
        <v>247</v>
      </c>
      <c r="AG20" s="2"/>
      <c r="AH20" s="35">
        <f>1-COS(RADIANS(TA[[#This Row],[Avg. Target Angle during Fault Time (Radians)]]-TA[[#This Row],[Angle of affected equipment ]]))</f>
        <v>0.11705240714107301</v>
      </c>
      <c r="AI20" s="27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43">
        <f t="shared" si="1"/>
        <v>2025</v>
      </c>
      <c r="C21" s="116">
        <f t="shared" si="2"/>
        <v>2025</v>
      </c>
      <c r="D21" s="2" t="s">
        <v>155</v>
      </c>
      <c r="E21" s="2" t="s">
        <v>155</v>
      </c>
      <c r="F21" s="30">
        <v>45717</v>
      </c>
      <c r="G21" s="2">
        <f>DAY(EOMONTH(TA[[#This Row],[Month Year]],0))</f>
        <v>31</v>
      </c>
      <c r="H21" s="21">
        <v>45746</v>
      </c>
      <c r="I21" s="32">
        <f>IFERROR(VLOOKUP(TA[[#This Row],[Date]],Raw_Data[[Date]:[Sunset Time (POA&lt;20 W/m2)]],3,0),"")</f>
        <v>0.26944444444444443</v>
      </c>
      <c r="J21" s="32">
        <f>IFERROR(VLOOKUP(TA[[#This Row],[Date]],Raw_Data[[Date]:[Sunset Time (POA&lt;20 W/m2)]],4,0),"")</f>
        <v>0.7583333333333333</v>
      </c>
      <c r="K21" s="27">
        <f>IFERROR((TA[[#This Row],[Sunset Time (POA&lt;20 W/m2)]]-TA[[#This Row],[Sunrise Time (POA&gt;20 W/m2)]])*24,"")</f>
        <v>11.733333333333333</v>
      </c>
      <c r="L21" s="2" t="s">
        <v>285</v>
      </c>
      <c r="M21" s="33">
        <f>IFERROR(VLOOKUP(TA[[#This Row],[Affected Equipment]],'Basic Data'!$I$2:$K$40,3,0),"")</f>
        <v>1.7241379310344799E-3</v>
      </c>
      <c r="N21">
        <v>-28</v>
      </c>
      <c r="O21" t="s">
        <v>135</v>
      </c>
      <c r="P21" s="114" t="s">
        <v>309</v>
      </c>
      <c r="Q21" s="113" t="s">
        <v>309</v>
      </c>
      <c r="R21">
        <v>131</v>
      </c>
      <c r="S21" s="2">
        <v>38</v>
      </c>
      <c r="T21" t="s">
        <v>286</v>
      </c>
      <c r="U21" t="s">
        <v>291</v>
      </c>
      <c r="V21" t="s">
        <v>289</v>
      </c>
      <c r="W21" s="32"/>
      <c r="X21" s="32"/>
      <c r="Y21" s="26"/>
      <c r="Z21" s="26"/>
      <c r="AA21" s="27">
        <f>IF(TA[[#This Row],[Work Start time on Fault]]="NA","",(TA[[#This Row],[Fault Acknowledgement Time ]]-TA[[#This Row],[Fault Time]])*24)</f>
        <v>0</v>
      </c>
      <c r="AB21" s="27">
        <f>(TA[[#This Row],[Work Start time on Fault]]-TA[[#This Row],[Fault Time]])*24</f>
        <v>0</v>
      </c>
      <c r="AC21" s="26">
        <f>(TA[[#This Row],[Work Completion time on fault]]-TA[[#This Row],[Fault Time]])*24</f>
        <v>0</v>
      </c>
      <c r="AD21" s="27">
        <f>IFERROR((TA[[#This Row],[Work Completion time on fault]]-TA[[#This Row],[Fault Time]])*24,"")</f>
        <v>0</v>
      </c>
      <c r="AE21" t="s">
        <v>319</v>
      </c>
      <c r="AF21" t="s">
        <v>247</v>
      </c>
      <c r="AG21" s="2"/>
      <c r="AH21" s="35">
        <f>1-COS(RADIANS(TA[[#This Row],[Avg. Target Angle during Fault Time (Radians)]]-TA[[#This Row],[Angle of affected equipment ]]))</f>
        <v>0.11705240714107301</v>
      </c>
      <c r="AI21" s="27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43">
        <f t="shared" si="1"/>
        <v>2025</v>
      </c>
      <c r="C22" s="116">
        <f t="shared" si="2"/>
        <v>2025</v>
      </c>
      <c r="D22" s="2" t="s">
        <v>155</v>
      </c>
      <c r="E22" s="2" t="s">
        <v>155</v>
      </c>
      <c r="F22" s="30">
        <v>45717</v>
      </c>
      <c r="G22" s="2">
        <f>DAY(EOMONTH(TA[[#This Row],[Month Year]],0))</f>
        <v>31</v>
      </c>
      <c r="H22" s="21">
        <v>45746</v>
      </c>
      <c r="I22" s="32">
        <f>IFERROR(VLOOKUP(TA[[#This Row],[Date]],Raw_Data[[Date]:[Sunset Time (POA&lt;20 W/m2)]],3,0),"")</f>
        <v>0.26944444444444443</v>
      </c>
      <c r="J22" s="32">
        <f>IFERROR(VLOOKUP(TA[[#This Row],[Date]],Raw_Data[[Date]:[Sunset Time (POA&lt;20 W/m2)]],4,0),"")</f>
        <v>0.7583333333333333</v>
      </c>
      <c r="K22" s="27">
        <f>IFERROR((TA[[#This Row],[Sunset Time (POA&lt;20 W/m2)]]-TA[[#This Row],[Sunrise Time (POA&gt;20 W/m2)]])*24,"")</f>
        <v>11.733333333333333</v>
      </c>
      <c r="L22" s="2" t="s">
        <v>285</v>
      </c>
      <c r="M22" s="33">
        <f>IFERROR(VLOOKUP(TA[[#This Row],[Affected Equipment]],'Basic Data'!$I$2:$K$40,3,0),"")</f>
        <v>1.7241379310344799E-3</v>
      </c>
      <c r="N22">
        <v>-28</v>
      </c>
      <c r="O22" t="s">
        <v>135</v>
      </c>
      <c r="P22" s="114" t="s">
        <v>309</v>
      </c>
      <c r="Q22" s="113" t="s">
        <v>309</v>
      </c>
      <c r="R22">
        <v>131</v>
      </c>
      <c r="S22" s="2">
        <v>39</v>
      </c>
      <c r="T22" t="s">
        <v>286</v>
      </c>
      <c r="U22" t="s">
        <v>291</v>
      </c>
      <c r="V22" t="s">
        <v>289</v>
      </c>
      <c r="W22" s="32"/>
      <c r="X22" s="32"/>
      <c r="Y22" s="26"/>
      <c r="Z22" s="26"/>
      <c r="AA22" s="27">
        <f>IF(TA[[#This Row],[Work Start time on Fault]]="NA","",(TA[[#This Row],[Fault Acknowledgement Time ]]-TA[[#This Row],[Fault Time]])*24)</f>
        <v>0</v>
      </c>
      <c r="AB22" s="27">
        <f>(TA[[#This Row],[Work Start time on Fault]]-TA[[#This Row],[Fault Time]])*24</f>
        <v>0</v>
      </c>
      <c r="AC22" s="26">
        <f>(TA[[#This Row],[Work Completion time on fault]]-TA[[#This Row],[Fault Time]])*24</f>
        <v>0</v>
      </c>
      <c r="AD22" s="27">
        <f>IFERROR((TA[[#This Row],[Work Completion time on fault]]-TA[[#This Row],[Fault Time]])*24,"")</f>
        <v>0</v>
      </c>
      <c r="AE22" t="s">
        <v>319</v>
      </c>
      <c r="AF22" t="s">
        <v>247</v>
      </c>
      <c r="AG22" s="2"/>
      <c r="AH22" s="35">
        <f>1-COS(RADIANS(TA[[#This Row],[Avg. Target Angle during Fault Time (Radians)]]-TA[[#This Row],[Angle of affected equipment ]]))</f>
        <v>0.11705240714107301</v>
      </c>
      <c r="AI22" s="27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43">
        <f t="shared" si="1"/>
        <v>2025</v>
      </c>
      <c r="C23" s="116">
        <f t="shared" si="2"/>
        <v>2025</v>
      </c>
      <c r="D23" s="2" t="s">
        <v>155</v>
      </c>
      <c r="E23" s="2" t="s">
        <v>155</v>
      </c>
      <c r="F23" s="30">
        <v>45717</v>
      </c>
      <c r="G23" s="2">
        <f>DAY(EOMONTH(TA[[#This Row],[Month Year]],0))</f>
        <v>31</v>
      </c>
      <c r="H23" s="21">
        <v>45746</v>
      </c>
      <c r="I23" s="32">
        <f>IFERROR(VLOOKUP(TA[[#This Row],[Date]],Raw_Data[[Date]:[Sunset Time (POA&lt;20 W/m2)]],3,0),"")</f>
        <v>0.26944444444444443</v>
      </c>
      <c r="J23" s="32">
        <f>IFERROR(VLOOKUP(TA[[#This Row],[Date]],Raw_Data[[Date]:[Sunset Time (POA&lt;20 W/m2)]],4,0),"")</f>
        <v>0.7583333333333333</v>
      </c>
      <c r="K23" s="27">
        <f>IFERROR((TA[[#This Row],[Sunset Time (POA&lt;20 W/m2)]]-TA[[#This Row],[Sunrise Time (POA&gt;20 W/m2)]])*24,"")</f>
        <v>11.733333333333333</v>
      </c>
      <c r="L23" s="2" t="s">
        <v>287</v>
      </c>
      <c r="M23" s="33">
        <f>IFERROR(VLOOKUP(TA[[#This Row],[Affected Equipment]],'Basic Data'!$I$2:$K$40,3,0),"")</f>
        <v>8.6206896551724102E-3</v>
      </c>
      <c r="N23">
        <v>-28</v>
      </c>
      <c r="O23" t="s">
        <v>135</v>
      </c>
      <c r="P23" s="114" t="s">
        <v>309</v>
      </c>
      <c r="Q23" s="2" t="s">
        <v>312</v>
      </c>
      <c r="R23">
        <v>133</v>
      </c>
      <c r="S23" s="2">
        <v>26</v>
      </c>
      <c r="T23" t="s">
        <v>288</v>
      </c>
      <c r="U23" t="s">
        <v>291</v>
      </c>
      <c r="V23" t="s">
        <v>305</v>
      </c>
      <c r="W23" s="32"/>
      <c r="X23" s="32"/>
      <c r="Y23" s="26"/>
      <c r="Z23" s="26"/>
      <c r="AA23" s="27">
        <f>IF(TA[[#This Row],[Work Start time on Fault]]="NA","",(TA[[#This Row],[Fault Acknowledgement Time ]]-TA[[#This Row],[Fault Time]])*24)</f>
        <v>0</v>
      </c>
      <c r="AB23" s="27">
        <f>(TA[[#This Row],[Work Start time on Fault]]-TA[[#This Row],[Fault Time]])*24</f>
        <v>0</v>
      </c>
      <c r="AC23" s="26">
        <f>(TA[[#This Row],[Work Completion time on fault]]-TA[[#This Row],[Fault Time]])*24</f>
        <v>0</v>
      </c>
      <c r="AD23" s="27">
        <f>IFERROR((TA[[#This Row],[Work Completion time on fault]]-TA[[#This Row],[Fault Time]])*24,"")</f>
        <v>0</v>
      </c>
      <c r="AE23" t="s">
        <v>319</v>
      </c>
      <c r="AF23" t="s">
        <v>247</v>
      </c>
      <c r="AG23" s="2"/>
      <c r="AH23" s="35">
        <f>1-COS(RADIANS(TA[[#This Row],[Avg. Target Angle during Fault Time (Radians)]]-TA[[#This Row],[Angle of affected equipment ]]))</f>
        <v>0.11705240714107301</v>
      </c>
      <c r="AI23" s="27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43">
        <f t="shared" si="1"/>
        <v>2025</v>
      </c>
      <c r="C24" s="116">
        <f t="shared" si="2"/>
        <v>2025</v>
      </c>
      <c r="D24" s="2" t="s">
        <v>155</v>
      </c>
      <c r="E24" s="2" t="s">
        <v>155</v>
      </c>
      <c r="F24" s="30">
        <v>45717</v>
      </c>
      <c r="G24" s="2">
        <f>DAY(EOMONTH(TA[[#This Row],[Month Year]],0))</f>
        <v>31</v>
      </c>
      <c r="H24" s="21">
        <v>45746</v>
      </c>
      <c r="I24" s="32">
        <f>IFERROR(VLOOKUP(TA[[#This Row],[Date]],Raw_Data[[Date]:[Sunset Time (POA&lt;20 W/m2)]],3,0),"")</f>
        <v>0.26944444444444443</v>
      </c>
      <c r="J24" s="32">
        <f>IFERROR(VLOOKUP(TA[[#This Row],[Date]],Raw_Data[[Date]:[Sunset Time (POA&lt;20 W/m2)]],4,0),"")</f>
        <v>0.7583333333333333</v>
      </c>
      <c r="K24" s="27">
        <f>IFERROR((TA[[#This Row],[Sunset Time (POA&lt;20 W/m2)]]-TA[[#This Row],[Sunrise Time (POA&gt;20 W/m2)]])*24,"")</f>
        <v>11.733333333333333</v>
      </c>
      <c r="L24" s="2" t="s">
        <v>285</v>
      </c>
      <c r="M24" s="33">
        <f>IFERROR(VLOOKUP(TA[[#This Row],[Affected Equipment]],'Basic Data'!$I$2:$K$40,3,0),"")</f>
        <v>1.7241379310344799E-3</v>
      </c>
      <c r="N24">
        <v>-28</v>
      </c>
      <c r="O24" t="s">
        <v>133</v>
      </c>
      <c r="P24" s="114" t="s">
        <v>307</v>
      </c>
      <c r="Q24" s="113" t="s">
        <v>308</v>
      </c>
      <c r="R24">
        <v>7</v>
      </c>
      <c r="S24" s="2">
        <v>32</v>
      </c>
      <c r="T24" t="s">
        <v>286</v>
      </c>
      <c r="U24" t="s">
        <v>291</v>
      </c>
      <c r="V24" t="s">
        <v>289</v>
      </c>
      <c r="W24" s="32"/>
      <c r="X24" s="32"/>
      <c r="Y24" s="26"/>
      <c r="Z24" s="26"/>
      <c r="AA24" s="27">
        <f>IF(TA[[#This Row],[Work Start time on Fault]]="NA","",(TA[[#This Row],[Fault Acknowledgement Time ]]-TA[[#This Row],[Fault Time]])*24)</f>
        <v>0</v>
      </c>
      <c r="AB24" s="27">
        <f>(TA[[#This Row],[Work Start time on Fault]]-TA[[#This Row],[Fault Time]])*24</f>
        <v>0</v>
      </c>
      <c r="AC24" s="26">
        <f>(TA[[#This Row],[Work Completion time on fault]]-TA[[#This Row],[Fault Time]])*24</f>
        <v>0</v>
      </c>
      <c r="AD24" s="27">
        <f>IFERROR((TA[[#This Row],[Work Completion time on fault]]-TA[[#This Row],[Fault Time]])*24,"")</f>
        <v>0</v>
      </c>
      <c r="AE24" t="s">
        <v>319</v>
      </c>
      <c r="AF24" t="s">
        <v>247</v>
      </c>
      <c r="AG24" s="2"/>
      <c r="AH24" s="35">
        <f>1-COS(RADIANS(TA[[#This Row],[Avg. Target Angle during Fault Time (Radians)]]-TA[[#This Row],[Angle of affected equipment ]]))</f>
        <v>0.11705240714107301</v>
      </c>
      <c r="AI24" s="27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43">
        <f t="shared" si="1"/>
        <v>2025</v>
      </c>
      <c r="C25" s="116">
        <f t="shared" si="2"/>
        <v>2025</v>
      </c>
      <c r="D25" s="2" t="s">
        <v>155</v>
      </c>
      <c r="E25" s="2" t="s">
        <v>155</v>
      </c>
      <c r="F25" s="30">
        <v>45717</v>
      </c>
      <c r="G25" s="2">
        <f>DAY(EOMONTH(TA[[#This Row],[Month Year]],0))</f>
        <v>31</v>
      </c>
      <c r="H25" s="21">
        <v>45746</v>
      </c>
      <c r="I25" s="32">
        <f>IFERROR(VLOOKUP(TA[[#This Row],[Date]],Raw_Data[[Date]:[Sunset Time (POA&lt;20 W/m2)]],3,0),"")</f>
        <v>0.26944444444444443</v>
      </c>
      <c r="J25" s="32">
        <f>IFERROR(VLOOKUP(TA[[#This Row],[Date]],Raw_Data[[Date]:[Sunset Time (POA&lt;20 W/m2)]],4,0),"")</f>
        <v>0.7583333333333333</v>
      </c>
      <c r="K25" s="27">
        <f>IFERROR((TA[[#This Row],[Sunset Time (POA&lt;20 W/m2)]]-TA[[#This Row],[Sunrise Time (POA&gt;20 W/m2)]])*24,"")</f>
        <v>11.733333333333333</v>
      </c>
      <c r="L25" s="2" t="s">
        <v>285</v>
      </c>
      <c r="M25" s="33">
        <f>IFERROR(VLOOKUP(TA[[#This Row],[Affected Equipment]],'Basic Data'!$I$2:$K$40,3,0),"")</f>
        <v>1.7241379310344799E-3</v>
      </c>
      <c r="N25">
        <v>-28</v>
      </c>
      <c r="O25" t="s">
        <v>137</v>
      </c>
      <c r="P25" s="114" t="s">
        <v>306</v>
      </c>
      <c r="Q25" s="113" t="s">
        <v>310</v>
      </c>
      <c r="R25">
        <v>166</v>
      </c>
      <c r="S25" s="2">
        <v>91</v>
      </c>
      <c r="T25" t="s">
        <v>286</v>
      </c>
      <c r="U25" t="s">
        <v>291</v>
      </c>
      <c r="V25" t="s">
        <v>289</v>
      </c>
      <c r="W25" s="32"/>
      <c r="X25" s="32"/>
      <c r="Y25" s="26"/>
      <c r="Z25" s="26"/>
      <c r="AA25" s="27">
        <f>IF(TA[[#This Row],[Work Start time on Fault]]="NA","",(TA[[#This Row],[Fault Acknowledgement Time ]]-TA[[#This Row],[Fault Time]])*24)</f>
        <v>0</v>
      </c>
      <c r="AB25" s="27">
        <f>(TA[[#This Row],[Work Start time on Fault]]-TA[[#This Row],[Fault Time]])*24</f>
        <v>0</v>
      </c>
      <c r="AC25" s="26">
        <f>(TA[[#This Row],[Work Completion time on fault]]-TA[[#This Row],[Fault Time]])*24</f>
        <v>0</v>
      </c>
      <c r="AD25" s="27">
        <f>IFERROR((TA[[#This Row],[Work Completion time on fault]]-TA[[#This Row],[Fault Time]])*24,"")</f>
        <v>0</v>
      </c>
      <c r="AE25" t="s">
        <v>319</v>
      </c>
      <c r="AF25" t="s">
        <v>247</v>
      </c>
      <c r="AG25" s="2"/>
      <c r="AH25" s="35">
        <f>1-COS(RADIANS(TA[[#This Row],[Avg. Target Angle during Fault Time (Radians)]]-TA[[#This Row],[Angle of affected equipment ]]))</f>
        <v>0.11705240714107301</v>
      </c>
      <c r="AI25" s="27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43">
        <f t="shared" si="1"/>
        <v>2025</v>
      </c>
      <c r="C26" s="116">
        <f t="shared" si="2"/>
        <v>2025</v>
      </c>
      <c r="D26" s="2" t="s">
        <v>155</v>
      </c>
      <c r="E26" s="2" t="s">
        <v>155</v>
      </c>
      <c r="F26" s="30">
        <v>45717</v>
      </c>
      <c r="G26" s="2">
        <f>DAY(EOMONTH(TA[[#This Row],[Month Year]],0))</f>
        <v>31</v>
      </c>
      <c r="H26" s="21">
        <v>45746</v>
      </c>
      <c r="I26" s="32">
        <f>IFERROR(VLOOKUP(TA[[#This Row],[Date]],Raw_Data[[Date]:[Sunset Time (POA&lt;20 W/m2)]],3,0),"")</f>
        <v>0.26944444444444443</v>
      </c>
      <c r="J26" s="32">
        <f>IFERROR(VLOOKUP(TA[[#This Row],[Date]],Raw_Data[[Date]:[Sunset Time (POA&lt;20 W/m2)]],4,0),"")</f>
        <v>0.7583333333333333</v>
      </c>
      <c r="K26" s="27">
        <f>IFERROR((TA[[#This Row],[Sunset Time (POA&lt;20 W/m2)]]-TA[[#This Row],[Sunrise Time (POA&gt;20 W/m2)]])*24,"")</f>
        <v>11.733333333333333</v>
      </c>
      <c r="L26" s="2" t="s">
        <v>285</v>
      </c>
      <c r="M26" s="33">
        <f>IFERROR(VLOOKUP(TA[[#This Row],[Affected Equipment]],'Basic Data'!$I$2:$K$40,3,0),"")</f>
        <v>1.7241379310344799E-3</v>
      </c>
      <c r="N26">
        <v>-28</v>
      </c>
      <c r="O26" t="s">
        <v>133</v>
      </c>
      <c r="P26" s="114" t="s">
        <v>307</v>
      </c>
      <c r="Q26" s="113" t="s">
        <v>307</v>
      </c>
      <c r="R26">
        <v>117</v>
      </c>
      <c r="S26" s="2">
        <v>20</v>
      </c>
      <c r="T26" t="s">
        <v>286</v>
      </c>
      <c r="U26" t="s">
        <v>291</v>
      </c>
      <c r="V26" t="s">
        <v>289</v>
      </c>
      <c r="W26" s="32"/>
      <c r="X26" s="32"/>
      <c r="Y26" s="26"/>
      <c r="Z26" s="26"/>
      <c r="AA26" s="27">
        <f>IF(TA[[#This Row],[Work Start time on Fault]]="NA","",(TA[[#This Row],[Fault Acknowledgement Time ]]-TA[[#This Row],[Fault Time]])*24)</f>
        <v>0</v>
      </c>
      <c r="AB26" s="27">
        <f>(TA[[#This Row],[Work Start time on Fault]]-TA[[#This Row],[Fault Time]])*24</f>
        <v>0</v>
      </c>
      <c r="AC26" s="26">
        <f>(TA[[#This Row],[Work Completion time on fault]]-TA[[#This Row],[Fault Time]])*24</f>
        <v>0</v>
      </c>
      <c r="AD26" s="27">
        <f>IFERROR((TA[[#This Row],[Work Completion time on fault]]-TA[[#This Row],[Fault Time]])*24,"")</f>
        <v>0</v>
      </c>
      <c r="AE26" t="s">
        <v>319</v>
      </c>
      <c r="AF26" t="s">
        <v>247</v>
      </c>
      <c r="AG26" s="2"/>
      <c r="AH26" s="35">
        <f>1-COS(RADIANS(TA[[#This Row],[Avg. Target Angle during Fault Time (Radians)]]-TA[[#This Row],[Angle of affected equipment ]]))</f>
        <v>0.11705240714107301</v>
      </c>
      <c r="AI26" s="27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43">
        <f t="shared" si="1"/>
        <v>2025</v>
      </c>
      <c r="C27" s="116">
        <f t="shared" si="2"/>
        <v>2025</v>
      </c>
      <c r="D27" s="2" t="s">
        <v>155</v>
      </c>
      <c r="E27" s="2" t="s">
        <v>155</v>
      </c>
      <c r="F27" s="30">
        <v>45717</v>
      </c>
      <c r="G27" s="2">
        <f>DAY(EOMONTH(TA[[#This Row],[Month Year]],0))</f>
        <v>31</v>
      </c>
      <c r="H27" s="21">
        <v>45746</v>
      </c>
      <c r="I27" s="32">
        <f>IFERROR(VLOOKUP(TA[[#This Row],[Date]],Raw_Data[[Date]:[Sunset Time (POA&lt;20 W/m2)]],3,0),"")</f>
        <v>0.26944444444444443</v>
      </c>
      <c r="J27" s="32">
        <f>IFERROR(VLOOKUP(TA[[#This Row],[Date]],Raw_Data[[Date]:[Sunset Time (POA&lt;20 W/m2)]],4,0),"")</f>
        <v>0.7583333333333333</v>
      </c>
      <c r="K27" s="27">
        <f>IFERROR((TA[[#This Row],[Sunset Time (POA&lt;20 W/m2)]]-TA[[#This Row],[Sunrise Time (POA&gt;20 W/m2)]])*24,"")</f>
        <v>11.733333333333333</v>
      </c>
      <c r="L27" s="2" t="s">
        <v>285</v>
      </c>
      <c r="M27" s="33">
        <f>IFERROR(VLOOKUP(TA[[#This Row],[Affected Equipment]],'Basic Data'!$I$2:$K$40,3,0),"")</f>
        <v>1.7241379310344799E-3</v>
      </c>
      <c r="N27">
        <v>-28</v>
      </c>
      <c r="O27" t="s">
        <v>133</v>
      </c>
      <c r="P27" s="114" t="s">
        <v>307</v>
      </c>
      <c r="Q27" s="113" t="s">
        <v>307</v>
      </c>
      <c r="R27">
        <v>118</v>
      </c>
      <c r="S27" s="2">
        <v>22</v>
      </c>
      <c r="T27" t="s">
        <v>286</v>
      </c>
      <c r="U27" t="s">
        <v>291</v>
      </c>
      <c r="V27" t="s">
        <v>289</v>
      </c>
      <c r="W27" s="32"/>
      <c r="X27" s="32"/>
      <c r="Y27" s="26"/>
      <c r="Z27" s="26"/>
      <c r="AA27" s="27">
        <f>IF(TA[[#This Row],[Work Start time on Fault]]="NA","",(TA[[#This Row],[Fault Acknowledgement Time ]]-TA[[#This Row],[Fault Time]])*24)</f>
        <v>0</v>
      </c>
      <c r="AB27" s="27">
        <f>(TA[[#This Row],[Work Start time on Fault]]-TA[[#This Row],[Fault Time]])*24</f>
        <v>0</v>
      </c>
      <c r="AC27" s="26">
        <f>(TA[[#This Row],[Work Completion time on fault]]-TA[[#This Row],[Fault Time]])*24</f>
        <v>0</v>
      </c>
      <c r="AD27" s="27">
        <f>IFERROR((TA[[#This Row],[Work Completion time on fault]]-TA[[#This Row],[Fault Time]])*24,"")</f>
        <v>0</v>
      </c>
      <c r="AE27" t="s">
        <v>319</v>
      </c>
      <c r="AF27" t="s">
        <v>247</v>
      </c>
      <c r="AG27" s="2"/>
      <c r="AH27" s="35">
        <f>1-COS(RADIANS(TA[[#This Row],[Avg. Target Angle during Fault Time (Radians)]]-TA[[#This Row],[Angle of affected equipment ]]))</f>
        <v>0.11705240714107301</v>
      </c>
      <c r="AI27" s="27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43">
        <f t="shared" si="1"/>
        <v>2025</v>
      </c>
      <c r="C28" s="116">
        <f t="shared" si="2"/>
        <v>2025</v>
      </c>
      <c r="D28" s="2" t="s">
        <v>155</v>
      </c>
      <c r="E28" s="2" t="s">
        <v>155</v>
      </c>
      <c r="F28" s="30">
        <v>45413</v>
      </c>
      <c r="G28" s="2">
        <f>DAY(EOMONTH(TA[[#This Row],[Month Year]],0))</f>
        <v>31</v>
      </c>
      <c r="H28" s="21">
        <v>45746</v>
      </c>
      <c r="I28" s="32">
        <f>IFERROR(VLOOKUP(TA[[#This Row],[Date]],Raw_Data[[Date]:[Sunset Time (POA&lt;20 W/m2)]],3,0),"")</f>
        <v>0.26944444444444443</v>
      </c>
      <c r="J28" s="32">
        <f>IFERROR(VLOOKUP(TA[[#This Row],[Date]],Raw_Data[[Date]:[Sunset Time (POA&lt;20 W/m2)]],4,0),"")</f>
        <v>0.7583333333333333</v>
      </c>
      <c r="K28" s="27">
        <f>IFERROR((TA[[#This Row],[Sunset Time (POA&lt;20 W/m2)]]-TA[[#This Row],[Sunrise Time (POA&gt;20 W/m2)]])*24,"")</f>
        <v>11.733333333333333</v>
      </c>
      <c r="L28" s="2" t="s">
        <v>287</v>
      </c>
      <c r="M28" s="33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314</v>
      </c>
      <c r="Q28" s="2" t="s">
        <v>320</v>
      </c>
      <c r="R28">
        <v>45</v>
      </c>
      <c r="S28" s="2">
        <v>8</v>
      </c>
      <c r="T28" t="s">
        <v>288</v>
      </c>
      <c r="U28" t="s">
        <v>317</v>
      </c>
      <c r="V28" t="s">
        <v>292</v>
      </c>
      <c r="W28" s="32">
        <f>IFERROR(VLOOKUP(TA[[#This Row],[Date]],Raw_Data[[Date]:[Sunset Time (POA&lt;20 W/m2)]],3,0),"")</f>
        <v>0.26944444444444443</v>
      </c>
      <c r="X28" s="32">
        <f>IFERROR(VLOOKUP(TA[[#This Row],[Date]],Raw_Data[[Date]:[Sunset Time (POA&lt;20 W/m2)]],3,0),"")</f>
        <v>0.26944444444444443</v>
      </c>
      <c r="Y28" s="26"/>
      <c r="Z28" s="26">
        <v>0.76041666666666663</v>
      </c>
      <c r="AA28" s="27">
        <f>IF(TA[[#This Row],[Work Start time on Fault]]="NA","",(TA[[#This Row],[Fault Acknowledgement Time ]]-TA[[#This Row],[Fault Time]])*24)</f>
        <v>0</v>
      </c>
      <c r="AB28" s="27">
        <f>(TA[[#This Row],[Work Start time on Fault]]-TA[[#This Row],[Fault Time]])*24</f>
        <v>-6.4666666666666668</v>
      </c>
      <c r="AC28" s="26">
        <f>(TA[[#This Row],[Work Completion time on fault]]-TA[[#This Row],[Fault Time]])*24</f>
        <v>11.783333333333333</v>
      </c>
      <c r="AD28" s="27">
        <f>IFERROR((TA[[#This Row],[Work Completion time on fault]]-TA[[#This Row],[Fault Time]])*24,"")</f>
        <v>11.783333333333333</v>
      </c>
      <c r="AE28" t="s">
        <v>300</v>
      </c>
      <c r="AF28" t="s">
        <v>247</v>
      </c>
      <c r="AG28" s="2"/>
      <c r="AH28" s="35">
        <f>1-COS(RADIANS(TA[[#This Row],[Avg. Target Angle during Fault Time (Radians)]]-TA[[#This Row],[Angle of affected equipment ]]))</f>
        <v>0.11705240714107301</v>
      </c>
      <c r="AI28" s="27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43">
        <f t="shared" si="1"/>
        <v>2025</v>
      </c>
      <c r="C29" s="116">
        <f t="shared" si="2"/>
        <v>2025</v>
      </c>
      <c r="D29" s="2" t="s">
        <v>155</v>
      </c>
      <c r="E29" s="2" t="s">
        <v>155</v>
      </c>
      <c r="F29" s="30">
        <v>45413</v>
      </c>
      <c r="G29" s="2">
        <f>DAY(EOMONTH(TA[[#This Row],[Month Year]],0))</f>
        <v>31</v>
      </c>
      <c r="H29" s="21">
        <v>45746</v>
      </c>
      <c r="I29" s="32">
        <f>IFERROR(VLOOKUP(TA[[#This Row],[Date]],Raw_Data[[Date]:[Sunset Time (POA&lt;20 W/m2)]],3,0),"")</f>
        <v>0.26944444444444443</v>
      </c>
      <c r="J29" s="32">
        <f>IFERROR(VLOOKUP(TA[[#This Row],[Date]],Raw_Data[[Date]:[Sunset Time (POA&lt;20 W/m2)]],4,0),"")</f>
        <v>0.7583333333333333</v>
      </c>
      <c r="K29" s="27">
        <f>IFERROR((TA[[#This Row],[Sunset Time (POA&lt;20 W/m2)]]-TA[[#This Row],[Sunrise Time (POA&gt;20 W/m2)]])*24,"")</f>
        <v>11.733333333333333</v>
      </c>
      <c r="L29" s="2" t="s">
        <v>287</v>
      </c>
      <c r="M29" s="33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314</v>
      </c>
      <c r="Q29" s="2" t="s">
        <v>320</v>
      </c>
      <c r="R29">
        <v>47</v>
      </c>
      <c r="S29" s="2">
        <v>18</v>
      </c>
      <c r="T29" t="s">
        <v>288</v>
      </c>
      <c r="U29" t="s">
        <v>317</v>
      </c>
      <c r="V29" t="s">
        <v>292</v>
      </c>
      <c r="W29" s="32">
        <f>IFERROR(VLOOKUP(TA[[#This Row],[Date]],Raw_Data[[Date]:[Sunset Time (POA&lt;20 W/m2)]],3,0),"")</f>
        <v>0.26944444444444443</v>
      </c>
      <c r="X29" s="32">
        <f>IFERROR(VLOOKUP(TA[[#This Row],[Date]],Raw_Data[[Date]:[Sunset Time (POA&lt;20 W/m2)]],3,0),"")</f>
        <v>0.26944444444444443</v>
      </c>
      <c r="Y29" s="26"/>
      <c r="Z29" s="26">
        <v>0.76041666666666663</v>
      </c>
      <c r="AA29" s="27">
        <f>IF(TA[[#This Row],[Work Start time on Fault]]="NA","",(TA[[#This Row],[Fault Acknowledgement Time ]]-TA[[#This Row],[Fault Time]])*24)</f>
        <v>0</v>
      </c>
      <c r="AB29" s="27">
        <f>(TA[[#This Row],[Work Start time on Fault]]-TA[[#This Row],[Fault Time]])*24</f>
        <v>-6.4666666666666668</v>
      </c>
      <c r="AC29" s="26">
        <f>(TA[[#This Row],[Work Completion time on fault]]-TA[[#This Row],[Fault Time]])*24</f>
        <v>11.783333333333333</v>
      </c>
      <c r="AD29" s="27">
        <f>IFERROR((TA[[#This Row],[Work Completion time on fault]]-TA[[#This Row],[Fault Time]])*24,"")</f>
        <v>11.783333333333333</v>
      </c>
      <c r="AE29" t="s">
        <v>300</v>
      </c>
      <c r="AF29" t="s">
        <v>247</v>
      </c>
      <c r="AG29" s="2"/>
      <c r="AH29" s="35">
        <f>1-COS(RADIANS(TA[[#This Row],[Avg. Target Angle during Fault Time (Radians)]]-TA[[#This Row],[Angle of affected equipment ]]))</f>
        <v>0.11705240714107301</v>
      </c>
      <c r="AI29" s="27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43">
        <f t="shared" si="1"/>
        <v>2025</v>
      </c>
      <c r="C30" s="116">
        <f t="shared" si="2"/>
        <v>2025</v>
      </c>
      <c r="D30" s="2" t="s">
        <v>155</v>
      </c>
      <c r="E30" s="2" t="s">
        <v>155</v>
      </c>
      <c r="F30" s="30">
        <v>45413</v>
      </c>
      <c r="G30" s="2">
        <f>DAY(EOMONTH(TA[[#This Row],[Month Year]],0))</f>
        <v>31</v>
      </c>
      <c r="H30" s="21">
        <v>45746</v>
      </c>
      <c r="I30" s="32">
        <f>IFERROR(VLOOKUP(TA[[#This Row],[Date]],Raw_Data[[Date]:[Sunset Time (POA&lt;20 W/m2)]],3,0),"")</f>
        <v>0.26944444444444443</v>
      </c>
      <c r="J30" s="32">
        <f>IFERROR(VLOOKUP(TA[[#This Row],[Date]],Raw_Data[[Date]:[Sunset Time (POA&lt;20 W/m2)]],4,0),"")</f>
        <v>0.7583333333333333</v>
      </c>
      <c r="K30" s="27">
        <f>IFERROR((TA[[#This Row],[Sunset Time (POA&lt;20 W/m2)]]-TA[[#This Row],[Sunrise Time (POA&gt;20 W/m2)]])*24,"")</f>
        <v>11.733333333333333</v>
      </c>
      <c r="L30" s="2" t="s">
        <v>287</v>
      </c>
      <c r="M30" s="33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321</v>
      </c>
      <c r="Q30" s="2" t="s">
        <v>314</v>
      </c>
      <c r="R30">
        <v>30</v>
      </c>
      <c r="S30" s="2">
        <v>57</v>
      </c>
      <c r="T30" t="s">
        <v>288</v>
      </c>
      <c r="U30" t="s">
        <v>317</v>
      </c>
      <c r="V30" t="s">
        <v>292</v>
      </c>
      <c r="W30" s="32">
        <f>IFERROR(VLOOKUP(TA[[#This Row],[Date]],Raw_Data[[Date]:[Sunset Time (POA&lt;20 W/m2)]],3,0),"")</f>
        <v>0.26944444444444443</v>
      </c>
      <c r="X30" s="32">
        <f>IFERROR(VLOOKUP(TA[[#This Row],[Date]],Raw_Data[[Date]:[Sunset Time (POA&lt;20 W/m2)]],3,0),"")</f>
        <v>0.26944444444444443</v>
      </c>
      <c r="Y30" s="26"/>
      <c r="Z30" s="26">
        <v>0.76041666666666663</v>
      </c>
      <c r="AA30" s="27">
        <f>IF(TA[[#This Row],[Work Start time on Fault]]="NA","",(TA[[#This Row],[Fault Acknowledgement Time ]]-TA[[#This Row],[Fault Time]])*24)</f>
        <v>0</v>
      </c>
      <c r="AB30" s="27">
        <f>(TA[[#This Row],[Work Start time on Fault]]-TA[[#This Row],[Fault Time]])*24</f>
        <v>-6.4666666666666668</v>
      </c>
      <c r="AC30" s="26">
        <f>(TA[[#This Row],[Work Completion time on fault]]-TA[[#This Row],[Fault Time]])*24</f>
        <v>11.783333333333333</v>
      </c>
      <c r="AD30" s="27">
        <f>IFERROR((TA[[#This Row],[Work Completion time on fault]]-TA[[#This Row],[Fault Time]])*24,"")</f>
        <v>11.783333333333333</v>
      </c>
      <c r="AE30" t="s">
        <v>300</v>
      </c>
      <c r="AF30" t="s">
        <v>247</v>
      </c>
      <c r="AG30" s="2"/>
      <c r="AH30" s="35">
        <f>1-COS(RADIANS(TA[[#This Row],[Avg. Target Angle during Fault Time (Radians)]]-TA[[#This Row],[Angle of affected equipment ]]))</f>
        <v>0.11705240714107301</v>
      </c>
      <c r="AI30" s="27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43">
        <f t="shared" si="1"/>
        <v>2025</v>
      </c>
      <c r="C31" s="116">
        <f t="shared" si="2"/>
        <v>2025</v>
      </c>
      <c r="D31" s="2" t="s">
        <v>155</v>
      </c>
      <c r="E31" s="2" t="s">
        <v>155</v>
      </c>
      <c r="F31" s="30">
        <v>45413</v>
      </c>
      <c r="G31" s="2">
        <f>DAY(EOMONTH(TA[[#This Row],[Month Year]],0))</f>
        <v>31</v>
      </c>
      <c r="H31" s="21">
        <v>45746</v>
      </c>
      <c r="I31" s="32">
        <f>IFERROR(VLOOKUP(TA[[#This Row],[Date]],Raw_Data[[Date]:[Sunset Time (POA&lt;20 W/m2)]],3,0),"")</f>
        <v>0.26944444444444443</v>
      </c>
      <c r="J31" s="32">
        <f>IFERROR(VLOOKUP(TA[[#This Row],[Date]],Raw_Data[[Date]:[Sunset Time (POA&lt;20 W/m2)]],4,0),"")</f>
        <v>0.7583333333333333</v>
      </c>
      <c r="K31" s="27">
        <f>IFERROR((TA[[#This Row],[Sunset Time (POA&lt;20 W/m2)]]-TA[[#This Row],[Sunrise Time (POA&gt;20 W/m2)]])*24,"")</f>
        <v>11.733333333333333</v>
      </c>
      <c r="L31" s="2" t="s">
        <v>287</v>
      </c>
      <c r="M31" s="33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321</v>
      </c>
      <c r="Q31" s="2" t="s">
        <v>314</v>
      </c>
      <c r="R31">
        <v>31</v>
      </c>
      <c r="S31" s="2">
        <v>61</v>
      </c>
      <c r="T31" t="s">
        <v>288</v>
      </c>
      <c r="U31" t="s">
        <v>317</v>
      </c>
      <c r="V31" t="s">
        <v>292</v>
      </c>
      <c r="W31" s="32">
        <f>IFERROR(VLOOKUP(TA[[#This Row],[Date]],Raw_Data[[Date]:[Sunset Time (POA&lt;20 W/m2)]],3,0),"")</f>
        <v>0.26944444444444443</v>
      </c>
      <c r="X31" s="32">
        <f>IFERROR(VLOOKUP(TA[[#This Row],[Date]],Raw_Data[[Date]:[Sunset Time (POA&lt;20 W/m2)]],3,0),"")</f>
        <v>0.26944444444444443</v>
      </c>
      <c r="Y31" s="26"/>
      <c r="Z31" s="26">
        <v>0.76041666666666663</v>
      </c>
      <c r="AA31" s="27">
        <f>IF(TA[[#This Row],[Work Start time on Fault]]="NA","",(TA[[#This Row],[Fault Acknowledgement Time ]]-TA[[#This Row],[Fault Time]])*24)</f>
        <v>0</v>
      </c>
      <c r="AB31" s="27">
        <f>(TA[[#This Row],[Work Start time on Fault]]-TA[[#This Row],[Fault Time]])*24</f>
        <v>-6.4666666666666668</v>
      </c>
      <c r="AC31" s="26">
        <f>(TA[[#This Row],[Work Completion time on fault]]-TA[[#This Row],[Fault Time]])*24</f>
        <v>11.783333333333333</v>
      </c>
      <c r="AD31" s="27">
        <f>IFERROR((TA[[#This Row],[Work Completion time on fault]]-TA[[#This Row],[Fault Time]])*24,"")</f>
        <v>11.783333333333333</v>
      </c>
      <c r="AE31" t="s">
        <v>300</v>
      </c>
      <c r="AF31" t="s">
        <v>247</v>
      </c>
      <c r="AG31" s="2"/>
      <c r="AH31" s="35">
        <f>1-COS(RADIANS(TA[[#This Row],[Avg. Target Angle during Fault Time (Radians)]]-TA[[#This Row],[Angle of affected equipment ]]))</f>
        <v>0.11705240714107301</v>
      </c>
      <c r="AI31" s="27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43">
        <f t="shared" si="1"/>
        <v>2025</v>
      </c>
      <c r="C32" s="116">
        <f t="shared" si="2"/>
        <v>2025</v>
      </c>
      <c r="D32" s="2" t="s">
        <v>155</v>
      </c>
      <c r="E32" s="2" t="s">
        <v>155</v>
      </c>
      <c r="F32" s="30">
        <v>45413</v>
      </c>
      <c r="G32" s="2">
        <f>DAY(EOMONTH(TA[[#This Row],[Month Year]],0))</f>
        <v>31</v>
      </c>
      <c r="H32" s="21">
        <v>45746</v>
      </c>
      <c r="I32" s="32">
        <f>IFERROR(VLOOKUP(TA[[#This Row],[Date]],Raw_Data[[Date]:[Sunset Time (POA&lt;20 W/m2)]],3,0),"")</f>
        <v>0.26944444444444443</v>
      </c>
      <c r="J32" s="32">
        <f>IFERROR(VLOOKUP(TA[[#This Row],[Date]],Raw_Data[[Date]:[Sunset Time (POA&lt;20 W/m2)]],4,0),"")</f>
        <v>0.7583333333333333</v>
      </c>
      <c r="K32" s="27">
        <f>IFERROR((TA[[#This Row],[Sunset Time (POA&lt;20 W/m2)]]-TA[[#This Row],[Sunrise Time (POA&gt;20 W/m2)]])*24,"")</f>
        <v>11.733333333333333</v>
      </c>
      <c r="L32" s="2" t="s">
        <v>303</v>
      </c>
      <c r="M32" s="33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321</v>
      </c>
      <c r="Q32" s="2" t="s">
        <v>314</v>
      </c>
      <c r="R32">
        <v>26</v>
      </c>
      <c r="S32" s="2">
        <v>37</v>
      </c>
      <c r="T32" t="s">
        <v>288</v>
      </c>
      <c r="U32" t="s">
        <v>317</v>
      </c>
      <c r="V32" t="s">
        <v>292</v>
      </c>
      <c r="W32" s="32">
        <f>IFERROR(VLOOKUP(TA[[#This Row],[Date]],Raw_Data[[Date]:[Sunset Time (POA&lt;20 W/m2)]],3,0),"")</f>
        <v>0.26944444444444443</v>
      </c>
      <c r="X32" s="32">
        <f>IFERROR(VLOOKUP(TA[[#This Row],[Date]],Raw_Data[[Date]:[Sunset Time (POA&lt;20 W/m2)]],3,0),"")</f>
        <v>0.26944444444444443</v>
      </c>
      <c r="Y32" s="26"/>
      <c r="Z32" s="26">
        <v>0.76041666666666663</v>
      </c>
      <c r="AA32" s="27">
        <f>IF(TA[[#This Row],[Work Start time on Fault]]="NA","",(TA[[#This Row],[Fault Acknowledgement Time ]]-TA[[#This Row],[Fault Time]])*24)</f>
        <v>0</v>
      </c>
      <c r="AB32" s="27">
        <f>(TA[[#This Row],[Work Start time on Fault]]-TA[[#This Row],[Fault Time]])*24</f>
        <v>-6.4666666666666668</v>
      </c>
      <c r="AC32" s="26">
        <f>(TA[[#This Row],[Work Completion time on fault]]-TA[[#This Row],[Fault Time]])*24</f>
        <v>11.783333333333333</v>
      </c>
      <c r="AD32" s="27">
        <f>IFERROR((TA[[#This Row],[Work Completion time on fault]]-TA[[#This Row],[Fault Time]])*24,"")</f>
        <v>11.783333333333333</v>
      </c>
      <c r="AE32" t="s">
        <v>300</v>
      </c>
      <c r="AF32" t="s">
        <v>247</v>
      </c>
      <c r="AG32" s="2"/>
      <c r="AH32" s="35">
        <f>1-COS(RADIANS(TA[[#This Row],[Avg. Target Angle during Fault Time (Radians)]]-TA[[#This Row],[Angle of affected equipment ]]))</f>
        <v>0.11705240714107301</v>
      </c>
      <c r="AI32" s="27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43">
        <f t="shared" si="1"/>
        <v>2025</v>
      </c>
      <c r="C33" s="116">
        <f t="shared" si="2"/>
        <v>2025</v>
      </c>
      <c r="D33" s="2" t="s">
        <v>155</v>
      </c>
      <c r="E33" s="2" t="s">
        <v>155</v>
      </c>
      <c r="F33" s="30">
        <v>45413</v>
      </c>
      <c r="G33" s="2">
        <f>DAY(EOMONTH(TA[[#This Row],[Month Year]],0))</f>
        <v>31</v>
      </c>
      <c r="H33" s="21">
        <v>45746</v>
      </c>
      <c r="I33" s="32">
        <f>IFERROR(VLOOKUP(TA[[#This Row],[Date]],Raw_Data[[Date]:[Sunset Time (POA&lt;20 W/m2)]],3,0),"")</f>
        <v>0.26944444444444443</v>
      </c>
      <c r="J33" s="32">
        <f>IFERROR(VLOOKUP(TA[[#This Row],[Date]],Raw_Data[[Date]:[Sunset Time (POA&lt;20 W/m2)]],4,0),"")</f>
        <v>0.7583333333333333</v>
      </c>
      <c r="K33" s="27">
        <f>IFERROR((TA[[#This Row],[Sunset Time (POA&lt;20 W/m2)]]-TA[[#This Row],[Sunrise Time (POA&gt;20 W/m2)]])*24,"")</f>
        <v>11.733333333333333</v>
      </c>
      <c r="L33" s="2" t="s">
        <v>303</v>
      </c>
      <c r="M33" s="33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321</v>
      </c>
      <c r="Q33" s="2" t="s">
        <v>314</v>
      </c>
      <c r="R33">
        <v>27</v>
      </c>
      <c r="S33" s="2">
        <v>42</v>
      </c>
      <c r="T33" t="s">
        <v>288</v>
      </c>
      <c r="U33" t="s">
        <v>317</v>
      </c>
      <c r="V33" t="s">
        <v>292</v>
      </c>
      <c r="W33" s="32">
        <f>IFERROR(VLOOKUP(TA[[#This Row],[Date]],Raw_Data[[Date]:[Sunset Time (POA&lt;20 W/m2)]],3,0),"")</f>
        <v>0.26944444444444443</v>
      </c>
      <c r="X33" s="32">
        <f>IFERROR(VLOOKUP(TA[[#This Row],[Date]],Raw_Data[[Date]:[Sunset Time (POA&lt;20 W/m2)]],3,0),"")</f>
        <v>0.26944444444444443</v>
      </c>
      <c r="Y33" s="26"/>
      <c r="Z33" s="26">
        <v>0.76041666666666663</v>
      </c>
      <c r="AA33" s="27">
        <f>IF(TA[[#This Row],[Work Start time on Fault]]="NA","",(TA[[#This Row],[Fault Acknowledgement Time ]]-TA[[#This Row],[Fault Time]])*24)</f>
        <v>0</v>
      </c>
      <c r="AB33" s="27">
        <f>(TA[[#This Row],[Work Start time on Fault]]-TA[[#This Row],[Fault Time]])*24</f>
        <v>-6.4666666666666668</v>
      </c>
      <c r="AC33" s="26">
        <f>(TA[[#This Row],[Work Completion time on fault]]-TA[[#This Row],[Fault Time]])*24</f>
        <v>11.783333333333333</v>
      </c>
      <c r="AD33" s="27">
        <f>IFERROR((TA[[#This Row],[Work Completion time on fault]]-TA[[#This Row],[Fault Time]])*24,"")</f>
        <v>11.783333333333333</v>
      </c>
      <c r="AE33" t="s">
        <v>300</v>
      </c>
      <c r="AF33" t="s">
        <v>247</v>
      </c>
      <c r="AG33" s="2"/>
      <c r="AH33" s="35">
        <f>1-COS(RADIANS(TA[[#This Row],[Avg. Target Angle during Fault Time (Radians)]]-TA[[#This Row],[Angle of affected equipment ]]))</f>
        <v>0.11705240714107301</v>
      </c>
      <c r="AI33" s="27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43">
        <f t="shared" si="1"/>
        <v>2025</v>
      </c>
      <c r="C34" s="116">
        <f t="shared" si="2"/>
        <v>2025</v>
      </c>
      <c r="D34" s="2" t="s">
        <v>155</v>
      </c>
      <c r="E34" s="2" t="s">
        <v>155</v>
      </c>
      <c r="F34" s="30">
        <v>45717</v>
      </c>
      <c r="G34" s="2">
        <f>DAY(EOMONTH(TA[[#This Row],[Month Year]],0))</f>
        <v>31</v>
      </c>
      <c r="H34" s="21">
        <v>45747</v>
      </c>
      <c r="I34" s="32">
        <f>IFERROR(VLOOKUP(TA[[#This Row],[Date]],Raw_Data[[Date]:[Sunset Time (POA&lt;20 W/m2)]],3,0),"")</f>
        <v>0.27430555555555558</v>
      </c>
      <c r="J34" s="32">
        <f>IFERROR(VLOOKUP(TA[[#This Row],[Date]],Raw_Data[[Date]:[Sunset Time (POA&lt;20 W/m2)]],4,0),"")</f>
        <v>0.76388888888888884</v>
      </c>
      <c r="K34" s="27">
        <f>IFERROR((TA[[#This Row],[Sunset Time (POA&lt;20 W/m2)]]-TA[[#This Row],[Sunrise Time (POA&gt;20 W/m2)]])*24,"")</f>
        <v>11.749999999999998</v>
      </c>
      <c r="L34" s="2" t="s">
        <v>285</v>
      </c>
      <c r="M34" s="33">
        <f>IFERROR(VLOOKUP(TA[[#This Row],[Affected Equipment]],'Basic Data'!$I$2:$K$40,3,0),"")</f>
        <v>1.7241379310344799E-3</v>
      </c>
      <c r="N34">
        <v>-28</v>
      </c>
      <c r="O34" t="s">
        <v>135</v>
      </c>
      <c r="P34" s="114" t="s">
        <v>309</v>
      </c>
      <c r="Q34" s="113" t="s">
        <v>309</v>
      </c>
      <c r="R34">
        <v>130</v>
      </c>
      <c r="S34" s="2">
        <v>36</v>
      </c>
      <c r="T34" t="s">
        <v>286</v>
      </c>
      <c r="U34" t="s">
        <v>291</v>
      </c>
      <c r="V34" t="s">
        <v>289</v>
      </c>
      <c r="W34" s="32"/>
      <c r="X34" s="32"/>
      <c r="Y34" s="26"/>
      <c r="Z34" s="26"/>
      <c r="AA34" s="27">
        <f>IF(TA[[#This Row],[Work Start time on Fault]]="NA","",(TA[[#This Row],[Fault Acknowledgement Time ]]-TA[[#This Row],[Fault Time]])*24)</f>
        <v>0</v>
      </c>
      <c r="AB34" s="27">
        <f>(TA[[#This Row],[Work Start time on Fault]]-TA[[#This Row],[Fault Time]])*24</f>
        <v>0</v>
      </c>
      <c r="AC34" s="26">
        <f>(TA[[#This Row],[Work Completion time on fault]]-TA[[#This Row],[Fault Time]])*24</f>
        <v>0</v>
      </c>
      <c r="AD34" s="27">
        <f>IFERROR((TA[[#This Row],[Work Completion time on fault]]-TA[[#This Row],[Fault Time]])*24,"")</f>
        <v>0</v>
      </c>
      <c r="AE34" t="s">
        <v>319</v>
      </c>
      <c r="AF34" t="s">
        <v>247</v>
      </c>
      <c r="AG34" s="2"/>
      <c r="AH34" s="35">
        <f>1-COS(RADIANS(TA[[#This Row],[Avg. Target Angle during Fault Time (Radians)]]-TA[[#This Row],[Angle of affected equipment ]]))</f>
        <v>0.11705240714107301</v>
      </c>
      <c r="AI34" s="27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43">
        <f t="shared" si="1"/>
        <v>2025</v>
      </c>
      <c r="C35" s="116">
        <f t="shared" si="2"/>
        <v>2025</v>
      </c>
      <c r="D35" s="2" t="s">
        <v>155</v>
      </c>
      <c r="E35" s="2" t="s">
        <v>155</v>
      </c>
      <c r="F35" s="30">
        <v>45717</v>
      </c>
      <c r="G35" s="2">
        <f>DAY(EOMONTH(TA[[#This Row],[Month Year]],0))</f>
        <v>31</v>
      </c>
      <c r="H35" s="21">
        <v>45747</v>
      </c>
      <c r="I35" s="32">
        <f>IFERROR(VLOOKUP(TA[[#This Row],[Date]],Raw_Data[[Date]:[Sunset Time (POA&lt;20 W/m2)]],3,0),"")</f>
        <v>0.27430555555555558</v>
      </c>
      <c r="J35" s="32">
        <f>IFERROR(VLOOKUP(TA[[#This Row],[Date]],Raw_Data[[Date]:[Sunset Time (POA&lt;20 W/m2)]],4,0),"")</f>
        <v>0.76388888888888884</v>
      </c>
      <c r="K35" s="27">
        <f>IFERROR((TA[[#This Row],[Sunset Time (POA&lt;20 W/m2)]]-TA[[#This Row],[Sunrise Time (POA&gt;20 W/m2)]])*24,"")</f>
        <v>11.749999999999998</v>
      </c>
      <c r="L35" s="2" t="s">
        <v>285</v>
      </c>
      <c r="M35" s="33">
        <f>IFERROR(VLOOKUP(TA[[#This Row],[Affected Equipment]],'Basic Data'!$I$2:$K$40,3,0),"")</f>
        <v>1.7241379310344799E-3</v>
      </c>
      <c r="N35">
        <v>-28</v>
      </c>
      <c r="O35" t="s">
        <v>135</v>
      </c>
      <c r="P35" s="114" t="s">
        <v>309</v>
      </c>
      <c r="Q35" s="113" t="s">
        <v>309</v>
      </c>
      <c r="R35">
        <v>130</v>
      </c>
      <c r="S35" s="2">
        <v>37</v>
      </c>
      <c r="T35" t="s">
        <v>286</v>
      </c>
      <c r="U35" t="s">
        <v>291</v>
      </c>
      <c r="V35" t="s">
        <v>289</v>
      </c>
      <c r="W35" s="32"/>
      <c r="X35" s="32"/>
      <c r="Y35" s="26"/>
      <c r="Z35" s="26"/>
      <c r="AA35" s="27">
        <f>IF(TA[[#This Row],[Work Start time on Fault]]="NA","",(TA[[#This Row],[Fault Acknowledgement Time ]]-TA[[#This Row],[Fault Time]])*24)</f>
        <v>0</v>
      </c>
      <c r="AB35" s="27">
        <f>(TA[[#This Row],[Work Start time on Fault]]-TA[[#This Row],[Fault Time]])*24</f>
        <v>0</v>
      </c>
      <c r="AC35" s="26">
        <f>(TA[[#This Row],[Work Completion time on fault]]-TA[[#This Row],[Fault Time]])*24</f>
        <v>0</v>
      </c>
      <c r="AD35" s="27">
        <f>IFERROR((TA[[#This Row],[Work Completion time on fault]]-TA[[#This Row],[Fault Time]])*24,"")</f>
        <v>0</v>
      </c>
      <c r="AE35" t="s">
        <v>319</v>
      </c>
      <c r="AF35" t="s">
        <v>247</v>
      </c>
      <c r="AG35" s="2"/>
      <c r="AH35" s="35">
        <f>1-COS(RADIANS(TA[[#This Row],[Avg. Target Angle during Fault Time (Radians)]]-TA[[#This Row],[Angle of affected equipment ]]))</f>
        <v>0.11705240714107301</v>
      </c>
      <c r="AI35" s="27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43">
        <f t="shared" si="1"/>
        <v>2025</v>
      </c>
      <c r="C36" s="116">
        <f t="shared" si="2"/>
        <v>2025</v>
      </c>
      <c r="D36" s="2" t="s">
        <v>155</v>
      </c>
      <c r="E36" s="2" t="s">
        <v>155</v>
      </c>
      <c r="F36" s="30">
        <v>45717</v>
      </c>
      <c r="G36" s="2">
        <f>DAY(EOMONTH(TA[[#This Row],[Month Year]],0))</f>
        <v>31</v>
      </c>
      <c r="H36" s="21">
        <v>45747</v>
      </c>
      <c r="I36" s="32">
        <f>IFERROR(VLOOKUP(TA[[#This Row],[Date]],Raw_Data[[Date]:[Sunset Time (POA&lt;20 W/m2)]],3,0),"")</f>
        <v>0.27430555555555558</v>
      </c>
      <c r="J36" s="32">
        <f>IFERROR(VLOOKUP(TA[[#This Row],[Date]],Raw_Data[[Date]:[Sunset Time (POA&lt;20 W/m2)]],4,0),"")</f>
        <v>0.76388888888888884</v>
      </c>
      <c r="K36" s="27">
        <f>IFERROR((TA[[#This Row],[Sunset Time (POA&lt;20 W/m2)]]-TA[[#This Row],[Sunrise Time (POA&gt;20 W/m2)]])*24,"")</f>
        <v>11.749999999999998</v>
      </c>
      <c r="L36" s="2" t="s">
        <v>285</v>
      </c>
      <c r="M36" s="33">
        <f>IFERROR(VLOOKUP(TA[[#This Row],[Affected Equipment]],'Basic Data'!$I$2:$K$40,3,0),"")</f>
        <v>1.7241379310344799E-3</v>
      </c>
      <c r="N36">
        <v>-28</v>
      </c>
      <c r="O36" t="s">
        <v>135</v>
      </c>
      <c r="P36" s="114" t="s">
        <v>309</v>
      </c>
      <c r="Q36" s="113" t="s">
        <v>309</v>
      </c>
      <c r="R36">
        <v>131</v>
      </c>
      <c r="S36" s="2">
        <v>38</v>
      </c>
      <c r="T36" t="s">
        <v>286</v>
      </c>
      <c r="U36" t="s">
        <v>291</v>
      </c>
      <c r="V36" t="s">
        <v>289</v>
      </c>
      <c r="W36" s="32"/>
      <c r="X36" s="32"/>
      <c r="Y36" s="26"/>
      <c r="Z36" s="26"/>
      <c r="AA36" s="27">
        <f>IF(TA[[#This Row],[Work Start time on Fault]]="NA","",(TA[[#This Row],[Fault Acknowledgement Time ]]-TA[[#This Row],[Fault Time]])*24)</f>
        <v>0</v>
      </c>
      <c r="AB36" s="27">
        <f>(TA[[#This Row],[Work Start time on Fault]]-TA[[#This Row],[Fault Time]])*24</f>
        <v>0</v>
      </c>
      <c r="AC36" s="26">
        <f>(TA[[#This Row],[Work Completion time on fault]]-TA[[#This Row],[Fault Time]])*24</f>
        <v>0</v>
      </c>
      <c r="AD36" s="27">
        <f>IFERROR((TA[[#This Row],[Work Completion time on fault]]-TA[[#This Row],[Fault Time]])*24,"")</f>
        <v>0</v>
      </c>
      <c r="AE36" t="s">
        <v>319</v>
      </c>
      <c r="AF36" t="s">
        <v>247</v>
      </c>
      <c r="AG36" s="2"/>
      <c r="AH36" s="35">
        <f>1-COS(RADIANS(TA[[#This Row],[Avg. Target Angle during Fault Time (Radians)]]-TA[[#This Row],[Angle of affected equipment ]]))</f>
        <v>0.11705240714107301</v>
      </c>
      <c r="AI36" s="27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43">
        <f t="shared" si="1"/>
        <v>2025</v>
      </c>
      <c r="C37" s="116">
        <f t="shared" si="2"/>
        <v>2025</v>
      </c>
      <c r="D37" s="2" t="s">
        <v>155</v>
      </c>
      <c r="E37" s="2" t="s">
        <v>155</v>
      </c>
      <c r="F37" s="30">
        <v>45717</v>
      </c>
      <c r="G37" s="2">
        <f>DAY(EOMONTH(TA[[#This Row],[Month Year]],0))</f>
        <v>31</v>
      </c>
      <c r="H37" s="21">
        <v>45747</v>
      </c>
      <c r="I37" s="32">
        <f>IFERROR(VLOOKUP(TA[[#This Row],[Date]],Raw_Data[[Date]:[Sunset Time (POA&lt;20 W/m2)]],3,0),"")</f>
        <v>0.27430555555555558</v>
      </c>
      <c r="J37" s="32">
        <f>IFERROR(VLOOKUP(TA[[#This Row],[Date]],Raw_Data[[Date]:[Sunset Time (POA&lt;20 W/m2)]],4,0),"")</f>
        <v>0.76388888888888884</v>
      </c>
      <c r="K37" s="27">
        <f>IFERROR((TA[[#This Row],[Sunset Time (POA&lt;20 W/m2)]]-TA[[#This Row],[Sunrise Time (POA&gt;20 W/m2)]])*24,"")</f>
        <v>11.749999999999998</v>
      </c>
      <c r="L37" s="2" t="s">
        <v>285</v>
      </c>
      <c r="M37" s="33">
        <f>IFERROR(VLOOKUP(TA[[#This Row],[Affected Equipment]],'Basic Data'!$I$2:$K$40,3,0),"")</f>
        <v>1.7241379310344799E-3</v>
      </c>
      <c r="N37">
        <v>-28</v>
      </c>
      <c r="O37" t="s">
        <v>135</v>
      </c>
      <c r="P37" s="114" t="s">
        <v>309</v>
      </c>
      <c r="Q37" s="113" t="s">
        <v>309</v>
      </c>
      <c r="R37">
        <v>131</v>
      </c>
      <c r="S37" s="2">
        <v>39</v>
      </c>
      <c r="T37" t="s">
        <v>286</v>
      </c>
      <c r="U37" t="s">
        <v>291</v>
      </c>
      <c r="V37" t="s">
        <v>289</v>
      </c>
      <c r="W37" s="32"/>
      <c r="X37" s="32"/>
      <c r="Y37" s="26"/>
      <c r="Z37" s="26"/>
      <c r="AA37" s="27">
        <f>IF(TA[[#This Row],[Work Start time on Fault]]="NA","",(TA[[#This Row],[Fault Acknowledgement Time ]]-TA[[#This Row],[Fault Time]])*24)</f>
        <v>0</v>
      </c>
      <c r="AB37" s="27">
        <f>(TA[[#This Row],[Work Start time on Fault]]-TA[[#This Row],[Fault Time]])*24</f>
        <v>0</v>
      </c>
      <c r="AC37" s="26">
        <f>(TA[[#This Row],[Work Completion time on fault]]-TA[[#This Row],[Fault Time]])*24</f>
        <v>0</v>
      </c>
      <c r="AD37" s="27">
        <f>IFERROR((TA[[#This Row],[Work Completion time on fault]]-TA[[#This Row],[Fault Time]])*24,"")</f>
        <v>0</v>
      </c>
      <c r="AE37" t="s">
        <v>319</v>
      </c>
      <c r="AF37" t="s">
        <v>247</v>
      </c>
      <c r="AG37" s="2"/>
      <c r="AH37" s="35">
        <f>1-COS(RADIANS(TA[[#This Row],[Avg. Target Angle during Fault Time (Radians)]]-TA[[#This Row],[Angle of affected equipment ]]))</f>
        <v>0.11705240714107301</v>
      </c>
      <c r="AI37" s="27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43">
        <f t="shared" si="1"/>
        <v>2025</v>
      </c>
      <c r="C38" s="116">
        <f t="shared" si="2"/>
        <v>2025</v>
      </c>
      <c r="D38" s="2" t="s">
        <v>155</v>
      </c>
      <c r="E38" s="2" t="s">
        <v>155</v>
      </c>
      <c r="F38" s="30">
        <v>45717</v>
      </c>
      <c r="G38" s="2">
        <f>DAY(EOMONTH(TA[[#This Row],[Month Year]],0))</f>
        <v>31</v>
      </c>
      <c r="H38" s="21">
        <v>45747</v>
      </c>
      <c r="I38" s="32">
        <f>IFERROR(VLOOKUP(TA[[#This Row],[Date]],Raw_Data[[Date]:[Sunset Time (POA&lt;20 W/m2)]],3,0),"")</f>
        <v>0.27430555555555558</v>
      </c>
      <c r="J38" s="32">
        <f>IFERROR(VLOOKUP(TA[[#This Row],[Date]],Raw_Data[[Date]:[Sunset Time (POA&lt;20 W/m2)]],4,0),"")</f>
        <v>0.76388888888888884</v>
      </c>
      <c r="K38" s="27">
        <f>IFERROR((TA[[#This Row],[Sunset Time (POA&lt;20 W/m2)]]-TA[[#This Row],[Sunrise Time (POA&gt;20 W/m2)]])*24,"")</f>
        <v>11.749999999999998</v>
      </c>
      <c r="L38" s="2" t="s">
        <v>287</v>
      </c>
      <c r="M38" s="33">
        <f>IFERROR(VLOOKUP(TA[[#This Row],[Affected Equipment]],'Basic Data'!$I$2:$K$40,3,0),"")</f>
        <v>8.6206896551724102E-3</v>
      </c>
      <c r="N38">
        <v>-28</v>
      </c>
      <c r="O38" t="s">
        <v>135</v>
      </c>
      <c r="P38" s="114" t="s">
        <v>309</v>
      </c>
      <c r="Q38" s="2" t="s">
        <v>312</v>
      </c>
      <c r="R38">
        <v>133</v>
      </c>
      <c r="S38" s="2">
        <v>26</v>
      </c>
      <c r="T38" t="s">
        <v>288</v>
      </c>
      <c r="U38" t="s">
        <v>291</v>
      </c>
      <c r="V38" t="s">
        <v>305</v>
      </c>
      <c r="W38" s="32"/>
      <c r="X38" s="32"/>
      <c r="Y38" s="26"/>
      <c r="Z38" s="26"/>
      <c r="AA38" s="27">
        <f>IF(TA[[#This Row],[Work Start time on Fault]]="NA","",(TA[[#This Row],[Fault Acknowledgement Time ]]-TA[[#This Row],[Fault Time]])*24)</f>
        <v>0</v>
      </c>
      <c r="AB38" s="27">
        <f>(TA[[#This Row],[Work Start time on Fault]]-TA[[#This Row],[Fault Time]])*24</f>
        <v>0</v>
      </c>
      <c r="AC38" s="26">
        <f>(TA[[#This Row],[Work Completion time on fault]]-TA[[#This Row],[Fault Time]])*24</f>
        <v>0</v>
      </c>
      <c r="AD38" s="27">
        <f>IFERROR((TA[[#This Row],[Work Completion time on fault]]-TA[[#This Row],[Fault Time]])*24,"")</f>
        <v>0</v>
      </c>
      <c r="AE38" t="s">
        <v>319</v>
      </c>
      <c r="AF38" t="s">
        <v>247</v>
      </c>
      <c r="AG38" s="2"/>
      <c r="AH38" s="35">
        <f>1-COS(RADIANS(TA[[#This Row],[Avg. Target Angle during Fault Time (Radians)]]-TA[[#This Row],[Angle of affected equipment ]]))</f>
        <v>0.11705240714107301</v>
      </c>
      <c r="AI38" s="27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43">
        <f t="shared" si="1"/>
        <v>2025</v>
      </c>
      <c r="C39" s="116">
        <f t="shared" si="2"/>
        <v>2025</v>
      </c>
      <c r="D39" s="2" t="s">
        <v>155</v>
      </c>
      <c r="E39" s="2" t="s">
        <v>155</v>
      </c>
      <c r="F39" s="30">
        <v>45717</v>
      </c>
      <c r="G39" s="2">
        <f>DAY(EOMONTH(TA[[#This Row],[Month Year]],0))</f>
        <v>31</v>
      </c>
      <c r="H39" s="21">
        <v>45747</v>
      </c>
      <c r="I39" s="32">
        <f>IFERROR(VLOOKUP(TA[[#This Row],[Date]],Raw_Data[[Date]:[Sunset Time (POA&lt;20 W/m2)]],3,0),"")</f>
        <v>0.27430555555555558</v>
      </c>
      <c r="J39" s="32">
        <f>IFERROR(VLOOKUP(TA[[#This Row],[Date]],Raw_Data[[Date]:[Sunset Time (POA&lt;20 W/m2)]],4,0),"")</f>
        <v>0.76388888888888884</v>
      </c>
      <c r="K39" s="27">
        <f>IFERROR((TA[[#This Row],[Sunset Time (POA&lt;20 W/m2)]]-TA[[#This Row],[Sunrise Time (POA&gt;20 W/m2)]])*24,"")</f>
        <v>11.749999999999998</v>
      </c>
      <c r="L39" s="2" t="s">
        <v>285</v>
      </c>
      <c r="M39" s="33">
        <f>IFERROR(VLOOKUP(TA[[#This Row],[Affected Equipment]],'Basic Data'!$I$2:$K$40,3,0),"")</f>
        <v>1.7241379310344799E-3</v>
      </c>
      <c r="N39">
        <v>-28</v>
      </c>
      <c r="O39" t="s">
        <v>133</v>
      </c>
      <c r="P39" s="114" t="s">
        <v>307</v>
      </c>
      <c r="Q39" s="113" t="s">
        <v>308</v>
      </c>
      <c r="R39">
        <v>7</v>
      </c>
      <c r="S39" s="2">
        <v>32</v>
      </c>
      <c r="T39" t="s">
        <v>286</v>
      </c>
      <c r="U39" t="s">
        <v>291</v>
      </c>
      <c r="V39" t="s">
        <v>289</v>
      </c>
      <c r="W39" s="32"/>
      <c r="X39" s="32"/>
      <c r="Y39" s="26"/>
      <c r="Z39" s="26"/>
      <c r="AA39" s="27">
        <f>IF(TA[[#This Row],[Work Start time on Fault]]="NA","",(TA[[#This Row],[Fault Acknowledgement Time ]]-TA[[#This Row],[Fault Time]])*24)</f>
        <v>0</v>
      </c>
      <c r="AB39" s="27">
        <f>(TA[[#This Row],[Work Start time on Fault]]-TA[[#This Row],[Fault Time]])*24</f>
        <v>0</v>
      </c>
      <c r="AC39" s="26">
        <f>(TA[[#This Row],[Work Completion time on fault]]-TA[[#This Row],[Fault Time]])*24</f>
        <v>0</v>
      </c>
      <c r="AD39" s="27">
        <f>IFERROR((TA[[#This Row],[Work Completion time on fault]]-TA[[#This Row],[Fault Time]])*24,"")</f>
        <v>0</v>
      </c>
      <c r="AE39" t="s">
        <v>319</v>
      </c>
      <c r="AF39" t="s">
        <v>247</v>
      </c>
      <c r="AG39" s="2"/>
      <c r="AH39" s="35">
        <f>1-COS(RADIANS(TA[[#This Row],[Avg. Target Angle during Fault Time (Radians)]]-TA[[#This Row],[Angle of affected equipment ]]))</f>
        <v>0.11705240714107301</v>
      </c>
      <c r="AI39" s="27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43">
        <f t="shared" si="1"/>
        <v>2025</v>
      </c>
      <c r="C40" s="116">
        <f t="shared" si="2"/>
        <v>2025</v>
      </c>
      <c r="D40" s="2" t="s">
        <v>155</v>
      </c>
      <c r="E40" s="2" t="s">
        <v>155</v>
      </c>
      <c r="F40" s="30">
        <v>45717</v>
      </c>
      <c r="G40" s="2">
        <f>DAY(EOMONTH(TA[[#This Row],[Month Year]],0))</f>
        <v>31</v>
      </c>
      <c r="H40" s="21">
        <v>45747</v>
      </c>
      <c r="I40" s="32">
        <f>IFERROR(VLOOKUP(TA[[#This Row],[Date]],Raw_Data[[Date]:[Sunset Time (POA&lt;20 W/m2)]],3,0),"")</f>
        <v>0.27430555555555558</v>
      </c>
      <c r="J40" s="32">
        <f>IFERROR(VLOOKUP(TA[[#This Row],[Date]],Raw_Data[[Date]:[Sunset Time (POA&lt;20 W/m2)]],4,0),"")</f>
        <v>0.76388888888888884</v>
      </c>
      <c r="K40" s="27">
        <f>IFERROR((TA[[#This Row],[Sunset Time (POA&lt;20 W/m2)]]-TA[[#This Row],[Sunrise Time (POA&gt;20 W/m2)]])*24,"")</f>
        <v>11.749999999999998</v>
      </c>
      <c r="L40" s="2" t="s">
        <v>285</v>
      </c>
      <c r="M40" s="33">
        <f>IFERROR(VLOOKUP(TA[[#This Row],[Affected Equipment]],'Basic Data'!$I$2:$K$40,3,0),"")</f>
        <v>1.7241379310344799E-3</v>
      </c>
      <c r="N40">
        <v>-28</v>
      </c>
      <c r="O40" t="s">
        <v>137</v>
      </c>
      <c r="P40" s="114" t="s">
        <v>306</v>
      </c>
      <c r="Q40" s="113" t="s">
        <v>310</v>
      </c>
      <c r="R40">
        <v>166</v>
      </c>
      <c r="S40" s="2">
        <v>91</v>
      </c>
      <c r="T40" t="s">
        <v>286</v>
      </c>
      <c r="U40" t="s">
        <v>291</v>
      </c>
      <c r="V40" t="s">
        <v>289</v>
      </c>
      <c r="W40" s="32"/>
      <c r="X40" s="32"/>
      <c r="Y40" s="26"/>
      <c r="Z40" s="26"/>
      <c r="AA40" s="27">
        <f>IF(TA[[#This Row],[Work Start time on Fault]]="NA","",(TA[[#This Row],[Fault Acknowledgement Time ]]-TA[[#This Row],[Fault Time]])*24)</f>
        <v>0</v>
      </c>
      <c r="AB40" s="27">
        <f>(TA[[#This Row],[Work Start time on Fault]]-TA[[#This Row],[Fault Time]])*24</f>
        <v>0</v>
      </c>
      <c r="AC40" s="26">
        <f>(TA[[#This Row],[Work Completion time on fault]]-TA[[#This Row],[Fault Time]])*24</f>
        <v>0</v>
      </c>
      <c r="AD40" s="27">
        <f>IFERROR((TA[[#This Row],[Work Completion time on fault]]-TA[[#This Row],[Fault Time]])*24,"")</f>
        <v>0</v>
      </c>
      <c r="AE40" t="s">
        <v>319</v>
      </c>
      <c r="AF40" t="s">
        <v>247</v>
      </c>
      <c r="AG40" s="2"/>
      <c r="AH40" s="35">
        <f>1-COS(RADIANS(TA[[#This Row],[Avg. Target Angle during Fault Time (Radians)]]-TA[[#This Row],[Angle of affected equipment ]]))</f>
        <v>0.11705240714107301</v>
      </c>
      <c r="AI40" s="27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43">
        <f t="shared" si="1"/>
        <v>2025</v>
      </c>
      <c r="C41" s="116">
        <f t="shared" si="2"/>
        <v>2025</v>
      </c>
      <c r="D41" s="2" t="s">
        <v>155</v>
      </c>
      <c r="E41" s="2" t="s">
        <v>155</v>
      </c>
      <c r="F41" s="30">
        <v>45717</v>
      </c>
      <c r="G41" s="2">
        <f>DAY(EOMONTH(TA[[#This Row],[Month Year]],0))</f>
        <v>31</v>
      </c>
      <c r="H41" s="21">
        <v>45747</v>
      </c>
      <c r="I41" s="32">
        <f>IFERROR(VLOOKUP(TA[[#This Row],[Date]],Raw_Data[[Date]:[Sunset Time (POA&lt;20 W/m2)]],3,0),"")</f>
        <v>0.27430555555555558</v>
      </c>
      <c r="J41" s="32">
        <f>IFERROR(VLOOKUP(TA[[#This Row],[Date]],Raw_Data[[Date]:[Sunset Time (POA&lt;20 W/m2)]],4,0),"")</f>
        <v>0.76388888888888884</v>
      </c>
      <c r="K41" s="27">
        <f>IFERROR((TA[[#This Row],[Sunset Time (POA&lt;20 W/m2)]]-TA[[#This Row],[Sunrise Time (POA&gt;20 W/m2)]])*24,"")</f>
        <v>11.749999999999998</v>
      </c>
      <c r="L41" s="2" t="s">
        <v>285</v>
      </c>
      <c r="M41" s="33">
        <f>IFERROR(VLOOKUP(TA[[#This Row],[Affected Equipment]],'Basic Data'!$I$2:$K$40,3,0),"")</f>
        <v>1.7241379310344799E-3</v>
      </c>
      <c r="N41">
        <v>-28</v>
      </c>
      <c r="O41" t="s">
        <v>133</v>
      </c>
      <c r="P41" s="114" t="s">
        <v>307</v>
      </c>
      <c r="Q41" s="113" t="s">
        <v>307</v>
      </c>
      <c r="R41">
        <v>117</v>
      </c>
      <c r="S41" s="2">
        <v>20</v>
      </c>
      <c r="T41" t="s">
        <v>286</v>
      </c>
      <c r="U41" t="s">
        <v>291</v>
      </c>
      <c r="V41" t="s">
        <v>289</v>
      </c>
      <c r="W41" s="32"/>
      <c r="X41" s="32"/>
      <c r="Y41" s="26"/>
      <c r="Z41" s="26"/>
      <c r="AA41" s="27">
        <f>IF(TA[[#This Row],[Work Start time on Fault]]="NA","",(TA[[#This Row],[Fault Acknowledgement Time ]]-TA[[#This Row],[Fault Time]])*24)</f>
        <v>0</v>
      </c>
      <c r="AB41" s="27">
        <f>(TA[[#This Row],[Work Start time on Fault]]-TA[[#This Row],[Fault Time]])*24</f>
        <v>0</v>
      </c>
      <c r="AC41" s="26">
        <f>(TA[[#This Row],[Work Completion time on fault]]-TA[[#This Row],[Fault Time]])*24</f>
        <v>0</v>
      </c>
      <c r="AD41" s="27">
        <f>IFERROR((TA[[#This Row],[Work Completion time on fault]]-TA[[#This Row],[Fault Time]])*24,"")</f>
        <v>0</v>
      </c>
      <c r="AE41" t="s">
        <v>319</v>
      </c>
      <c r="AF41" t="s">
        <v>247</v>
      </c>
      <c r="AG41" s="2"/>
      <c r="AH41" s="35">
        <f>1-COS(RADIANS(TA[[#This Row],[Avg. Target Angle during Fault Time (Radians)]]-TA[[#This Row],[Angle of affected equipment ]]))</f>
        <v>0.11705240714107301</v>
      </c>
      <c r="AI41" s="27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43">
        <f t="shared" si="1"/>
        <v>2025</v>
      </c>
      <c r="C42" s="116">
        <f t="shared" si="2"/>
        <v>2025</v>
      </c>
      <c r="D42" s="2" t="s">
        <v>155</v>
      </c>
      <c r="E42" s="2" t="s">
        <v>155</v>
      </c>
      <c r="F42" s="30">
        <v>45717</v>
      </c>
      <c r="G42" s="2">
        <f>DAY(EOMONTH(TA[[#This Row],[Month Year]],0))</f>
        <v>31</v>
      </c>
      <c r="H42" s="21">
        <v>45747</v>
      </c>
      <c r="I42" s="32">
        <f>IFERROR(VLOOKUP(TA[[#This Row],[Date]],Raw_Data[[Date]:[Sunset Time (POA&lt;20 W/m2)]],3,0),"")</f>
        <v>0.27430555555555558</v>
      </c>
      <c r="J42" s="32">
        <f>IFERROR(VLOOKUP(TA[[#This Row],[Date]],Raw_Data[[Date]:[Sunset Time (POA&lt;20 W/m2)]],4,0),"")</f>
        <v>0.76388888888888884</v>
      </c>
      <c r="K42" s="27">
        <f>IFERROR((TA[[#This Row],[Sunset Time (POA&lt;20 W/m2)]]-TA[[#This Row],[Sunrise Time (POA&gt;20 W/m2)]])*24,"")</f>
        <v>11.749999999999998</v>
      </c>
      <c r="L42" s="2" t="s">
        <v>285</v>
      </c>
      <c r="M42" s="33">
        <f>IFERROR(VLOOKUP(TA[[#This Row],[Affected Equipment]],'Basic Data'!$I$2:$K$40,3,0),"")</f>
        <v>1.7241379310344799E-3</v>
      </c>
      <c r="N42">
        <v>-28</v>
      </c>
      <c r="O42" t="s">
        <v>133</v>
      </c>
      <c r="P42" s="114" t="s">
        <v>307</v>
      </c>
      <c r="Q42" s="113" t="s">
        <v>307</v>
      </c>
      <c r="R42">
        <v>118</v>
      </c>
      <c r="S42" s="2">
        <v>22</v>
      </c>
      <c r="T42" t="s">
        <v>286</v>
      </c>
      <c r="U42" t="s">
        <v>291</v>
      </c>
      <c r="V42" t="s">
        <v>289</v>
      </c>
      <c r="W42" s="32"/>
      <c r="X42" s="32"/>
      <c r="Y42" s="26"/>
      <c r="Z42" s="26"/>
      <c r="AA42" s="27">
        <f>IF(TA[[#This Row],[Work Start time on Fault]]="NA","",(TA[[#This Row],[Fault Acknowledgement Time ]]-TA[[#This Row],[Fault Time]])*24)</f>
        <v>0</v>
      </c>
      <c r="AB42" s="27">
        <f>(TA[[#This Row],[Work Start time on Fault]]-TA[[#This Row],[Fault Time]])*24</f>
        <v>0</v>
      </c>
      <c r="AC42" s="26">
        <f>(TA[[#This Row],[Work Completion time on fault]]-TA[[#This Row],[Fault Time]])*24</f>
        <v>0</v>
      </c>
      <c r="AD42" s="27">
        <f>IFERROR((TA[[#This Row],[Work Completion time on fault]]-TA[[#This Row],[Fault Time]])*24,"")</f>
        <v>0</v>
      </c>
      <c r="AE42" t="s">
        <v>319</v>
      </c>
      <c r="AF42" t="s">
        <v>247</v>
      </c>
      <c r="AG42" s="2"/>
      <c r="AH42" s="35">
        <f>1-COS(RADIANS(TA[[#This Row],[Avg. Target Angle during Fault Time (Radians)]]-TA[[#This Row],[Angle of affected equipment ]]))</f>
        <v>0.11705240714107301</v>
      </c>
      <c r="AI42" s="27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43">
        <f t="shared" si="1"/>
        <v>2025</v>
      </c>
      <c r="C43" s="116">
        <f t="shared" si="2"/>
        <v>2025</v>
      </c>
      <c r="D43" s="2" t="s">
        <v>155</v>
      </c>
      <c r="E43" s="2" t="s">
        <v>155</v>
      </c>
      <c r="F43" s="30">
        <v>45413</v>
      </c>
      <c r="G43" s="2">
        <f>DAY(EOMONTH(TA[[#This Row],[Month Year]],0))</f>
        <v>31</v>
      </c>
      <c r="H43" s="21">
        <v>45747</v>
      </c>
      <c r="I43" s="32">
        <f>IFERROR(VLOOKUP(TA[[#This Row],[Date]],Raw_Data[[Date]:[Sunset Time (POA&lt;20 W/m2)]],3,0),"")</f>
        <v>0.27430555555555558</v>
      </c>
      <c r="J43" s="32">
        <f>IFERROR(VLOOKUP(TA[[#This Row],[Date]],Raw_Data[[Date]:[Sunset Time (POA&lt;20 W/m2)]],4,0),"")</f>
        <v>0.76388888888888884</v>
      </c>
      <c r="K43" s="27">
        <f>IFERROR((TA[[#This Row],[Sunset Time (POA&lt;20 W/m2)]]-TA[[#This Row],[Sunrise Time (POA&gt;20 W/m2)]])*24,"")</f>
        <v>11.749999999999998</v>
      </c>
      <c r="L43" s="2" t="s">
        <v>287</v>
      </c>
      <c r="M43" s="33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314</v>
      </c>
      <c r="Q43" s="2" t="s">
        <v>320</v>
      </c>
      <c r="R43">
        <v>45</v>
      </c>
      <c r="S43" s="2">
        <v>8</v>
      </c>
      <c r="T43" t="s">
        <v>288</v>
      </c>
      <c r="U43" t="s">
        <v>317</v>
      </c>
      <c r="V43" t="s">
        <v>292</v>
      </c>
      <c r="W43" s="32">
        <f>IFERROR(VLOOKUP(TA[[#This Row],[Date]],Raw_Data[[Date]:[Sunset Time (POA&lt;20 W/m2)]],3,0),"")</f>
        <v>0.27430555555555558</v>
      </c>
      <c r="X43" s="32">
        <f>IFERROR(VLOOKUP(TA[[#This Row],[Date]],Raw_Data[[Date]:[Sunset Time (POA&lt;20 W/m2)]],3,0),"")</f>
        <v>0.27430555555555558</v>
      </c>
      <c r="Y43" s="26"/>
      <c r="Z43" s="26">
        <v>0.76041666666666663</v>
      </c>
      <c r="AA43" s="27">
        <f>IF(TA[[#This Row],[Work Start time on Fault]]="NA","",(TA[[#This Row],[Fault Acknowledgement Time ]]-TA[[#This Row],[Fault Time]])*24)</f>
        <v>0</v>
      </c>
      <c r="AB43" s="27">
        <f>(TA[[#This Row],[Work Start time on Fault]]-TA[[#This Row],[Fault Time]])*24</f>
        <v>-6.5833333333333339</v>
      </c>
      <c r="AC43" s="26">
        <f>(TA[[#This Row],[Work Completion time on fault]]-TA[[#This Row],[Fault Time]])*24</f>
        <v>11.666666666666664</v>
      </c>
      <c r="AD43" s="27">
        <f>IFERROR((TA[[#This Row],[Work Completion time on fault]]-TA[[#This Row],[Fault Time]])*24,"")</f>
        <v>11.666666666666664</v>
      </c>
      <c r="AE43" t="s">
        <v>300</v>
      </c>
      <c r="AF43" t="s">
        <v>247</v>
      </c>
      <c r="AG43" s="2"/>
      <c r="AH43" s="35">
        <f>1-COS(RADIANS(TA[[#This Row],[Avg. Target Angle during Fault Time (Radians)]]-TA[[#This Row],[Angle of affected equipment ]]))</f>
        <v>0.11705240714107301</v>
      </c>
      <c r="AI43" s="27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43">
        <f t="shared" si="1"/>
        <v>2025</v>
      </c>
      <c r="C44" s="116">
        <f t="shared" si="2"/>
        <v>2025</v>
      </c>
      <c r="D44" s="2" t="s">
        <v>155</v>
      </c>
      <c r="E44" s="2" t="s">
        <v>155</v>
      </c>
      <c r="F44" s="30">
        <v>45413</v>
      </c>
      <c r="G44" s="2">
        <f>DAY(EOMONTH(TA[[#This Row],[Month Year]],0))</f>
        <v>31</v>
      </c>
      <c r="H44" s="21">
        <v>45747</v>
      </c>
      <c r="I44" s="32">
        <f>IFERROR(VLOOKUP(TA[[#This Row],[Date]],Raw_Data[[Date]:[Sunset Time (POA&lt;20 W/m2)]],3,0),"")</f>
        <v>0.27430555555555558</v>
      </c>
      <c r="J44" s="32">
        <f>IFERROR(VLOOKUP(TA[[#This Row],[Date]],Raw_Data[[Date]:[Sunset Time (POA&lt;20 W/m2)]],4,0),"")</f>
        <v>0.76388888888888884</v>
      </c>
      <c r="K44" s="27">
        <f>IFERROR((TA[[#This Row],[Sunset Time (POA&lt;20 W/m2)]]-TA[[#This Row],[Sunrise Time (POA&gt;20 W/m2)]])*24,"")</f>
        <v>11.749999999999998</v>
      </c>
      <c r="L44" s="2" t="s">
        <v>287</v>
      </c>
      <c r="M44" s="33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314</v>
      </c>
      <c r="Q44" s="2" t="s">
        <v>320</v>
      </c>
      <c r="R44">
        <v>47</v>
      </c>
      <c r="S44" s="2">
        <v>18</v>
      </c>
      <c r="T44" t="s">
        <v>288</v>
      </c>
      <c r="U44" t="s">
        <v>317</v>
      </c>
      <c r="V44" t="s">
        <v>292</v>
      </c>
      <c r="W44" s="32">
        <f>IFERROR(VLOOKUP(TA[[#This Row],[Date]],Raw_Data[[Date]:[Sunset Time (POA&lt;20 W/m2)]],3,0),"")</f>
        <v>0.27430555555555558</v>
      </c>
      <c r="X44" s="32">
        <f>IFERROR(VLOOKUP(TA[[#This Row],[Date]],Raw_Data[[Date]:[Sunset Time (POA&lt;20 W/m2)]],3,0),"")</f>
        <v>0.27430555555555558</v>
      </c>
      <c r="Y44" s="26"/>
      <c r="Z44" s="26">
        <v>0.76041666666666663</v>
      </c>
      <c r="AA44" s="27">
        <f>IF(TA[[#This Row],[Work Start time on Fault]]="NA","",(TA[[#This Row],[Fault Acknowledgement Time ]]-TA[[#This Row],[Fault Time]])*24)</f>
        <v>0</v>
      </c>
      <c r="AB44" s="27">
        <f>(TA[[#This Row],[Work Start time on Fault]]-TA[[#This Row],[Fault Time]])*24</f>
        <v>-6.5833333333333339</v>
      </c>
      <c r="AC44" s="26">
        <f>(TA[[#This Row],[Work Completion time on fault]]-TA[[#This Row],[Fault Time]])*24</f>
        <v>11.666666666666664</v>
      </c>
      <c r="AD44" s="27">
        <f>IFERROR((TA[[#This Row],[Work Completion time on fault]]-TA[[#This Row],[Fault Time]])*24,"")</f>
        <v>11.666666666666664</v>
      </c>
      <c r="AE44" t="s">
        <v>300</v>
      </c>
      <c r="AF44" t="s">
        <v>247</v>
      </c>
      <c r="AG44" s="2"/>
      <c r="AH44" s="35">
        <f>1-COS(RADIANS(TA[[#This Row],[Avg. Target Angle during Fault Time (Radians)]]-TA[[#This Row],[Angle of affected equipment ]]))</f>
        <v>0.11705240714107301</v>
      </c>
      <c r="AI44" s="27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43">
        <f t="shared" si="1"/>
        <v>2025</v>
      </c>
      <c r="C45" s="116">
        <f t="shared" si="2"/>
        <v>2025</v>
      </c>
      <c r="D45" s="2" t="s">
        <v>155</v>
      </c>
      <c r="E45" s="2" t="s">
        <v>155</v>
      </c>
      <c r="F45" s="30">
        <v>45413</v>
      </c>
      <c r="G45" s="2">
        <f>DAY(EOMONTH(TA[[#This Row],[Month Year]],0))</f>
        <v>31</v>
      </c>
      <c r="H45" s="21">
        <v>45747</v>
      </c>
      <c r="I45" s="32">
        <f>IFERROR(VLOOKUP(TA[[#This Row],[Date]],Raw_Data[[Date]:[Sunset Time (POA&lt;20 W/m2)]],3,0),"")</f>
        <v>0.27430555555555558</v>
      </c>
      <c r="J45" s="32">
        <f>IFERROR(VLOOKUP(TA[[#This Row],[Date]],Raw_Data[[Date]:[Sunset Time (POA&lt;20 W/m2)]],4,0),"")</f>
        <v>0.76388888888888884</v>
      </c>
      <c r="K45" s="27">
        <f>IFERROR((TA[[#This Row],[Sunset Time (POA&lt;20 W/m2)]]-TA[[#This Row],[Sunrise Time (POA&gt;20 W/m2)]])*24,"")</f>
        <v>11.749999999999998</v>
      </c>
      <c r="L45" s="2" t="s">
        <v>287</v>
      </c>
      <c r="M45" s="33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321</v>
      </c>
      <c r="Q45" s="2" t="s">
        <v>314</v>
      </c>
      <c r="R45">
        <v>30</v>
      </c>
      <c r="S45" s="2">
        <v>57</v>
      </c>
      <c r="T45" t="s">
        <v>288</v>
      </c>
      <c r="U45" t="s">
        <v>317</v>
      </c>
      <c r="V45" t="s">
        <v>292</v>
      </c>
      <c r="W45" s="32">
        <f>IFERROR(VLOOKUP(TA[[#This Row],[Date]],Raw_Data[[Date]:[Sunset Time (POA&lt;20 W/m2)]],3,0),"")</f>
        <v>0.27430555555555558</v>
      </c>
      <c r="X45" s="32">
        <f>IFERROR(VLOOKUP(TA[[#This Row],[Date]],Raw_Data[[Date]:[Sunset Time (POA&lt;20 W/m2)]],3,0),"")</f>
        <v>0.27430555555555558</v>
      </c>
      <c r="Y45" s="26"/>
      <c r="Z45" s="26">
        <v>0.76041666666666663</v>
      </c>
      <c r="AA45" s="27">
        <f>IF(TA[[#This Row],[Work Start time on Fault]]="NA","",(TA[[#This Row],[Fault Acknowledgement Time ]]-TA[[#This Row],[Fault Time]])*24)</f>
        <v>0</v>
      </c>
      <c r="AB45" s="27">
        <f>(TA[[#This Row],[Work Start time on Fault]]-TA[[#This Row],[Fault Time]])*24</f>
        <v>-6.5833333333333339</v>
      </c>
      <c r="AC45" s="26">
        <f>(TA[[#This Row],[Work Completion time on fault]]-TA[[#This Row],[Fault Time]])*24</f>
        <v>11.666666666666664</v>
      </c>
      <c r="AD45" s="27">
        <f>IFERROR((TA[[#This Row],[Work Completion time on fault]]-TA[[#This Row],[Fault Time]])*24,"")</f>
        <v>11.666666666666664</v>
      </c>
      <c r="AE45" t="s">
        <v>300</v>
      </c>
      <c r="AF45" t="s">
        <v>247</v>
      </c>
      <c r="AG45" s="2"/>
      <c r="AH45" s="35">
        <f>1-COS(RADIANS(TA[[#This Row],[Avg. Target Angle during Fault Time (Radians)]]-TA[[#This Row],[Angle of affected equipment ]]))</f>
        <v>0.11705240714107301</v>
      </c>
      <c r="AI45" s="27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43">
        <f t="shared" si="1"/>
        <v>2025</v>
      </c>
      <c r="C46" s="116">
        <f t="shared" si="2"/>
        <v>2025</v>
      </c>
      <c r="D46" s="2" t="s">
        <v>155</v>
      </c>
      <c r="E46" s="2" t="s">
        <v>155</v>
      </c>
      <c r="F46" s="30">
        <v>45413</v>
      </c>
      <c r="G46" s="2">
        <f>DAY(EOMONTH(TA[[#This Row],[Month Year]],0))</f>
        <v>31</v>
      </c>
      <c r="H46" s="21">
        <v>45747</v>
      </c>
      <c r="I46" s="32">
        <f>IFERROR(VLOOKUP(TA[[#This Row],[Date]],Raw_Data[[Date]:[Sunset Time (POA&lt;20 W/m2)]],3,0),"")</f>
        <v>0.27430555555555558</v>
      </c>
      <c r="J46" s="32">
        <f>IFERROR(VLOOKUP(TA[[#This Row],[Date]],Raw_Data[[Date]:[Sunset Time (POA&lt;20 W/m2)]],4,0),"")</f>
        <v>0.76388888888888884</v>
      </c>
      <c r="K46" s="27">
        <f>IFERROR((TA[[#This Row],[Sunset Time (POA&lt;20 W/m2)]]-TA[[#This Row],[Sunrise Time (POA&gt;20 W/m2)]])*24,"")</f>
        <v>11.749999999999998</v>
      </c>
      <c r="L46" s="2" t="s">
        <v>287</v>
      </c>
      <c r="M46" s="33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321</v>
      </c>
      <c r="Q46" s="2" t="s">
        <v>314</v>
      </c>
      <c r="R46">
        <v>31</v>
      </c>
      <c r="S46" s="2">
        <v>61</v>
      </c>
      <c r="T46" t="s">
        <v>288</v>
      </c>
      <c r="U46" t="s">
        <v>317</v>
      </c>
      <c r="V46" t="s">
        <v>292</v>
      </c>
      <c r="W46" s="32">
        <f>IFERROR(VLOOKUP(TA[[#This Row],[Date]],Raw_Data[[Date]:[Sunset Time (POA&lt;20 W/m2)]],3,0),"")</f>
        <v>0.27430555555555558</v>
      </c>
      <c r="X46" s="32">
        <f>IFERROR(VLOOKUP(TA[[#This Row],[Date]],Raw_Data[[Date]:[Sunset Time (POA&lt;20 W/m2)]],3,0),"")</f>
        <v>0.27430555555555558</v>
      </c>
      <c r="Y46" s="26"/>
      <c r="Z46" s="26">
        <v>0.76041666666666663</v>
      </c>
      <c r="AA46" s="27">
        <f>IF(TA[[#This Row],[Work Start time on Fault]]="NA","",(TA[[#This Row],[Fault Acknowledgement Time ]]-TA[[#This Row],[Fault Time]])*24)</f>
        <v>0</v>
      </c>
      <c r="AB46" s="27">
        <f>(TA[[#This Row],[Work Start time on Fault]]-TA[[#This Row],[Fault Time]])*24</f>
        <v>-6.5833333333333339</v>
      </c>
      <c r="AC46" s="26">
        <f>(TA[[#This Row],[Work Completion time on fault]]-TA[[#This Row],[Fault Time]])*24</f>
        <v>11.666666666666664</v>
      </c>
      <c r="AD46" s="27">
        <f>IFERROR((TA[[#This Row],[Work Completion time on fault]]-TA[[#This Row],[Fault Time]])*24,"")</f>
        <v>11.666666666666664</v>
      </c>
      <c r="AE46" t="s">
        <v>300</v>
      </c>
      <c r="AF46" t="s">
        <v>247</v>
      </c>
      <c r="AG46" s="2"/>
      <c r="AH46" s="35">
        <f>1-COS(RADIANS(TA[[#This Row],[Avg. Target Angle during Fault Time (Radians)]]-TA[[#This Row],[Angle of affected equipment ]]))</f>
        <v>0.11705240714107301</v>
      </c>
      <c r="AI46" s="27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43">
        <f t="shared" si="1"/>
        <v>2025</v>
      </c>
      <c r="C47" s="116">
        <f t="shared" si="2"/>
        <v>2025</v>
      </c>
      <c r="D47" s="2" t="s">
        <v>155</v>
      </c>
      <c r="E47" s="2" t="s">
        <v>155</v>
      </c>
      <c r="F47" s="30">
        <v>45413</v>
      </c>
      <c r="G47" s="2">
        <f>DAY(EOMONTH(TA[[#This Row],[Month Year]],0))</f>
        <v>31</v>
      </c>
      <c r="H47" s="21">
        <v>45747</v>
      </c>
      <c r="I47" s="32">
        <f>IFERROR(VLOOKUP(TA[[#This Row],[Date]],Raw_Data[[Date]:[Sunset Time (POA&lt;20 W/m2)]],3,0),"")</f>
        <v>0.27430555555555558</v>
      </c>
      <c r="J47" s="32">
        <f>IFERROR(VLOOKUP(TA[[#This Row],[Date]],Raw_Data[[Date]:[Sunset Time (POA&lt;20 W/m2)]],4,0),"")</f>
        <v>0.76388888888888884</v>
      </c>
      <c r="K47" s="27">
        <f>IFERROR((TA[[#This Row],[Sunset Time (POA&lt;20 W/m2)]]-TA[[#This Row],[Sunrise Time (POA&gt;20 W/m2)]])*24,"")</f>
        <v>11.749999999999998</v>
      </c>
      <c r="L47" s="2" t="s">
        <v>303</v>
      </c>
      <c r="M47" s="33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321</v>
      </c>
      <c r="Q47" s="2" t="s">
        <v>314</v>
      </c>
      <c r="R47">
        <v>26</v>
      </c>
      <c r="S47" s="2">
        <v>37</v>
      </c>
      <c r="T47" t="s">
        <v>288</v>
      </c>
      <c r="U47" t="s">
        <v>317</v>
      </c>
      <c r="V47" t="s">
        <v>292</v>
      </c>
      <c r="W47" s="32">
        <f>IFERROR(VLOOKUP(TA[[#This Row],[Date]],Raw_Data[[Date]:[Sunset Time (POA&lt;20 W/m2)]],3,0),"")</f>
        <v>0.27430555555555558</v>
      </c>
      <c r="X47" s="32">
        <f>IFERROR(VLOOKUP(TA[[#This Row],[Date]],Raw_Data[[Date]:[Sunset Time (POA&lt;20 W/m2)]],3,0),"")</f>
        <v>0.27430555555555558</v>
      </c>
      <c r="Y47" s="26"/>
      <c r="Z47" s="26">
        <v>0.76041666666666663</v>
      </c>
      <c r="AA47" s="27">
        <f>IF(TA[[#This Row],[Work Start time on Fault]]="NA","",(TA[[#This Row],[Fault Acknowledgement Time ]]-TA[[#This Row],[Fault Time]])*24)</f>
        <v>0</v>
      </c>
      <c r="AB47" s="27">
        <f>(TA[[#This Row],[Work Start time on Fault]]-TA[[#This Row],[Fault Time]])*24</f>
        <v>-6.5833333333333339</v>
      </c>
      <c r="AC47" s="26">
        <f>(TA[[#This Row],[Work Completion time on fault]]-TA[[#This Row],[Fault Time]])*24</f>
        <v>11.666666666666664</v>
      </c>
      <c r="AD47" s="27">
        <f>IFERROR((TA[[#This Row],[Work Completion time on fault]]-TA[[#This Row],[Fault Time]])*24,"")</f>
        <v>11.666666666666664</v>
      </c>
      <c r="AE47" t="s">
        <v>300</v>
      </c>
      <c r="AF47" t="s">
        <v>247</v>
      </c>
      <c r="AG47" s="2"/>
      <c r="AH47" s="35">
        <f>1-COS(RADIANS(TA[[#This Row],[Avg. Target Angle during Fault Time (Radians)]]-TA[[#This Row],[Angle of affected equipment ]]))</f>
        <v>0.11705240714107301</v>
      </c>
      <c r="AI47" s="27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43">
        <f t="shared" si="1"/>
        <v>2025</v>
      </c>
      <c r="C48" s="116">
        <f t="shared" si="2"/>
        <v>2025</v>
      </c>
      <c r="D48" s="2" t="s">
        <v>155</v>
      </c>
      <c r="E48" s="2" t="s">
        <v>155</v>
      </c>
      <c r="F48" s="30">
        <v>45413</v>
      </c>
      <c r="G48" s="2">
        <f>DAY(EOMONTH(TA[[#This Row],[Month Year]],0))</f>
        <v>31</v>
      </c>
      <c r="H48" s="21">
        <v>45747</v>
      </c>
      <c r="I48" s="32">
        <f>IFERROR(VLOOKUP(TA[[#This Row],[Date]],Raw_Data[[Date]:[Sunset Time (POA&lt;20 W/m2)]],3,0),"")</f>
        <v>0.27430555555555558</v>
      </c>
      <c r="J48" s="32">
        <f>IFERROR(VLOOKUP(TA[[#This Row],[Date]],Raw_Data[[Date]:[Sunset Time (POA&lt;20 W/m2)]],4,0),"")</f>
        <v>0.76388888888888884</v>
      </c>
      <c r="K48" s="27">
        <f>IFERROR((TA[[#This Row],[Sunset Time (POA&lt;20 W/m2)]]-TA[[#This Row],[Sunrise Time (POA&gt;20 W/m2)]])*24,"")</f>
        <v>11.749999999999998</v>
      </c>
      <c r="L48" s="2" t="s">
        <v>303</v>
      </c>
      <c r="M48" s="33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321</v>
      </c>
      <c r="Q48" s="2" t="s">
        <v>314</v>
      </c>
      <c r="R48">
        <v>27</v>
      </c>
      <c r="S48" s="2">
        <v>42</v>
      </c>
      <c r="T48" t="s">
        <v>288</v>
      </c>
      <c r="U48" t="s">
        <v>317</v>
      </c>
      <c r="V48" t="s">
        <v>292</v>
      </c>
      <c r="W48" s="32">
        <f>IFERROR(VLOOKUP(TA[[#This Row],[Date]],Raw_Data[[Date]:[Sunset Time (POA&lt;20 W/m2)]],3,0),"")</f>
        <v>0.27430555555555558</v>
      </c>
      <c r="X48" s="32">
        <f>IFERROR(VLOOKUP(TA[[#This Row],[Date]],Raw_Data[[Date]:[Sunset Time (POA&lt;20 W/m2)]],3,0),"")</f>
        <v>0.27430555555555558</v>
      </c>
      <c r="Y48" s="26"/>
      <c r="Z48" s="26">
        <v>0.76041666666666663</v>
      </c>
      <c r="AA48" s="27">
        <f>IF(TA[[#This Row],[Work Start time on Fault]]="NA","",(TA[[#This Row],[Fault Acknowledgement Time ]]-TA[[#This Row],[Fault Time]])*24)</f>
        <v>0</v>
      </c>
      <c r="AB48" s="27">
        <f>(TA[[#This Row],[Work Start time on Fault]]-TA[[#This Row],[Fault Time]])*24</f>
        <v>-6.5833333333333339</v>
      </c>
      <c r="AC48" s="26">
        <f>(TA[[#This Row],[Work Completion time on fault]]-TA[[#This Row],[Fault Time]])*24</f>
        <v>11.666666666666664</v>
      </c>
      <c r="AD48" s="27">
        <f>IFERROR((TA[[#This Row],[Work Completion time on fault]]-TA[[#This Row],[Fault Time]])*24,"")</f>
        <v>11.666666666666664</v>
      </c>
      <c r="AE48" t="s">
        <v>300</v>
      </c>
      <c r="AF48" t="s">
        <v>247</v>
      </c>
      <c r="AG48" s="2"/>
      <c r="AH48" s="35">
        <f>1-COS(RADIANS(TA[[#This Row],[Avg. Target Angle during Fault Time (Radians)]]-TA[[#This Row],[Angle of affected equipment ]]))</f>
        <v>0.11705240714107301</v>
      </c>
      <c r="AI48" s="27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43">
        <f t="shared" si="1"/>
        <v>2026</v>
      </c>
      <c r="C49" s="116">
        <f t="shared" si="2"/>
        <v>2025</v>
      </c>
      <c r="D49" s="2" t="s">
        <v>155</v>
      </c>
      <c r="E49" s="2" t="s">
        <v>155</v>
      </c>
      <c r="F49" s="30">
        <v>45748</v>
      </c>
      <c r="G49" s="2">
        <f>DAY(EOMONTH(TA[[#This Row],[Month Year]],0))</f>
        <v>30</v>
      </c>
      <c r="H49" s="21">
        <v>45748</v>
      </c>
      <c r="I49" s="32">
        <f>IFERROR(VLOOKUP(TA[[#This Row],[Date]],Raw_Data[[Date]:[Sunset Time (POA&lt;20 W/m2)]],3,0),"")</f>
        <v>0.26666666666666666</v>
      </c>
      <c r="J49" s="32">
        <f>IFERROR(VLOOKUP(TA[[#This Row],[Date]],Raw_Data[[Date]:[Sunset Time (POA&lt;20 W/m2)]],4,0),"")</f>
        <v>0.76180555555555551</v>
      </c>
      <c r="K49" s="27">
        <f>IFERROR((TA[[#This Row],[Sunset Time (POA&lt;20 W/m2)]]-TA[[#This Row],[Sunrise Time (POA&gt;20 W/m2)]])*24,"")</f>
        <v>11.883333333333333</v>
      </c>
      <c r="L49" s="2" t="s">
        <v>285</v>
      </c>
      <c r="M49" s="33">
        <f>IFERROR(VLOOKUP(TA[[#This Row],[Affected Equipment]],'Basic Data'!$I$2:$K$40,3,0),"")</f>
        <v>1.7241379310344799E-3</v>
      </c>
      <c r="N49">
        <v>-28</v>
      </c>
      <c r="O49" t="s">
        <v>135</v>
      </c>
      <c r="P49" s="114" t="s">
        <v>309</v>
      </c>
      <c r="Q49" s="113" t="s">
        <v>309</v>
      </c>
      <c r="R49">
        <v>130</v>
      </c>
      <c r="S49" s="2">
        <v>36</v>
      </c>
      <c r="T49" t="s">
        <v>286</v>
      </c>
      <c r="U49" t="s">
        <v>291</v>
      </c>
      <c r="V49" t="s">
        <v>289</v>
      </c>
      <c r="W49" s="32"/>
      <c r="X49" s="32"/>
      <c r="Y49" s="26"/>
      <c r="Z49" s="26"/>
      <c r="AA49" s="27">
        <f>IF(TA[[#This Row],[Work Start time on Fault]]="NA","",(TA[[#This Row],[Fault Acknowledgement Time ]]-TA[[#This Row],[Fault Time]])*24)</f>
        <v>0</v>
      </c>
      <c r="AB49" s="27">
        <f>(TA[[#This Row],[Work Start time on Fault]]-TA[[#This Row],[Fault Time]])*24</f>
        <v>0</v>
      </c>
      <c r="AC49" s="26">
        <f>(TA[[#This Row],[Work Completion time on fault]]-TA[[#This Row],[Fault Time]])*24</f>
        <v>0</v>
      </c>
      <c r="AD49" s="27">
        <f>IFERROR((TA[[#This Row],[Work Completion time on fault]]-TA[[#This Row],[Fault Time]])*24,"")</f>
        <v>0</v>
      </c>
      <c r="AE49" t="s">
        <v>319</v>
      </c>
      <c r="AF49" t="s">
        <v>247</v>
      </c>
      <c r="AG49" s="2"/>
      <c r="AH49" s="35">
        <f>1-COS(RADIANS(TA[[#This Row],[Avg. Target Angle during Fault Time (Radians)]]-TA[[#This Row],[Angle of affected equipment ]]))</f>
        <v>0.11705240714107301</v>
      </c>
      <c r="AI49" s="27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43">
        <f t="shared" si="1"/>
        <v>2026</v>
      </c>
      <c r="C50" s="116">
        <f t="shared" si="2"/>
        <v>2025</v>
      </c>
      <c r="D50" s="2" t="s">
        <v>155</v>
      </c>
      <c r="E50" s="2" t="s">
        <v>155</v>
      </c>
      <c r="F50" s="30">
        <v>45748</v>
      </c>
      <c r="G50" s="2">
        <f>DAY(EOMONTH(TA[[#This Row],[Month Year]],0))</f>
        <v>30</v>
      </c>
      <c r="H50" s="21">
        <v>45748</v>
      </c>
      <c r="I50" s="32">
        <f>IFERROR(VLOOKUP(TA[[#This Row],[Date]],Raw_Data[[Date]:[Sunset Time (POA&lt;20 W/m2)]],3,0),"")</f>
        <v>0.26666666666666666</v>
      </c>
      <c r="J50" s="32">
        <f>IFERROR(VLOOKUP(TA[[#This Row],[Date]],Raw_Data[[Date]:[Sunset Time (POA&lt;20 W/m2)]],4,0),"")</f>
        <v>0.76180555555555551</v>
      </c>
      <c r="K50" s="27">
        <f>IFERROR((TA[[#This Row],[Sunset Time (POA&lt;20 W/m2)]]-TA[[#This Row],[Sunrise Time (POA&gt;20 W/m2)]])*24,"")</f>
        <v>11.883333333333333</v>
      </c>
      <c r="L50" s="2" t="s">
        <v>285</v>
      </c>
      <c r="M50" s="33">
        <f>IFERROR(VLOOKUP(TA[[#This Row],[Affected Equipment]],'Basic Data'!$I$2:$K$40,3,0),"")</f>
        <v>1.7241379310344799E-3</v>
      </c>
      <c r="N50">
        <v>-28</v>
      </c>
      <c r="O50" t="s">
        <v>135</v>
      </c>
      <c r="P50" s="114" t="s">
        <v>309</v>
      </c>
      <c r="Q50" s="113" t="s">
        <v>309</v>
      </c>
      <c r="R50">
        <v>130</v>
      </c>
      <c r="S50" s="2">
        <v>37</v>
      </c>
      <c r="T50" t="s">
        <v>286</v>
      </c>
      <c r="U50" t="s">
        <v>291</v>
      </c>
      <c r="V50" t="s">
        <v>289</v>
      </c>
      <c r="W50" s="32"/>
      <c r="X50" s="32"/>
      <c r="Y50" s="26"/>
      <c r="Z50" s="26"/>
      <c r="AA50" s="27">
        <f>IF(TA[[#This Row],[Work Start time on Fault]]="NA","",(TA[[#This Row],[Fault Acknowledgement Time ]]-TA[[#This Row],[Fault Time]])*24)</f>
        <v>0</v>
      </c>
      <c r="AB50" s="27">
        <f>(TA[[#This Row],[Work Start time on Fault]]-TA[[#This Row],[Fault Time]])*24</f>
        <v>0</v>
      </c>
      <c r="AC50" s="26">
        <f>(TA[[#This Row],[Work Completion time on fault]]-TA[[#This Row],[Fault Time]])*24</f>
        <v>0</v>
      </c>
      <c r="AD50" s="27">
        <f>IFERROR((TA[[#This Row],[Work Completion time on fault]]-TA[[#This Row],[Fault Time]])*24,"")</f>
        <v>0</v>
      </c>
      <c r="AE50" t="s">
        <v>319</v>
      </c>
      <c r="AF50" t="s">
        <v>247</v>
      </c>
      <c r="AG50" s="2"/>
      <c r="AH50" s="35">
        <f>1-COS(RADIANS(TA[[#This Row],[Avg. Target Angle during Fault Time (Radians)]]-TA[[#This Row],[Angle of affected equipment ]]))</f>
        <v>0.11705240714107301</v>
      </c>
      <c r="AI50" s="27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43">
        <f t="shared" si="1"/>
        <v>2026</v>
      </c>
      <c r="C51" s="116">
        <f t="shared" si="2"/>
        <v>2025</v>
      </c>
      <c r="D51" s="2" t="s">
        <v>155</v>
      </c>
      <c r="E51" s="2" t="s">
        <v>155</v>
      </c>
      <c r="F51" s="30">
        <v>45748</v>
      </c>
      <c r="G51" s="2">
        <f>DAY(EOMONTH(TA[[#This Row],[Month Year]],0))</f>
        <v>30</v>
      </c>
      <c r="H51" s="21">
        <v>45748</v>
      </c>
      <c r="I51" s="32">
        <f>IFERROR(VLOOKUP(TA[[#This Row],[Date]],Raw_Data[[Date]:[Sunset Time (POA&lt;20 W/m2)]],3,0),"")</f>
        <v>0.26666666666666666</v>
      </c>
      <c r="J51" s="32">
        <f>IFERROR(VLOOKUP(TA[[#This Row],[Date]],Raw_Data[[Date]:[Sunset Time (POA&lt;20 W/m2)]],4,0),"")</f>
        <v>0.76180555555555551</v>
      </c>
      <c r="K51" s="27">
        <f>IFERROR((TA[[#This Row],[Sunset Time (POA&lt;20 W/m2)]]-TA[[#This Row],[Sunrise Time (POA&gt;20 W/m2)]])*24,"")</f>
        <v>11.883333333333333</v>
      </c>
      <c r="L51" s="2" t="s">
        <v>285</v>
      </c>
      <c r="M51" s="33">
        <f>IFERROR(VLOOKUP(TA[[#This Row],[Affected Equipment]],'Basic Data'!$I$2:$K$40,3,0),"")</f>
        <v>1.7241379310344799E-3</v>
      </c>
      <c r="N51">
        <v>-28</v>
      </c>
      <c r="O51" t="s">
        <v>135</v>
      </c>
      <c r="P51" s="114" t="s">
        <v>309</v>
      </c>
      <c r="Q51" s="113" t="s">
        <v>309</v>
      </c>
      <c r="R51">
        <v>131</v>
      </c>
      <c r="S51" s="2">
        <v>38</v>
      </c>
      <c r="T51" t="s">
        <v>286</v>
      </c>
      <c r="U51" t="s">
        <v>291</v>
      </c>
      <c r="V51" t="s">
        <v>289</v>
      </c>
      <c r="W51" s="32"/>
      <c r="X51" s="32"/>
      <c r="Y51" s="26"/>
      <c r="Z51" s="26"/>
      <c r="AA51" s="27">
        <f>IF(TA[[#This Row],[Work Start time on Fault]]="NA","",(TA[[#This Row],[Fault Acknowledgement Time ]]-TA[[#This Row],[Fault Time]])*24)</f>
        <v>0</v>
      </c>
      <c r="AB51" s="27">
        <f>(TA[[#This Row],[Work Start time on Fault]]-TA[[#This Row],[Fault Time]])*24</f>
        <v>0</v>
      </c>
      <c r="AC51" s="26">
        <f>(TA[[#This Row],[Work Completion time on fault]]-TA[[#This Row],[Fault Time]])*24</f>
        <v>0</v>
      </c>
      <c r="AD51" s="27">
        <f>IFERROR((TA[[#This Row],[Work Completion time on fault]]-TA[[#This Row],[Fault Time]])*24,"")</f>
        <v>0</v>
      </c>
      <c r="AE51" t="s">
        <v>319</v>
      </c>
      <c r="AF51" t="s">
        <v>247</v>
      </c>
      <c r="AG51" s="2"/>
      <c r="AH51" s="35">
        <f>1-COS(RADIANS(TA[[#This Row],[Avg. Target Angle during Fault Time (Radians)]]-TA[[#This Row],[Angle of affected equipment ]]))</f>
        <v>0.11705240714107301</v>
      </c>
      <c r="AI51" s="27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43">
        <f t="shared" si="1"/>
        <v>2026</v>
      </c>
      <c r="C52" s="116">
        <f t="shared" si="2"/>
        <v>2025</v>
      </c>
      <c r="D52" s="2" t="s">
        <v>155</v>
      </c>
      <c r="E52" s="2" t="s">
        <v>155</v>
      </c>
      <c r="F52" s="30">
        <v>45748</v>
      </c>
      <c r="G52" s="2">
        <f>DAY(EOMONTH(TA[[#This Row],[Month Year]],0))</f>
        <v>30</v>
      </c>
      <c r="H52" s="21">
        <v>45748</v>
      </c>
      <c r="I52" s="32">
        <f>IFERROR(VLOOKUP(TA[[#This Row],[Date]],Raw_Data[[Date]:[Sunset Time (POA&lt;20 W/m2)]],3,0),"")</f>
        <v>0.26666666666666666</v>
      </c>
      <c r="J52" s="32">
        <f>IFERROR(VLOOKUP(TA[[#This Row],[Date]],Raw_Data[[Date]:[Sunset Time (POA&lt;20 W/m2)]],4,0),"")</f>
        <v>0.76180555555555551</v>
      </c>
      <c r="K52" s="27">
        <f>IFERROR((TA[[#This Row],[Sunset Time (POA&lt;20 W/m2)]]-TA[[#This Row],[Sunrise Time (POA&gt;20 W/m2)]])*24,"")</f>
        <v>11.883333333333333</v>
      </c>
      <c r="L52" s="2" t="s">
        <v>285</v>
      </c>
      <c r="M52" s="33">
        <f>IFERROR(VLOOKUP(TA[[#This Row],[Affected Equipment]],'Basic Data'!$I$2:$K$40,3,0),"")</f>
        <v>1.7241379310344799E-3</v>
      </c>
      <c r="N52">
        <v>-28</v>
      </c>
      <c r="O52" t="s">
        <v>135</v>
      </c>
      <c r="P52" s="114" t="s">
        <v>309</v>
      </c>
      <c r="Q52" s="113" t="s">
        <v>309</v>
      </c>
      <c r="R52">
        <v>131</v>
      </c>
      <c r="S52" s="2">
        <v>39</v>
      </c>
      <c r="T52" t="s">
        <v>286</v>
      </c>
      <c r="U52" t="s">
        <v>291</v>
      </c>
      <c r="V52" t="s">
        <v>289</v>
      </c>
      <c r="W52" s="32"/>
      <c r="X52" s="32"/>
      <c r="Y52" s="26"/>
      <c r="Z52" s="26"/>
      <c r="AA52" s="27">
        <f>IF(TA[[#This Row],[Work Start time on Fault]]="NA","",(TA[[#This Row],[Fault Acknowledgement Time ]]-TA[[#This Row],[Fault Time]])*24)</f>
        <v>0</v>
      </c>
      <c r="AB52" s="27">
        <f>(TA[[#This Row],[Work Start time on Fault]]-TA[[#This Row],[Fault Time]])*24</f>
        <v>0</v>
      </c>
      <c r="AC52" s="26">
        <f>(TA[[#This Row],[Work Completion time on fault]]-TA[[#This Row],[Fault Time]])*24</f>
        <v>0</v>
      </c>
      <c r="AD52" s="27">
        <f>IFERROR((TA[[#This Row],[Work Completion time on fault]]-TA[[#This Row],[Fault Time]])*24,"")</f>
        <v>0</v>
      </c>
      <c r="AE52" t="s">
        <v>319</v>
      </c>
      <c r="AF52" t="s">
        <v>247</v>
      </c>
      <c r="AG52" s="2"/>
      <c r="AH52" s="35">
        <f>1-COS(RADIANS(TA[[#This Row],[Avg. Target Angle during Fault Time (Radians)]]-TA[[#This Row],[Angle of affected equipment ]]))</f>
        <v>0.11705240714107301</v>
      </c>
      <c r="AI52" s="27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43">
        <f t="shared" si="1"/>
        <v>2026</v>
      </c>
      <c r="C53" s="116">
        <f t="shared" si="2"/>
        <v>2025</v>
      </c>
      <c r="D53" s="2" t="s">
        <v>155</v>
      </c>
      <c r="E53" s="2" t="s">
        <v>155</v>
      </c>
      <c r="F53" s="30">
        <v>45748</v>
      </c>
      <c r="G53" s="2">
        <f>DAY(EOMONTH(TA[[#This Row],[Month Year]],0))</f>
        <v>30</v>
      </c>
      <c r="H53" s="21">
        <v>45748</v>
      </c>
      <c r="I53" s="32">
        <f>IFERROR(VLOOKUP(TA[[#This Row],[Date]],Raw_Data[[Date]:[Sunset Time (POA&lt;20 W/m2)]],3,0),"")</f>
        <v>0.26666666666666666</v>
      </c>
      <c r="J53" s="32">
        <f>IFERROR(VLOOKUP(TA[[#This Row],[Date]],Raw_Data[[Date]:[Sunset Time (POA&lt;20 W/m2)]],4,0),"")</f>
        <v>0.76180555555555551</v>
      </c>
      <c r="K53" s="27">
        <f>IFERROR((TA[[#This Row],[Sunset Time (POA&lt;20 W/m2)]]-TA[[#This Row],[Sunrise Time (POA&gt;20 W/m2)]])*24,"")</f>
        <v>11.883333333333333</v>
      </c>
      <c r="L53" s="2" t="s">
        <v>287</v>
      </c>
      <c r="M53" s="33">
        <f>IFERROR(VLOOKUP(TA[[#This Row],[Affected Equipment]],'Basic Data'!$I$2:$K$40,3,0),"")</f>
        <v>8.6206896551724102E-3</v>
      </c>
      <c r="N53">
        <v>-28</v>
      </c>
      <c r="O53" t="s">
        <v>135</v>
      </c>
      <c r="P53" s="114" t="s">
        <v>309</v>
      </c>
      <c r="Q53" s="2" t="s">
        <v>312</v>
      </c>
      <c r="R53">
        <v>133</v>
      </c>
      <c r="S53" s="2">
        <v>26</v>
      </c>
      <c r="T53" t="s">
        <v>288</v>
      </c>
      <c r="U53" t="s">
        <v>291</v>
      </c>
      <c r="V53" t="s">
        <v>305</v>
      </c>
      <c r="W53" s="32"/>
      <c r="X53" s="32"/>
      <c r="Y53" s="26"/>
      <c r="Z53" s="26"/>
      <c r="AA53" s="27">
        <f>IF(TA[[#This Row],[Work Start time on Fault]]="NA","",(TA[[#This Row],[Fault Acknowledgement Time ]]-TA[[#This Row],[Fault Time]])*24)</f>
        <v>0</v>
      </c>
      <c r="AB53" s="27">
        <f>(TA[[#This Row],[Work Start time on Fault]]-TA[[#This Row],[Fault Time]])*24</f>
        <v>0</v>
      </c>
      <c r="AC53" s="26">
        <f>(TA[[#This Row],[Work Completion time on fault]]-TA[[#This Row],[Fault Time]])*24</f>
        <v>0</v>
      </c>
      <c r="AD53" s="27">
        <f>IFERROR((TA[[#This Row],[Work Completion time on fault]]-TA[[#This Row],[Fault Time]])*24,"")</f>
        <v>0</v>
      </c>
      <c r="AE53" t="s">
        <v>319</v>
      </c>
      <c r="AF53" t="s">
        <v>247</v>
      </c>
      <c r="AG53" s="2"/>
      <c r="AH53" s="35">
        <f>1-COS(RADIANS(TA[[#This Row],[Avg. Target Angle during Fault Time (Radians)]]-TA[[#This Row],[Angle of affected equipment ]]))</f>
        <v>0.11705240714107301</v>
      </c>
      <c r="AI53" s="27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43">
        <f t="shared" si="1"/>
        <v>2026</v>
      </c>
      <c r="C54" s="116">
        <f t="shared" si="2"/>
        <v>2025</v>
      </c>
      <c r="D54" s="2" t="s">
        <v>155</v>
      </c>
      <c r="E54" s="2" t="s">
        <v>155</v>
      </c>
      <c r="F54" s="30">
        <v>45748</v>
      </c>
      <c r="G54" s="2">
        <f>DAY(EOMONTH(TA[[#This Row],[Month Year]],0))</f>
        <v>30</v>
      </c>
      <c r="H54" s="21">
        <v>45748</v>
      </c>
      <c r="I54" s="32">
        <f>IFERROR(VLOOKUP(TA[[#This Row],[Date]],Raw_Data[[Date]:[Sunset Time (POA&lt;20 W/m2)]],3,0),"")</f>
        <v>0.26666666666666666</v>
      </c>
      <c r="J54" s="32">
        <f>IFERROR(VLOOKUP(TA[[#This Row],[Date]],Raw_Data[[Date]:[Sunset Time (POA&lt;20 W/m2)]],4,0),"")</f>
        <v>0.76180555555555551</v>
      </c>
      <c r="K54" s="27">
        <f>IFERROR((TA[[#This Row],[Sunset Time (POA&lt;20 W/m2)]]-TA[[#This Row],[Sunrise Time (POA&gt;20 W/m2)]])*24,"")</f>
        <v>11.883333333333333</v>
      </c>
      <c r="L54" s="2" t="s">
        <v>285</v>
      </c>
      <c r="M54" s="33">
        <f>IFERROR(VLOOKUP(TA[[#This Row],[Affected Equipment]],'Basic Data'!$I$2:$K$40,3,0),"")</f>
        <v>1.7241379310344799E-3</v>
      </c>
      <c r="N54">
        <v>-28</v>
      </c>
      <c r="O54" t="s">
        <v>133</v>
      </c>
      <c r="P54" s="114" t="s">
        <v>307</v>
      </c>
      <c r="Q54" s="113" t="s">
        <v>308</v>
      </c>
      <c r="R54">
        <v>7</v>
      </c>
      <c r="S54" s="2">
        <v>32</v>
      </c>
      <c r="T54" t="s">
        <v>286</v>
      </c>
      <c r="U54" t="s">
        <v>291</v>
      </c>
      <c r="V54" t="s">
        <v>289</v>
      </c>
      <c r="W54" s="32"/>
      <c r="X54" s="32"/>
      <c r="Y54" s="26"/>
      <c r="Z54" s="26"/>
      <c r="AA54" s="27">
        <f>IF(TA[[#This Row],[Work Start time on Fault]]="NA","",(TA[[#This Row],[Fault Acknowledgement Time ]]-TA[[#This Row],[Fault Time]])*24)</f>
        <v>0</v>
      </c>
      <c r="AB54" s="27">
        <f>(TA[[#This Row],[Work Start time on Fault]]-TA[[#This Row],[Fault Time]])*24</f>
        <v>0</v>
      </c>
      <c r="AC54" s="26">
        <f>(TA[[#This Row],[Work Completion time on fault]]-TA[[#This Row],[Fault Time]])*24</f>
        <v>0</v>
      </c>
      <c r="AD54" s="27">
        <f>IFERROR((TA[[#This Row],[Work Completion time on fault]]-TA[[#This Row],[Fault Time]])*24,"")</f>
        <v>0</v>
      </c>
      <c r="AE54" t="s">
        <v>319</v>
      </c>
      <c r="AF54" t="s">
        <v>247</v>
      </c>
      <c r="AG54" s="2"/>
      <c r="AH54" s="35">
        <f>1-COS(RADIANS(TA[[#This Row],[Avg. Target Angle during Fault Time (Radians)]]-TA[[#This Row],[Angle of affected equipment ]]))</f>
        <v>0.11705240714107301</v>
      </c>
      <c r="AI54" s="27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43">
        <f t="shared" si="1"/>
        <v>2026</v>
      </c>
      <c r="C55" s="116">
        <f t="shared" si="2"/>
        <v>2025</v>
      </c>
      <c r="D55" s="2" t="s">
        <v>155</v>
      </c>
      <c r="E55" s="2" t="s">
        <v>155</v>
      </c>
      <c r="F55" s="30">
        <v>45748</v>
      </c>
      <c r="G55" s="2">
        <f>DAY(EOMONTH(TA[[#This Row],[Month Year]],0))</f>
        <v>30</v>
      </c>
      <c r="H55" s="21">
        <v>45748</v>
      </c>
      <c r="I55" s="32">
        <f>IFERROR(VLOOKUP(TA[[#This Row],[Date]],Raw_Data[[Date]:[Sunset Time (POA&lt;20 W/m2)]],3,0),"")</f>
        <v>0.26666666666666666</v>
      </c>
      <c r="J55" s="32">
        <f>IFERROR(VLOOKUP(TA[[#This Row],[Date]],Raw_Data[[Date]:[Sunset Time (POA&lt;20 W/m2)]],4,0),"")</f>
        <v>0.76180555555555551</v>
      </c>
      <c r="K55" s="27">
        <f>IFERROR((TA[[#This Row],[Sunset Time (POA&lt;20 W/m2)]]-TA[[#This Row],[Sunrise Time (POA&gt;20 W/m2)]])*24,"")</f>
        <v>11.883333333333333</v>
      </c>
      <c r="L55" s="2" t="s">
        <v>285</v>
      </c>
      <c r="M55" s="33">
        <f>IFERROR(VLOOKUP(TA[[#This Row],[Affected Equipment]],'Basic Data'!$I$2:$K$40,3,0),"")</f>
        <v>1.7241379310344799E-3</v>
      </c>
      <c r="N55">
        <v>-28</v>
      </c>
      <c r="O55" t="s">
        <v>137</v>
      </c>
      <c r="P55" s="114" t="s">
        <v>306</v>
      </c>
      <c r="Q55" s="113" t="s">
        <v>310</v>
      </c>
      <c r="R55">
        <v>166</v>
      </c>
      <c r="S55" s="2">
        <v>91</v>
      </c>
      <c r="T55" t="s">
        <v>286</v>
      </c>
      <c r="U55" t="s">
        <v>291</v>
      </c>
      <c r="V55" t="s">
        <v>289</v>
      </c>
      <c r="W55" s="32"/>
      <c r="X55" s="32"/>
      <c r="Y55" s="26"/>
      <c r="Z55" s="26"/>
      <c r="AA55" s="27">
        <f>IF(TA[[#This Row],[Work Start time on Fault]]="NA","",(TA[[#This Row],[Fault Acknowledgement Time ]]-TA[[#This Row],[Fault Time]])*24)</f>
        <v>0</v>
      </c>
      <c r="AB55" s="27">
        <f>(TA[[#This Row],[Work Start time on Fault]]-TA[[#This Row],[Fault Time]])*24</f>
        <v>0</v>
      </c>
      <c r="AC55" s="26">
        <f>(TA[[#This Row],[Work Completion time on fault]]-TA[[#This Row],[Fault Time]])*24</f>
        <v>0</v>
      </c>
      <c r="AD55" s="27">
        <f>IFERROR((TA[[#This Row],[Work Completion time on fault]]-TA[[#This Row],[Fault Time]])*24,"")</f>
        <v>0</v>
      </c>
      <c r="AE55" t="s">
        <v>319</v>
      </c>
      <c r="AF55" t="s">
        <v>247</v>
      </c>
      <c r="AG55" s="2"/>
      <c r="AH55" s="35">
        <f>1-COS(RADIANS(TA[[#This Row],[Avg. Target Angle during Fault Time (Radians)]]-TA[[#This Row],[Angle of affected equipment ]]))</f>
        <v>0.11705240714107301</v>
      </c>
      <c r="AI55" s="27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43">
        <f t="shared" si="1"/>
        <v>2026</v>
      </c>
      <c r="C56" s="116">
        <f t="shared" si="2"/>
        <v>2025</v>
      </c>
      <c r="D56" s="2" t="s">
        <v>155</v>
      </c>
      <c r="E56" s="2" t="s">
        <v>155</v>
      </c>
      <c r="F56" s="30">
        <v>45748</v>
      </c>
      <c r="G56" s="2">
        <f>DAY(EOMONTH(TA[[#This Row],[Month Year]],0))</f>
        <v>30</v>
      </c>
      <c r="H56" s="21">
        <v>45748</v>
      </c>
      <c r="I56" s="32">
        <f>IFERROR(VLOOKUP(TA[[#This Row],[Date]],Raw_Data[[Date]:[Sunset Time (POA&lt;20 W/m2)]],3,0),"")</f>
        <v>0.26666666666666666</v>
      </c>
      <c r="J56" s="32">
        <f>IFERROR(VLOOKUP(TA[[#This Row],[Date]],Raw_Data[[Date]:[Sunset Time (POA&lt;20 W/m2)]],4,0),"")</f>
        <v>0.76180555555555551</v>
      </c>
      <c r="K56" s="27">
        <f>IFERROR((TA[[#This Row],[Sunset Time (POA&lt;20 W/m2)]]-TA[[#This Row],[Sunrise Time (POA&gt;20 W/m2)]])*24,"")</f>
        <v>11.883333333333333</v>
      </c>
      <c r="L56" s="2" t="s">
        <v>285</v>
      </c>
      <c r="M56" s="33">
        <f>IFERROR(VLOOKUP(TA[[#This Row],[Affected Equipment]],'Basic Data'!$I$2:$K$40,3,0),"")</f>
        <v>1.7241379310344799E-3</v>
      </c>
      <c r="N56">
        <v>-28</v>
      </c>
      <c r="O56" t="s">
        <v>133</v>
      </c>
      <c r="P56" s="114" t="s">
        <v>307</v>
      </c>
      <c r="Q56" s="113" t="s">
        <v>307</v>
      </c>
      <c r="R56">
        <v>117</v>
      </c>
      <c r="S56" s="2">
        <v>20</v>
      </c>
      <c r="T56" t="s">
        <v>286</v>
      </c>
      <c r="U56" t="s">
        <v>291</v>
      </c>
      <c r="V56" t="s">
        <v>289</v>
      </c>
      <c r="W56" s="32"/>
      <c r="X56" s="32"/>
      <c r="Y56" s="26"/>
      <c r="Z56" s="26"/>
      <c r="AA56" s="27">
        <f>IF(TA[[#This Row],[Work Start time on Fault]]="NA","",(TA[[#This Row],[Fault Acknowledgement Time ]]-TA[[#This Row],[Fault Time]])*24)</f>
        <v>0</v>
      </c>
      <c r="AB56" s="27">
        <f>(TA[[#This Row],[Work Start time on Fault]]-TA[[#This Row],[Fault Time]])*24</f>
        <v>0</v>
      </c>
      <c r="AC56" s="26">
        <f>(TA[[#This Row],[Work Completion time on fault]]-TA[[#This Row],[Fault Time]])*24</f>
        <v>0</v>
      </c>
      <c r="AD56" s="27">
        <f>IFERROR((TA[[#This Row],[Work Completion time on fault]]-TA[[#This Row],[Fault Time]])*24,"")</f>
        <v>0</v>
      </c>
      <c r="AE56" t="s">
        <v>319</v>
      </c>
      <c r="AF56" t="s">
        <v>247</v>
      </c>
      <c r="AG56" s="2"/>
      <c r="AH56" s="35">
        <f>1-COS(RADIANS(TA[[#This Row],[Avg. Target Angle during Fault Time (Radians)]]-TA[[#This Row],[Angle of affected equipment ]]))</f>
        <v>0.11705240714107301</v>
      </c>
      <c r="AI56" s="27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43">
        <f t="shared" si="1"/>
        <v>2026</v>
      </c>
      <c r="C57" s="116">
        <f t="shared" si="2"/>
        <v>2025</v>
      </c>
      <c r="D57" s="2" t="s">
        <v>155</v>
      </c>
      <c r="E57" s="2" t="s">
        <v>155</v>
      </c>
      <c r="F57" s="30">
        <v>45748</v>
      </c>
      <c r="G57" s="2">
        <f>DAY(EOMONTH(TA[[#This Row],[Month Year]],0))</f>
        <v>30</v>
      </c>
      <c r="H57" s="21">
        <v>45748</v>
      </c>
      <c r="I57" s="32">
        <f>IFERROR(VLOOKUP(TA[[#This Row],[Date]],Raw_Data[[Date]:[Sunset Time (POA&lt;20 W/m2)]],3,0),"")</f>
        <v>0.26666666666666666</v>
      </c>
      <c r="J57" s="32">
        <f>IFERROR(VLOOKUP(TA[[#This Row],[Date]],Raw_Data[[Date]:[Sunset Time (POA&lt;20 W/m2)]],4,0),"")</f>
        <v>0.76180555555555551</v>
      </c>
      <c r="K57" s="27">
        <f>IFERROR((TA[[#This Row],[Sunset Time (POA&lt;20 W/m2)]]-TA[[#This Row],[Sunrise Time (POA&gt;20 W/m2)]])*24,"")</f>
        <v>11.883333333333333</v>
      </c>
      <c r="L57" s="2" t="s">
        <v>285</v>
      </c>
      <c r="M57" s="33">
        <f>IFERROR(VLOOKUP(TA[[#This Row],[Affected Equipment]],'Basic Data'!$I$2:$K$40,3,0),"")</f>
        <v>1.7241379310344799E-3</v>
      </c>
      <c r="N57">
        <v>-28</v>
      </c>
      <c r="O57" t="s">
        <v>133</v>
      </c>
      <c r="P57" s="114" t="s">
        <v>307</v>
      </c>
      <c r="Q57" s="113" t="s">
        <v>307</v>
      </c>
      <c r="R57">
        <v>118</v>
      </c>
      <c r="S57" s="2">
        <v>22</v>
      </c>
      <c r="T57" t="s">
        <v>286</v>
      </c>
      <c r="U57" t="s">
        <v>291</v>
      </c>
      <c r="V57" t="s">
        <v>289</v>
      </c>
      <c r="W57" s="32"/>
      <c r="X57" s="32"/>
      <c r="Y57" s="26"/>
      <c r="Z57" s="26"/>
      <c r="AA57" s="27">
        <f>IF(TA[[#This Row],[Work Start time on Fault]]="NA","",(TA[[#This Row],[Fault Acknowledgement Time ]]-TA[[#This Row],[Fault Time]])*24)</f>
        <v>0</v>
      </c>
      <c r="AB57" s="27">
        <f>(TA[[#This Row],[Work Start time on Fault]]-TA[[#This Row],[Fault Time]])*24</f>
        <v>0</v>
      </c>
      <c r="AC57" s="26">
        <f>(TA[[#This Row],[Work Completion time on fault]]-TA[[#This Row],[Fault Time]])*24</f>
        <v>0</v>
      </c>
      <c r="AD57" s="27">
        <f>IFERROR((TA[[#This Row],[Work Completion time on fault]]-TA[[#This Row],[Fault Time]])*24,"")</f>
        <v>0</v>
      </c>
      <c r="AE57" t="s">
        <v>319</v>
      </c>
      <c r="AF57" t="s">
        <v>247</v>
      </c>
      <c r="AG57" s="2"/>
      <c r="AH57" s="35">
        <f>1-COS(RADIANS(TA[[#This Row],[Avg. Target Angle during Fault Time (Radians)]]-TA[[#This Row],[Angle of affected equipment ]]))</f>
        <v>0.11705240714107301</v>
      </c>
      <c r="AI57" s="27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43">
        <f t="shared" si="1"/>
        <v>2026</v>
      </c>
      <c r="C58" s="116">
        <f t="shared" si="2"/>
        <v>2025</v>
      </c>
      <c r="D58" s="2" t="s">
        <v>155</v>
      </c>
      <c r="E58" s="2" t="s">
        <v>155</v>
      </c>
      <c r="F58" s="30">
        <v>45748</v>
      </c>
      <c r="G58" s="2">
        <f>DAY(EOMONTH(TA[[#This Row],[Month Year]],0))</f>
        <v>30</v>
      </c>
      <c r="H58" s="21">
        <v>45748</v>
      </c>
      <c r="I58" s="32">
        <f>IFERROR(VLOOKUP(TA[[#This Row],[Date]],Raw_Data[[Date]:[Sunset Time (POA&lt;20 W/m2)]],3,0),"")</f>
        <v>0.26666666666666666</v>
      </c>
      <c r="J58" s="32">
        <f>IFERROR(VLOOKUP(TA[[#This Row],[Date]],Raw_Data[[Date]:[Sunset Time (POA&lt;20 W/m2)]],4,0),"")</f>
        <v>0.76180555555555551</v>
      </c>
      <c r="K58" s="27">
        <f>IFERROR((TA[[#This Row],[Sunset Time (POA&lt;20 W/m2)]]-TA[[#This Row],[Sunrise Time (POA&gt;20 W/m2)]])*24,"")</f>
        <v>11.883333333333333</v>
      </c>
      <c r="L58" s="2" t="s">
        <v>287</v>
      </c>
      <c r="M58" s="33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314</v>
      </c>
      <c r="Q58" s="2" t="s">
        <v>320</v>
      </c>
      <c r="R58">
        <v>45</v>
      </c>
      <c r="S58" s="2">
        <v>8</v>
      </c>
      <c r="T58" t="s">
        <v>288</v>
      </c>
      <c r="U58" t="s">
        <v>317</v>
      </c>
      <c r="V58" t="s">
        <v>292</v>
      </c>
      <c r="W58" s="32">
        <f>IFERROR(VLOOKUP(TA[[#This Row],[Date]],Raw_Data[[Date]:[Sunset Time (POA&lt;20 W/m2)]],3,0),"")</f>
        <v>0.26666666666666666</v>
      </c>
      <c r="X58" s="32">
        <f>IFERROR(VLOOKUP(TA[[#This Row],[Date]],Raw_Data[[Date]:[Sunset Time (POA&lt;20 W/m2)]],3,0),"")</f>
        <v>0.26666666666666666</v>
      </c>
      <c r="Y58" s="26"/>
      <c r="Z58" s="26">
        <v>0.76041666666666663</v>
      </c>
      <c r="AA58" s="27">
        <f>IF(TA[[#This Row],[Work Start time on Fault]]="NA","",(TA[[#This Row],[Fault Acknowledgement Time ]]-TA[[#This Row],[Fault Time]])*24)</f>
        <v>0</v>
      </c>
      <c r="AB58" s="27">
        <f>(TA[[#This Row],[Work Start time on Fault]]-TA[[#This Row],[Fault Time]])*24</f>
        <v>-6.4</v>
      </c>
      <c r="AC58" s="26">
        <f>(TA[[#This Row],[Work Completion time on fault]]-TA[[#This Row],[Fault Time]])*24</f>
        <v>11.85</v>
      </c>
      <c r="AD58" s="27">
        <f>IFERROR((TA[[#This Row],[Work Completion time on fault]]-TA[[#This Row],[Fault Time]])*24,"")</f>
        <v>11.85</v>
      </c>
      <c r="AE58" t="s">
        <v>300</v>
      </c>
      <c r="AF58" t="s">
        <v>247</v>
      </c>
      <c r="AG58" s="2"/>
      <c r="AH58" s="35">
        <f>1-COS(RADIANS(TA[[#This Row],[Avg. Target Angle during Fault Time (Radians)]]-TA[[#This Row],[Angle of affected equipment ]]))</f>
        <v>0.11705240714107301</v>
      </c>
      <c r="AI58" s="27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43">
        <f t="shared" si="1"/>
        <v>2026</v>
      </c>
      <c r="C59" s="116">
        <f t="shared" si="2"/>
        <v>2025</v>
      </c>
      <c r="D59" s="2" t="s">
        <v>155</v>
      </c>
      <c r="E59" s="2" t="s">
        <v>155</v>
      </c>
      <c r="F59" s="30">
        <v>45748</v>
      </c>
      <c r="G59" s="2">
        <f>DAY(EOMONTH(TA[[#This Row],[Month Year]],0))</f>
        <v>30</v>
      </c>
      <c r="H59" s="21">
        <v>45748</v>
      </c>
      <c r="I59" s="32">
        <f>IFERROR(VLOOKUP(TA[[#This Row],[Date]],Raw_Data[[Date]:[Sunset Time (POA&lt;20 W/m2)]],3,0),"")</f>
        <v>0.26666666666666666</v>
      </c>
      <c r="J59" s="32">
        <f>IFERROR(VLOOKUP(TA[[#This Row],[Date]],Raw_Data[[Date]:[Sunset Time (POA&lt;20 W/m2)]],4,0),"")</f>
        <v>0.76180555555555551</v>
      </c>
      <c r="K59" s="27">
        <f>IFERROR((TA[[#This Row],[Sunset Time (POA&lt;20 W/m2)]]-TA[[#This Row],[Sunrise Time (POA&gt;20 W/m2)]])*24,"")</f>
        <v>11.883333333333333</v>
      </c>
      <c r="L59" s="2" t="s">
        <v>287</v>
      </c>
      <c r="M59" s="33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314</v>
      </c>
      <c r="Q59" s="2" t="s">
        <v>320</v>
      </c>
      <c r="R59">
        <v>47</v>
      </c>
      <c r="S59" s="2">
        <v>18</v>
      </c>
      <c r="T59" t="s">
        <v>288</v>
      </c>
      <c r="U59" t="s">
        <v>317</v>
      </c>
      <c r="V59" t="s">
        <v>292</v>
      </c>
      <c r="W59" s="32">
        <f>IFERROR(VLOOKUP(TA[[#This Row],[Date]],Raw_Data[[Date]:[Sunset Time (POA&lt;20 W/m2)]],3,0),"")</f>
        <v>0.26666666666666666</v>
      </c>
      <c r="X59" s="32">
        <f>IFERROR(VLOOKUP(TA[[#This Row],[Date]],Raw_Data[[Date]:[Sunset Time (POA&lt;20 W/m2)]],3,0),"")</f>
        <v>0.26666666666666666</v>
      </c>
      <c r="Y59" s="26"/>
      <c r="Z59" s="26">
        <v>0.76041666666666663</v>
      </c>
      <c r="AA59" s="27">
        <f>IF(TA[[#This Row],[Work Start time on Fault]]="NA","",(TA[[#This Row],[Fault Acknowledgement Time ]]-TA[[#This Row],[Fault Time]])*24)</f>
        <v>0</v>
      </c>
      <c r="AB59" s="27">
        <f>(TA[[#This Row],[Work Start time on Fault]]-TA[[#This Row],[Fault Time]])*24</f>
        <v>-6.4</v>
      </c>
      <c r="AC59" s="26">
        <f>(TA[[#This Row],[Work Completion time on fault]]-TA[[#This Row],[Fault Time]])*24</f>
        <v>11.85</v>
      </c>
      <c r="AD59" s="27">
        <f>IFERROR((TA[[#This Row],[Work Completion time on fault]]-TA[[#This Row],[Fault Time]])*24,"")</f>
        <v>11.85</v>
      </c>
      <c r="AE59" t="s">
        <v>300</v>
      </c>
      <c r="AF59" t="s">
        <v>247</v>
      </c>
      <c r="AG59" s="2"/>
      <c r="AH59" s="35">
        <f>1-COS(RADIANS(TA[[#This Row],[Avg. Target Angle during Fault Time (Radians)]]-TA[[#This Row],[Angle of affected equipment ]]))</f>
        <v>0.11705240714107301</v>
      </c>
      <c r="AI59" s="27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43">
        <f t="shared" si="1"/>
        <v>2026</v>
      </c>
      <c r="C60" s="116">
        <f t="shared" si="2"/>
        <v>2025</v>
      </c>
      <c r="D60" s="2" t="s">
        <v>155</v>
      </c>
      <c r="E60" s="2" t="s">
        <v>155</v>
      </c>
      <c r="F60" s="30">
        <v>45748</v>
      </c>
      <c r="G60" s="2">
        <f>DAY(EOMONTH(TA[[#This Row],[Month Year]],0))</f>
        <v>30</v>
      </c>
      <c r="H60" s="21">
        <v>45748</v>
      </c>
      <c r="I60" s="32">
        <f>IFERROR(VLOOKUP(TA[[#This Row],[Date]],Raw_Data[[Date]:[Sunset Time (POA&lt;20 W/m2)]],3,0),"")</f>
        <v>0.26666666666666666</v>
      </c>
      <c r="J60" s="32">
        <f>IFERROR(VLOOKUP(TA[[#This Row],[Date]],Raw_Data[[Date]:[Sunset Time (POA&lt;20 W/m2)]],4,0),"")</f>
        <v>0.76180555555555551</v>
      </c>
      <c r="K60" s="27">
        <f>IFERROR((TA[[#This Row],[Sunset Time (POA&lt;20 W/m2)]]-TA[[#This Row],[Sunrise Time (POA&gt;20 W/m2)]])*24,"")</f>
        <v>11.883333333333333</v>
      </c>
      <c r="L60" s="2" t="s">
        <v>287</v>
      </c>
      <c r="M60" s="33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321</v>
      </c>
      <c r="Q60" s="2" t="s">
        <v>314</v>
      </c>
      <c r="R60">
        <v>30</v>
      </c>
      <c r="S60" s="2">
        <v>57</v>
      </c>
      <c r="T60" t="s">
        <v>288</v>
      </c>
      <c r="U60" t="s">
        <v>317</v>
      </c>
      <c r="V60" t="s">
        <v>292</v>
      </c>
      <c r="W60" s="32">
        <f>IFERROR(VLOOKUP(TA[[#This Row],[Date]],Raw_Data[[Date]:[Sunset Time (POA&lt;20 W/m2)]],3,0),"")</f>
        <v>0.26666666666666666</v>
      </c>
      <c r="X60" s="32">
        <f>IFERROR(VLOOKUP(TA[[#This Row],[Date]],Raw_Data[[Date]:[Sunset Time (POA&lt;20 W/m2)]],3,0),"")</f>
        <v>0.26666666666666666</v>
      </c>
      <c r="Y60" s="26"/>
      <c r="Z60" s="26">
        <v>0.76041666666666663</v>
      </c>
      <c r="AA60" s="27">
        <f>IF(TA[[#This Row],[Work Start time on Fault]]="NA","",(TA[[#This Row],[Fault Acknowledgement Time ]]-TA[[#This Row],[Fault Time]])*24)</f>
        <v>0</v>
      </c>
      <c r="AB60" s="27">
        <f>(TA[[#This Row],[Work Start time on Fault]]-TA[[#This Row],[Fault Time]])*24</f>
        <v>-6.4</v>
      </c>
      <c r="AC60" s="26">
        <f>(TA[[#This Row],[Work Completion time on fault]]-TA[[#This Row],[Fault Time]])*24</f>
        <v>11.85</v>
      </c>
      <c r="AD60" s="27">
        <f>IFERROR((TA[[#This Row],[Work Completion time on fault]]-TA[[#This Row],[Fault Time]])*24,"")</f>
        <v>11.85</v>
      </c>
      <c r="AE60" t="s">
        <v>300</v>
      </c>
      <c r="AF60" t="s">
        <v>247</v>
      </c>
      <c r="AG60" s="2"/>
      <c r="AH60" s="35">
        <f>1-COS(RADIANS(TA[[#This Row],[Avg. Target Angle during Fault Time (Radians)]]-TA[[#This Row],[Angle of affected equipment ]]))</f>
        <v>0.11705240714107301</v>
      </c>
      <c r="AI60" s="27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43">
        <f t="shared" si="1"/>
        <v>2026</v>
      </c>
      <c r="C61" s="116">
        <f t="shared" si="2"/>
        <v>2025</v>
      </c>
      <c r="D61" s="2" t="s">
        <v>155</v>
      </c>
      <c r="E61" s="2" t="s">
        <v>155</v>
      </c>
      <c r="F61" s="30">
        <v>45748</v>
      </c>
      <c r="G61" s="2">
        <f>DAY(EOMONTH(TA[[#This Row],[Month Year]],0))</f>
        <v>30</v>
      </c>
      <c r="H61" s="21">
        <v>45748</v>
      </c>
      <c r="I61" s="32">
        <f>IFERROR(VLOOKUP(TA[[#This Row],[Date]],Raw_Data[[Date]:[Sunset Time (POA&lt;20 W/m2)]],3,0),"")</f>
        <v>0.26666666666666666</v>
      </c>
      <c r="J61" s="32">
        <f>IFERROR(VLOOKUP(TA[[#This Row],[Date]],Raw_Data[[Date]:[Sunset Time (POA&lt;20 W/m2)]],4,0),"")</f>
        <v>0.76180555555555551</v>
      </c>
      <c r="K61" s="27">
        <f>IFERROR((TA[[#This Row],[Sunset Time (POA&lt;20 W/m2)]]-TA[[#This Row],[Sunrise Time (POA&gt;20 W/m2)]])*24,"")</f>
        <v>11.883333333333333</v>
      </c>
      <c r="L61" s="2" t="s">
        <v>287</v>
      </c>
      <c r="M61" s="33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321</v>
      </c>
      <c r="Q61" s="2" t="s">
        <v>314</v>
      </c>
      <c r="R61">
        <v>31</v>
      </c>
      <c r="S61" s="2">
        <v>61</v>
      </c>
      <c r="T61" t="s">
        <v>288</v>
      </c>
      <c r="U61" t="s">
        <v>317</v>
      </c>
      <c r="V61" t="s">
        <v>292</v>
      </c>
      <c r="W61" s="32">
        <f>IFERROR(VLOOKUP(TA[[#This Row],[Date]],Raw_Data[[Date]:[Sunset Time (POA&lt;20 W/m2)]],3,0),"")</f>
        <v>0.26666666666666666</v>
      </c>
      <c r="X61" s="32">
        <f>IFERROR(VLOOKUP(TA[[#This Row],[Date]],Raw_Data[[Date]:[Sunset Time (POA&lt;20 W/m2)]],3,0),"")</f>
        <v>0.26666666666666666</v>
      </c>
      <c r="Y61" s="26"/>
      <c r="Z61" s="26">
        <v>0.76041666666666663</v>
      </c>
      <c r="AA61" s="27">
        <f>IF(TA[[#This Row],[Work Start time on Fault]]="NA","",(TA[[#This Row],[Fault Acknowledgement Time ]]-TA[[#This Row],[Fault Time]])*24)</f>
        <v>0</v>
      </c>
      <c r="AB61" s="27">
        <f>(TA[[#This Row],[Work Start time on Fault]]-TA[[#This Row],[Fault Time]])*24</f>
        <v>-6.4</v>
      </c>
      <c r="AC61" s="26">
        <f>(TA[[#This Row],[Work Completion time on fault]]-TA[[#This Row],[Fault Time]])*24</f>
        <v>11.85</v>
      </c>
      <c r="AD61" s="27">
        <f>IFERROR((TA[[#This Row],[Work Completion time on fault]]-TA[[#This Row],[Fault Time]])*24,"")</f>
        <v>11.85</v>
      </c>
      <c r="AE61" t="s">
        <v>300</v>
      </c>
      <c r="AF61" t="s">
        <v>247</v>
      </c>
      <c r="AG61" s="2"/>
      <c r="AH61" s="35">
        <f>1-COS(RADIANS(TA[[#This Row],[Avg. Target Angle during Fault Time (Radians)]]-TA[[#This Row],[Angle of affected equipment ]]))</f>
        <v>0.11705240714107301</v>
      </c>
      <c r="AI61" s="27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43">
        <f t="shared" si="1"/>
        <v>2026</v>
      </c>
      <c r="C62" s="116">
        <f t="shared" si="2"/>
        <v>2025</v>
      </c>
      <c r="D62" s="2" t="s">
        <v>155</v>
      </c>
      <c r="E62" s="2" t="s">
        <v>155</v>
      </c>
      <c r="F62" s="30">
        <v>45748</v>
      </c>
      <c r="G62" s="2">
        <f>DAY(EOMONTH(TA[[#This Row],[Month Year]],0))</f>
        <v>30</v>
      </c>
      <c r="H62" s="21">
        <v>45748</v>
      </c>
      <c r="I62" s="32">
        <f>IFERROR(VLOOKUP(TA[[#This Row],[Date]],Raw_Data[[Date]:[Sunset Time (POA&lt;20 W/m2)]],3,0),"")</f>
        <v>0.26666666666666666</v>
      </c>
      <c r="J62" s="32">
        <f>IFERROR(VLOOKUP(TA[[#This Row],[Date]],Raw_Data[[Date]:[Sunset Time (POA&lt;20 W/m2)]],4,0),"")</f>
        <v>0.76180555555555551</v>
      </c>
      <c r="K62" s="27">
        <f>IFERROR((TA[[#This Row],[Sunset Time (POA&lt;20 W/m2)]]-TA[[#This Row],[Sunrise Time (POA&gt;20 W/m2)]])*24,"")</f>
        <v>11.883333333333333</v>
      </c>
      <c r="L62" s="2" t="s">
        <v>303</v>
      </c>
      <c r="M62" s="33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321</v>
      </c>
      <c r="Q62" s="2" t="s">
        <v>314</v>
      </c>
      <c r="R62">
        <v>26</v>
      </c>
      <c r="S62" s="2">
        <v>37</v>
      </c>
      <c r="T62" t="s">
        <v>288</v>
      </c>
      <c r="U62" t="s">
        <v>317</v>
      </c>
      <c r="V62" t="s">
        <v>292</v>
      </c>
      <c r="W62" s="32">
        <f>IFERROR(VLOOKUP(TA[[#This Row],[Date]],Raw_Data[[Date]:[Sunset Time (POA&lt;20 W/m2)]],3,0),"")</f>
        <v>0.26666666666666666</v>
      </c>
      <c r="X62" s="32">
        <f>IFERROR(VLOOKUP(TA[[#This Row],[Date]],Raw_Data[[Date]:[Sunset Time (POA&lt;20 W/m2)]],3,0),"")</f>
        <v>0.26666666666666666</v>
      </c>
      <c r="Y62" s="26"/>
      <c r="Z62" s="26">
        <v>0.76041666666666663</v>
      </c>
      <c r="AA62" s="27">
        <f>IF(TA[[#This Row],[Work Start time on Fault]]="NA","",(TA[[#This Row],[Fault Acknowledgement Time ]]-TA[[#This Row],[Fault Time]])*24)</f>
        <v>0</v>
      </c>
      <c r="AB62" s="27">
        <f>(TA[[#This Row],[Work Start time on Fault]]-TA[[#This Row],[Fault Time]])*24</f>
        <v>-6.4</v>
      </c>
      <c r="AC62" s="26">
        <f>(TA[[#This Row],[Work Completion time on fault]]-TA[[#This Row],[Fault Time]])*24</f>
        <v>11.85</v>
      </c>
      <c r="AD62" s="27">
        <f>IFERROR((TA[[#This Row],[Work Completion time on fault]]-TA[[#This Row],[Fault Time]])*24,"")</f>
        <v>11.85</v>
      </c>
      <c r="AE62" t="s">
        <v>300</v>
      </c>
      <c r="AF62" t="s">
        <v>247</v>
      </c>
      <c r="AG62" s="2"/>
      <c r="AH62" s="35">
        <f>1-COS(RADIANS(TA[[#This Row],[Avg. Target Angle during Fault Time (Radians)]]-TA[[#This Row],[Angle of affected equipment ]]))</f>
        <v>0.11705240714107301</v>
      </c>
      <c r="AI62" s="27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43">
        <f t="shared" si="1"/>
        <v>2026</v>
      </c>
      <c r="C63" s="116">
        <f t="shared" si="2"/>
        <v>2025</v>
      </c>
      <c r="D63" s="2" t="s">
        <v>155</v>
      </c>
      <c r="E63" s="2" t="s">
        <v>155</v>
      </c>
      <c r="F63" s="30">
        <v>45748</v>
      </c>
      <c r="G63" s="2">
        <f>DAY(EOMONTH(TA[[#This Row],[Month Year]],0))</f>
        <v>30</v>
      </c>
      <c r="H63" s="21">
        <v>45748</v>
      </c>
      <c r="I63" s="32">
        <f>IFERROR(VLOOKUP(TA[[#This Row],[Date]],Raw_Data[[Date]:[Sunset Time (POA&lt;20 W/m2)]],3,0),"")</f>
        <v>0.26666666666666666</v>
      </c>
      <c r="J63" s="32">
        <f>IFERROR(VLOOKUP(TA[[#This Row],[Date]],Raw_Data[[Date]:[Sunset Time (POA&lt;20 W/m2)]],4,0),"")</f>
        <v>0.76180555555555551</v>
      </c>
      <c r="K63" s="27">
        <f>IFERROR((TA[[#This Row],[Sunset Time (POA&lt;20 W/m2)]]-TA[[#This Row],[Sunrise Time (POA&gt;20 W/m2)]])*24,"")</f>
        <v>11.883333333333333</v>
      </c>
      <c r="L63" s="2" t="s">
        <v>303</v>
      </c>
      <c r="M63" s="33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321</v>
      </c>
      <c r="Q63" s="2" t="s">
        <v>314</v>
      </c>
      <c r="R63">
        <v>27</v>
      </c>
      <c r="S63" s="2">
        <v>42</v>
      </c>
      <c r="T63" t="s">
        <v>288</v>
      </c>
      <c r="U63" t="s">
        <v>317</v>
      </c>
      <c r="V63" t="s">
        <v>292</v>
      </c>
      <c r="W63" s="32">
        <f>IFERROR(VLOOKUP(TA[[#This Row],[Date]],Raw_Data[[Date]:[Sunset Time (POA&lt;20 W/m2)]],3,0),"")</f>
        <v>0.26666666666666666</v>
      </c>
      <c r="X63" s="32">
        <f>IFERROR(VLOOKUP(TA[[#This Row],[Date]],Raw_Data[[Date]:[Sunset Time (POA&lt;20 W/m2)]],3,0),"")</f>
        <v>0.26666666666666666</v>
      </c>
      <c r="Y63" s="26"/>
      <c r="Z63" s="26">
        <v>0.76041666666666663</v>
      </c>
      <c r="AA63" s="27">
        <f>IF(TA[[#This Row],[Work Start time on Fault]]="NA","",(TA[[#This Row],[Fault Acknowledgement Time ]]-TA[[#This Row],[Fault Time]])*24)</f>
        <v>0</v>
      </c>
      <c r="AB63" s="27">
        <f>(TA[[#This Row],[Work Start time on Fault]]-TA[[#This Row],[Fault Time]])*24</f>
        <v>-6.4</v>
      </c>
      <c r="AC63" s="26">
        <f>(TA[[#This Row],[Work Completion time on fault]]-TA[[#This Row],[Fault Time]])*24</f>
        <v>11.85</v>
      </c>
      <c r="AD63" s="27">
        <f>IFERROR((TA[[#This Row],[Work Completion time on fault]]-TA[[#This Row],[Fault Time]])*24,"")</f>
        <v>11.85</v>
      </c>
      <c r="AE63" t="s">
        <v>300</v>
      </c>
      <c r="AF63" t="s">
        <v>247</v>
      </c>
      <c r="AG63" s="2"/>
      <c r="AH63" s="35">
        <f>1-COS(RADIANS(TA[[#This Row],[Avg. Target Angle during Fault Time (Radians)]]-TA[[#This Row],[Angle of affected equipment ]]))</f>
        <v>0.11705240714107301</v>
      </c>
      <c r="AI63" s="27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43">
        <f t="shared" si="1"/>
        <v>2026</v>
      </c>
      <c r="C64" s="116">
        <f t="shared" si="2"/>
        <v>2025</v>
      </c>
      <c r="D64" s="2" t="s">
        <v>155</v>
      </c>
      <c r="E64" s="2" t="s">
        <v>155</v>
      </c>
      <c r="F64" s="30">
        <v>45748</v>
      </c>
      <c r="G64" s="2">
        <f>DAY(EOMONTH(TA[[#This Row],[Month Year]],0))</f>
        <v>30</v>
      </c>
      <c r="H64" s="21">
        <v>45749</v>
      </c>
      <c r="I64" s="32">
        <f>IFERROR(VLOOKUP(TA[[#This Row],[Date]],Raw_Data[[Date]:[Sunset Time (POA&lt;20 W/m2)]],3,0),"")</f>
        <v>0.26874999999999999</v>
      </c>
      <c r="J64" s="32">
        <f>IFERROR(VLOOKUP(TA[[#This Row],[Date]],Raw_Data[[Date]:[Sunset Time (POA&lt;20 W/m2)]],4,0),"")</f>
        <v>0.76249999999999996</v>
      </c>
      <c r="K64" s="27">
        <f>IFERROR((TA[[#This Row],[Sunset Time (POA&lt;20 W/m2)]]-TA[[#This Row],[Sunrise Time (POA&gt;20 W/m2)]])*24,"")</f>
        <v>11.85</v>
      </c>
      <c r="L64" s="2" t="s">
        <v>285</v>
      </c>
      <c r="M64" s="33">
        <f>IFERROR(VLOOKUP(TA[[#This Row],[Affected Equipment]],'Basic Data'!$I$2:$K$40,3,0),"")</f>
        <v>1.7241379310344799E-3</v>
      </c>
      <c r="N64">
        <v>-28</v>
      </c>
      <c r="O64" t="s">
        <v>135</v>
      </c>
      <c r="P64" s="114" t="s">
        <v>309</v>
      </c>
      <c r="Q64" s="113" t="s">
        <v>309</v>
      </c>
      <c r="R64">
        <v>130</v>
      </c>
      <c r="S64" s="2">
        <v>36</v>
      </c>
      <c r="T64" t="s">
        <v>286</v>
      </c>
      <c r="U64" t="s">
        <v>291</v>
      </c>
      <c r="V64" t="s">
        <v>289</v>
      </c>
      <c r="W64" s="32"/>
      <c r="X64" s="32"/>
      <c r="Y64" s="26"/>
      <c r="Z64" s="26"/>
      <c r="AA64" s="27">
        <f>IF(TA[[#This Row],[Work Start time on Fault]]="NA","",(TA[[#This Row],[Fault Acknowledgement Time ]]-TA[[#This Row],[Fault Time]])*24)</f>
        <v>0</v>
      </c>
      <c r="AB64" s="27">
        <f>(TA[[#This Row],[Work Start time on Fault]]-TA[[#This Row],[Fault Time]])*24</f>
        <v>0</v>
      </c>
      <c r="AC64" s="26">
        <f>(TA[[#This Row],[Work Completion time on fault]]-TA[[#This Row],[Fault Time]])*24</f>
        <v>0</v>
      </c>
      <c r="AD64" s="27">
        <f>IFERROR((TA[[#This Row],[Work Completion time on fault]]-TA[[#This Row],[Fault Time]])*24,"")</f>
        <v>0</v>
      </c>
      <c r="AE64" t="s">
        <v>319</v>
      </c>
      <c r="AF64" t="s">
        <v>247</v>
      </c>
      <c r="AG64" s="2"/>
      <c r="AH64" s="35">
        <f>1-COS(RADIANS(TA[[#This Row],[Avg. Target Angle during Fault Time (Radians)]]-TA[[#This Row],[Angle of affected equipment ]]))</f>
        <v>0.11705240714107301</v>
      </c>
      <c r="AI64" s="27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43">
        <f t="shared" si="1"/>
        <v>2026</v>
      </c>
      <c r="C65" s="116">
        <f t="shared" si="2"/>
        <v>2025</v>
      </c>
      <c r="D65" s="2" t="s">
        <v>155</v>
      </c>
      <c r="E65" s="2" t="s">
        <v>155</v>
      </c>
      <c r="F65" s="30">
        <v>45748</v>
      </c>
      <c r="G65" s="2">
        <f>DAY(EOMONTH(TA[[#This Row],[Month Year]],0))</f>
        <v>30</v>
      </c>
      <c r="H65" s="21">
        <v>45749</v>
      </c>
      <c r="I65" s="32">
        <f>IFERROR(VLOOKUP(TA[[#This Row],[Date]],Raw_Data[[Date]:[Sunset Time (POA&lt;20 W/m2)]],3,0),"")</f>
        <v>0.26874999999999999</v>
      </c>
      <c r="J65" s="32">
        <f>IFERROR(VLOOKUP(TA[[#This Row],[Date]],Raw_Data[[Date]:[Sunset Time (POA&lt;20 W/m2)]],4,0),"")</f>
        <v>0.76249999999999996</v>
      </c>
      <c r="K65" s="27">
        <f>IFERROR((TA[[#This Row],[Sunset Time (POA&lt;20 W/m2)]]-TA[[#This Row],[Sunrise Time (POA&gt;20 W/m2)]])*24,"")</f>
        <v>11.85</v>
      </c>
      <c r="L65" s="2" t="s">
        <v>285</v>
      </c>
      <c r="M65" s="33">
        <f>IFERROR(VLOOKUP(TA[[#This Row],[Affected Equipment]],'Basic Data'!$I$2:$K$40,3,0),"")</f>
        <v>1.7241379310344799E-3</v>
      </c>
      <c r="N65">
        <v>-28</v>
      </c>
      <c r="O65" t="s">
        <v>135</v>
      </c>
      <c r="P65" s="114" t="s">
        <v>309</v>
      </c>
      <c r="Q65" s="113" t="s">
        <v>309</v>
      </c>
      <c r="R65">
        <v>130</v>
      </c>
      <c r="S65" s="2">
        <v>37</v>
      </c>
      <c r="T65" t="s">
        <v>286</v>
      </c>
      <c r="U65" t="s">
        <v>291</v>
      </c>
      <c r="V65" t="s">
        <v>289</v>
      </c>
      <c r="W65" s="32"/>
      <c r="X65" s="32"/>
      <c r="Y65" s="26"/>
      <c r="Z65" s="26"/>
      <c r="AA65" s="27">
        <f>IF(TA[[#This Row],[Work Start time on Fault]]="NA","",(TA[[#This Row],[Fault Acknowledgement Time ]]-TA[[#This Row],[Fault Time]])*24)</f>
        <v>0</v>
      </c>
      <c r="AB65" s="27">
        <f>(TA[[#This Row],[Work Start time on Fault]]-TA[[#This Row],[Fault Time]])*24</f>
        <v>0</v>
      </c>
      <c r="AC65" s="26">
        <f>(TA[[#This Row],[Work Completion time on fault]]-TA[[#This Row],[Fault Time]])*24</f>
        <v>0</v>
      </c>
      <c r="AD65" s="27">
        <f>IFERROR((TA[[#This Row],[Work Completion time on fault]]-TA[[#This Row],[Fault Time]])*24,"")</f>
        <v>0</v>
      </c>
      <c r="AE65" t="s">
        <v>319</v>
      </c>
      <c r="AF65" t="s">
        <v>247</v>
      </c>
      <c r="AG65" s="2"/>
      <c r="AH65" s="35">
        <f>1-COS(RADIANS(TA[[#This Row],[Avg. Target Angle during Fault Time (Radians)]]-TA[[#This Row],[Angle of affected equipment ]]))</f>
        <v>0.11705240714107301</v>
      </c>
      <c r="AI65" s="27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43">
        <f t="shared" si="1"/>
        <v>2026</v>
      </c>
      <c r="C66" s="116">
        <f t="shared" si="2"/>
        <v>2025</v>
      </c>
      <c r="D66" s="2" t="s">
        <v>155</v>
      </c>
      <c r="E66" s="2" t="s">
        <v>155</v>
      </c>
      <c r="F66" s="30">
        <v>45748</v>
      </c>
      <c r="G66" s="2">
        <f>DAY(EOMONTH(TA[[#This Row],[Month Year]],0))</f>
        <v>30</v>
      </c>
      <c r="H66" s="21">
        <v>45749</v>
      </c>
      <c r="I66" s="32">
        <f>IFERROR(VLOOKUP(TA[[#This Row],[Date]],Raw_Data[[Date]:[Sunset Time (POA&lt;20 W/m2)]],3,0),"")</f>
        <v>0.26874999999999999</v>
      </c>
      <c r="J66" s="32">
        <f>IFERROR(VLOOKUP(TA[[#This Row],[Date]],Raw_Data[[Date]:[Sunset Time (POA&lt;20 W/m2)]],4,0),"")</f>
        <v>0.76249999999999996</v>
      </c>
      <c r="K66" s="27">
        <f>IFERROR((TA[[#This Row],[Sunset Time (POA&lt;20 W/m2)]]-TA[[#This Row],[Sunrise Time (POA&gt;20 W/m2)]])*24,"")</f>
        <v>11.85</v>
      </c>
      <c r="L66" s="2" t="s">
        <v>285</v>
      </c>
      <c r="M66" s="33">
        <f>IFERROR(VLOOKUP(TA[[#This Row],[Affected Equipment]],'Basic Data'!$I$2:$K$40,3,0),"")</f>
        <v>1.7241379310344799E-3</v>
      </c>
      <c r="N66">
        <v>-28</v>
      </c>
      <c r="O66" t="s">
        <v>135</v>
      </c>
      <c r="P66" s="114" t="s">
        <v>309</v>
      </c>
      <c r="Q66" s="113" t="s">
        <v>309</v>
      </c>
      <c r="R66">
        <v>131</v>
      </c>
      <c r="S66" s="2">
        <v>38</v>
      </c>
      <c r="T66" t="s">
        <v>286</v>
      </c>
      <c r="U66" t="s">
        <v>291</v>
      </c>
      <c r="V66" t="s">
        <v>289</v>
      </c>
      <c r="W66" s="32"/>
      <c r="X66" s="32"/>
      <c r="Y66" s="26"/>
      <c r="Z66" s="26"/>
      <c r="AA66" s="27">
        <f>IF(TA[[#This Row],[Work Start time on Fault]]="NA","",(TA[[#This Row],[Fault Acknowledgement Time ]]-TA[[#This Row],[Fault Time]])*24)</f>
        <v>0</v>
      </c>
      <c r="AB66" s="27">
        <f>(TA[[#This Row],[Work Start time on Fault]]-TA[[#This Row],[Fault Time]])*24</f>
        <v>0</v>
      </c>
      <c r="AC66" s="26">
        <f>(TA[[#This Row],[Work Completion time on fault]]-TA[[#This Row],[Fault Time]])*24</f>
        <v>0</v>
      </c>
      <c r="AD66" s="27">
        <f>IFERROR((TA[[#This Row],[Work Completion time on fault]]-TA[[#This Row],[Fault Time]])*24,"")</f>
        <v>0</v>
      </c>
      <c r="AE66" t="s">
        <v>319</v>
      </c>
      <c r="AF66" t="s">
        <v>247</v>
      </c>
      <c r="AG66" s="2"/>
      <c r="AH66" s="35">
        <f>1-COS(RADIANS(TA[[#This Row],[Avg. Target Angle during Fault Time (Radians)]]-TA[[#This Row],[Angle of affected equipment ]]))</f>
        <v>0.11705240714107301</v>
      </c>
      <c r="AI66" s="27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43">
        <f t="shared" si="1"/>
        <v>2026</v>
      </c>
      <c r="C67" s="116">
        <f t="shared" si="2"/>
        <v>2025</v>
      </c>
      <c r="D67" s="2" t="s">
        <v>155</v>
      </c>
      <c r="E67" s="2" t="s">
        <v>155</v>
      </c>
      <c r="F67" s="30">
        <v>45748</v>
      </c>
      <c r="G67" s="2">
        <f>DAY(EOMONTH(TA[[#This Row],[Month Year]],0))</f>
        <v>30</v>
      </c>
      <c r="H67" s="21">
        <v>45749</v>
      </c>
      <c r="I67" s="32">
        <f>IFERROR(VLOOKUP(TA[[#This Row],[Date]],Raw_Data[[Date]:[Sunset Time (POA&lt;20 W/m2)]],3,0),"")</f>
        <v>0.26874999999999999</v>
      </c>
      <c r="J67" s="32">
        <f>IFERROR(VLOOKUP(TA[[#This Row],[Date]],Raw_Data[[Date]:[Sunset Time (POA&lt;20 W/m2)]],4,0),"")</f>
        <v>0.76249999999999996</v>
      </c>
      <c r="K67" s="27">
        <f>IFERROR((TA[[#This Row],[Sunset Time (POA&lt;20 W/m2)]]-TA[[#This Row],[Sunrise Time (POA&gt;20 W/m2)]])*24,"")</f>
        <v>11.85</v>
      </c>
      <c r="L67" s="2" t="s">
        <v>285</v>
      </c>
      <c r="M67" s="33">
        <f>IFERROR(VLOOKUP(TA[[#This Row],[Affected Equipment]],'Basic Data'!$I$2:$K$40,3,0),"")</f>
        <v>1.7241379310344799E-3</v>
      </c>
      <c r="N67">
        <v>-28</v>
      </c>
      <c r="O67" t="s">
        <v>135</v>
      </c>
      <c r="P67" s="114" t="s">
        <v>309</v>
      </c>
      <c r="Q67" s="113" t="s">
        <v>309</v>
      </c>
      <c r="R67">
        <v>131</v>
      </c>
      <c r="S67" s="2">
        <v>39</v>
      </c>
      <c r="T67" t="s">
        <v>286</v>
      </c>
      <c r="U67" t="s">
        <v>291</v>
      </c>
      <c r="V67" t="s">
        <v>289</v>
      </c>
      <c r="W67" s="32"/>
      <c r="X67" s="32"/>
      <c r="Y67" s="26"/>
      <c r="Z67" s="26"/>
      <c r="AA67" s="27">
        <f>IF(TA[[#This Row],[Work Start time on Fault]]="NA","",(TA[[#This Row],[Fault Acknowledgement Time ]]-TA[[#This Row],[Fault Time]])*24)</f>
        <v>0</v>
      </c>
      <c r="AB67" s="27">
        <f>(TA[[#This Row],[Work Start time on Fault]]-TA[[#This Row],[Fault Time]])*24</f>
        <v>0</v>
      </c>
      <c r="AC67" s="26">
        <f>(TA[[#This Row],[Work Completion time on fault]]-TA[[#This Row],[Fault Time]])*24</f>
        <v>0</v>
      </c>
      <c r="AD67" s="27">
        <f>IFERROR((TA[[#This Row],[Work Completion time on fault]]-TA[[#This Row],[Fault Time]])*24,"")</f>
        <v>0</v>
      </c>
      <c r="AE67" t="s">
        <v>319</v>
      </c>
      <c r="AF67" t="s">
        <v>247</v>
      </c>
      <c r="AG67" s="2"/>
      <c r="AH67" s="35">
        <f>1-COS(RADIANS(TA[[#This Row],[Avg. Target Angle during Fault Time (Radians)]]-TA[[#This Row],[Angle of affected equipment ]]))</f>
        <v>0.11705240714107301</v>
      </c>
      <c r="AI67" s="27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43">
        <f t="shared" si="1"/>
        <v>2026</v>
      </c>
      <c r="C68" s="116">
        <f t="shared" si="2"/>
        <v>2025</v>
      </c>
      <c r="D68" s="2" t="s">
        <v>155</v>
      </c>
      <c r="E68" s="2" t="s">
        <v>155</v>
      </c>
      <c r="F68" s="30">
        <v>45748</v>
      </c>
      <c r="G68" s="2">
        <f>DAY(EOMONTH(TA[[#This Row],[Month Year]],0))</f>
        <v>30</v>
      </c>
      <c r="H68" s="21">
        <v>45749</v>
      </c>
      <c r="I68" s="32">
        <f>IFERROR(VLOOKUP(TA[[#This Row],[Date]],Raw_Data[[Date]:[Sunset Time (POA&lt;20 W/m2)]],3,0),"")</f>
        <v>0.26874999999999999</v>
      </c>
      <c r="J68" s="32">
        <f>IFERROR(VLOOKUP(TA[[#This Row],[Date]],Raw_Data[[Date]:[Sunset Time (POA&lt;20 W/m2)]],4,0),"")</f>
        <v>0.76249999999999996</v>
      </c>
      <c r="K68" s="27">
        <f>IFERROR((TA[[#This Row],[Sunset Time (POA&lt;20 W/m2)]]-TA[[#This Row],[Sunrise Time (POA&gt;20 W/m2)]])*24,"")</f>
        <v>11.85</v>
      </c>
      <c r="L68" s="2" t="s">
        <v>287</v>
      </c>
      <c r="M68" s="33">
        <f>IFERROR(VLOOKUP(TA[[#This Row],[Affected Equipment]],'Basic Data'!$I$2:$K$40,3,0),"")</f>
        <v>8.6206896551724102E-3</v>
      </c>
      <c r="N68">
        <v>-28</v>
      </c>
      <c r="O68" t="s">
        <v>135</v>
      </c>
      <c r="P68" s="114" t="s">
        <v>309</v>
      </c>
      <c r="Q68" s="2" t="s">
        <v>312</v>
      </c>
      <c r="R68">
        <v>133</v>
      </c>
      <c r="S68" s="2">
        <v>26</v>
      </c>
      <c r="T68" t="s">
        <v>288</v>
      </c>
      <c r="U68" t="s">
        <v>291</v>
      </c>
      <c r="V68" t="s">
        <v>305</v>
      </c>
      <c r="W68" s="32"/>
      <c r="X68" s="32"/>
      <c r="Y68" s="26"/>
      <c r="Z68" s="26"/>
      <c r="AA68" s="27">
        <f>IF(TA[[#This Row],[Work Start time on Fault]]="NA","",(TA[[#This Row],[Fault Acknowledgement Time ]]-TA[[#This Row],[Fault Time]])*24)</f>
        <v>0</v>
      </c>
      <c r="AB68" s="27">
        <f>(TA[[#This Row],[Work Start time on Fault]]-TA[[#This Row],[Fault Time]])*24</f>
        <v>0</v>
      </c>
      <c r="AC68" s="26">
        <f>(TA[[#This Row],[Work Completion time on fault]]-TA[[#This Row],[Fault Time]])*24</f>
        <v>0</v>
      </c>
      <c r="AD68" s="27">
        <f>IFERROR((TA[[#This Row],[Work Completion time on fault]]-TA[[#This Row],[Fault Time]])*24,"")</f>
        <v>0</v>
      </c>
      <c r="AE68" t="s">
        <v>319</v>
      </c>
      <c r="AF68" t="s">
        <v>247</v>
      </c>
      <c r="AG68" s="2"/>
      <c r="AH68" s="35">
        <f>1-COS(RADIANS(TA[[#This Row],[Avg. Target Angle during Fault Time (Radians)]]-TA[[#This Row],[Angle of affected equipment ]]))</f>
        <v>0.11705240714107301</v>
      </c>
      <c r="AI68" s="27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43">
        <f t="shared" ref="B69:B132" si="5">YEAR(H69)+IF(MONTH(H69)&gt;=4,1,0)</f>
        <v>2026</v>
      </c>
      <c r="C69" s="116">
        <f t="shared" ref="C69:C132" si="6">YEAR(H69)</f>
        <v>2025</v>
      </c>
      <c r="D69" s="2" t="s">
        <v>155</v>
      </c>
      <c r="E69" s="2" t="s">
        <v>155</v>
      </c>
      <c r="F69" s="30">
        <v>45748</v>
      </c>
      <c r="G69" s="2">
        <f>DAY(EOMONTH(TA[[#This Row],[Month Year]],0))</f>
        <v>30</v>
      </c>
      <c r="H69" s="21">
        <v>45749</v>
      </c>
      <c r="I69" s="32">
        <f>IFERROR(VLOOKUP(TA[[#This Row],[Date]],Raw_Data[[Date]:[Sunset Time (POA&lt;20 W/m2)]],3,0),"")</f>
        <v>0.26874999999999999</v>
      </c>
      <c r="J69" s="32">
        <f>IFERROR(VLOOKUP(TA[[#This Row],[Date]],Raw_Data[[Date]:[Sunset Time (POA&lt;20 W/m2)]],4,0),"")</f>
        <v>0.76249999999999996</v>
      </c>
      <c r="K69" s="27">
        <f>IFERROR((TA[[#This Row],[Sunset Time (POA&lt;20 W/m2)]]-TA[[#This Row],[Sunrise Time (POA&gt;20 W/m2)]])*24,"")</f>
        <v>11.85</v>
      </c>
      <c r="L69" s="2" t="s">
        <v>285</v>
      </c>
      <c r="M69" s="33">
        <f>IFERROR(VLOOKUP(TA[[#This Row],[Affected Equipment]],'Basic Data'!$I$2:$K$40,3,0),"")</f>
        <v>1.7241379310344799E-3</v>
      </c>
      <c r="N69">
        <v>-28</v>
      </c>
      <c r="O69" t="s">
        <v>133</v>
      </c>
      <c r="P69" s="114" t="s">
        <v>307</v>
      </c>
      <c r="Q69" s="113" t="s">
        <v>308</v>
      </c>
      <c r="R69">
        <v>7</v>
      </c>
      <c r="S69" s="2">
        <v>32</v>
      </c>
      <c r="T69" t="s">
        <v>286</v>
      </c>
      <c r="U69" t="s">
        <v>291</v>
      </c>
      <c r="V69" t="s">
        <v>289</v>
      </c>
      <c r="W69" s="32"/>
      <c r="X69" s="32"/>
      <c r="Y69" s="26"/>
      <c r="Z69" s="26"/>
      <c r="AA69" s="27">
        <f>IF(TA[[#This Row],[Work Start time on Fault]]="NA","",(TA[[#This Row],[Fault Acknowledgement Time ]]-TA[[#This Row],[Fault Time]])*24)</f>
        <v>0</v>
      </c>
      <c r="AB69" s="27">
        <f>(TA[[#This Row],[Work Start time on Fault]]-TA[[#This Row],[Fault Time]])*24</f>
        <v>0</v>
      </c>
      <c r="AC69" s="26">
        <f>(TA[[#This Row],[Work Completion time on fault]]-TA[[#This Row],[Fault Time]])*24</f>
        <v>0</v>
      </c>
      <c r="AD69" s="27">
        <f>IFERROR((TA[[#This Row],[Work Completion time on fault]]-TA[[#This Row],[Fault Time]])*24,"")</f>
        <v>0</v>
      </c>
      <c r="AE69" t="s">
        <v>319</v>
      </c>
      <c r="AF69" t="s">
        <v>247</v>
      </c>
      <c r="AG69" s="2"/>
      <c r="AH69" s="35">
        <f>1-COS(RADIANS(TA[[#This Row],[Avg. Target Angle during Fault Time (Radians)]]-TA[[#This Row],[Angle of affected equipment ]]))</f>
        <v>0.11705240714107301</v>
      </c>
      <c r="AI69" s="27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43">
        <f t="shared" si="5"/>
        <v>2026</v>
      </c>
      <c r="C70" s="116">
        <f t="shared" si="6"/>
        <v>2025</v>
      </c>
      <c r="D70" s="2" t="s">
        <v>155</v>
      </c>
      <c r="E70" s="2" t="s">
        <v>155</v>
      </c>
      <c r="F70" s="30">
        <v>45748</v>
      </c>
      <c r="G70" s="2">
        <f>DAY(EOMONTH(TA[[#This Row],[Month Year]],0))</f>
        <v>30</v>
      </c>
      <c r="H70" s="21">
        <v>45749</v>
      </c>
      <c r="I70" s="32">
        <f>IFERROR(VLOOKUP(TA[[#This Row],[Date]],Raw_Data[[Date]:[Sunset Time (POA&lt;20 W/m2)]],3,0),"")</f>
        <v>0.26874999999999999</v>
      </c>
      <c r="J70" s="32">
        <f>IFERROR(VLOOKUP(TA[[#This Row],[Date]],Raw_Data[[Date]:[Sunset Time (POA&lt;20 W/m2)]],4,0),"")</f>
        <v>0.76249999999999996</v>
      </c>
      <c r="K70" s="27">
        <f>IFERROR((TA[[#This Row],[Sunset Time (POA&lt;20 W/m2)]]-TA[[#This Row],[Sunrise Time (POA&gt;20 W/m2)]])*24,"")</f>
        <v>11.85</v>
      </c>
      <c r="L70" s="2" t="s">
        <v>285</v>
      </c>
      <c r="M70" s="33">
        <f>IFERROR(VLOOKUP(TA[[#This Row],[Affected Equipment]],'Basic Data'!$I$2:$K$40,3,0),"")</f>
        <v>1.7241379310344799E-3</v>
      </c>
      <c r="N70">
        <v>-28</v>
      </c>
      <c r="O70" t="s">
        <v>137</v>
      </c>
      <c r="P70" s="114" t="s">
        <v>306</v>
      </c>
      <c r="Q70" s="113" t="s">
        <v>310</v>
      </c>
      <c r="R70">
        <v>166</v>
      </c>
      <c r="S70" s="2">
        <v>91</v>
      </c>
      <c r="T70" t="s">
        <v>286</v>
      </c>
      <c r="U70" t="s">
        <v>291</v>
      </c>
      <c r="V70" t="s">
        <v>289</v>
      </c>
      <c r="W70" s="32"/>
      <c r="X70" s="32"/>
      <c r="Y70" s="26"/>
      <c r="Z70" s="26"/>
      <c r="AA70" s="27">
        <f>IF(TA[[#This Row],[Work Start time on Fault]]="NA","",(TA[[#This Row],[Fault Acknowledgement Time ]]-TA[[#This Row],[Fault Time]])*24)</f>
        <v>0</v>
      </c>
      <c r="AB70" s="27">
        <f>(TA[[#This Row],[Work Start time on Fault]]-TA[[#This Row],[Fault Time]])*24</f>
        <v>0</v>
      </c>
      <c r="AC70" s="26">
        <f>(TA[[#This Row],[Work Completion time on fault]]-TA[[#This Row],[Fault Time]])*24</f>
        <v>0</v>
      </c>
      <c r="AD70" s="27">
        <f>IFERROR((TA[[#This Row],[Work Completion time on fault]]-TA[[#This Row],[Fault Time]])*24,"")</f>
        <v>0</v>
      </c>
      <c r="AE70" t="s">
        <v>319</v>
      </c>
      <c r="AF70" t="s">
        <v>247</v>
      </c>
      <c r="AG70" s="2"/>
      <c r="AH70" s="35">
        <f>1-COS(RADIANS(TA[[#This Row],[Avg. Target Angle during Fault Time (Radians)]]-TA[[#This Row],[Angle of affected equipment ]]))</f>
        <v>0.11705240714107301</v>
      </c>
      <c r="AI70" s="27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43">
        <f t="shared" si="5"/>
        <v>2026</v>
      </c>
      <c r="C71" s="116">
        <f t="shared" si="6"/>
        <v>2025</v>
      </c>
      <c r="D71" s="2" t="s">
        <v>155</v>
      </c>
      <c r="E71" s="2" t="s">
        <v>155</v>
      </c>
      <c r="F71" s="30">
        <v>45748</v>
      </c>
      <c r="G71" s="2">
        <f>DAY(EOMONTH(TA[[#This Row],[Month Year]],0))</f>
        <v>30</v>
      </c>
      <c r="H71" s="21">
        <v>45749</v>
      </c>
      <c r="I71" s="32">
        <f>IFERROR(VLOOKUP(TA[[#This Row],[Date]],Raw_Data[[Date]:[Sunset Time (POA&lt;20 W/m2)]],3,0),"")</f>
        <v>0.26874999999999999</v>
      </c>
      <c r="J71" s="32">
        <f>IFERROR(VLOOKUP(TA[[#This Row],[Date]],Raw_Data[[Date]:[Sunset Time (POA&lt;20 W/m2)]],4,0),"")</f>
        <v>0.76249999999999996</v>
      </c>
      <c r="K71" s="27">
        <f>IFERROR((TA[[#This Row],[Sunset Time (POA&lt;20 W/m2)]]-TA[[#This Row],[Sunrise Time (POA&gt;20 W/m2)]])*24,"")</f>
        <v>11.85</v>
      </c>
      <c r="L71" s="2" t="s">
        <v>285</v>
      </c>
      <c r="M71" s="33">
        <f>IFERROR(VLOOKUP(TA[[#This Row],[Affected Equipment]],'Basic Data'!$I$2:$K$40,3,0),"")</f>
        <v>1.7241379310344799E-3</v>
      </c>
      <c r="N71">
        <v>-28</v>
      </c>
      <c r="O71" t="s">
        <v>133</v>
      </c>
      <c r="P71" s="114" t="s">
        <v>307</v>
      </c>
      <c r="Q71" s="113" t="s">
        <v>307</v>
      </c>
      <c r="R71">
        <v>117</v>
      </c>
      <c r="S71" s="2">
        <v>20</v>
      </c>
      <c r="T71" t="s">
        <v>286</v>
      </c>
      <c r="U71" t="s">
        <v>291</v>
      </c>
      <c r="V71" t="s">
        <v>289</v>
      </c>
      <c r="W71" s="32"/>
      <c r="X71" s="32"/>
      <c r="Y71" s="26"/>
      <c r="Z71" s="26"/>
      <c r="AA71" s="27">
        <f>IF(TA[[#This Row],[Work Start time on Fault]]="NA","",(TA[[#This Row],[Fault Acknowledgement Time ]]-TA[[#This Row],[Fault Time]])*24)</f>
        <v>0</v>
      </c>
      <c r="AB71" s="27">
        <f>(TA[[#This Row],[Work Start time on Fault]]-TA[[#This Row],[Fault Time]])*24</f>
        <v>0</v>
      </c>
      <c r="AC71" s="26">
        <f>(TA[[#This Row],[Work Completion time on fault]]-TA[[#This Row],[Fault Time]])*24</f>
        <v>0</v>
      </c>
      <c r="AD71" s="27">
        <f>IFERROR((TA[[#This Row],[Work Completion time on fault]]-TA[[#This Row],[Fault Time]])*24,"")</f>
        <v>0</v>
      </c>
      <c r="AE71" t="s">
        <v>319</v>
      </c>
      <c r="AF71" t="s">
        <v>247</v>
      </c>
      <c r="AG71" s="2"/>
      <c r="AH71" s="35">
        <f>1-COS(RADIANS(TA[[#This Row],[Avg. Target Angle during Fault Time (Radians)]]-TA[[#This Row],[Angle of affected equipment ]]))</f>
        <v>0.11705240714107301</v>
      </c>
      <c r="AI71" s="27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43">
        <f t="shared" si="5"/>
        <v>2026</v>
      </c>
      <c r="C72" s="116">
        <f t="shared" si="6"/>
        <v>2025</v>
      </c>
      <c r="D72" s="2" t="s">
        <v>155</v>
      </c>
      <c r="E72" s="2" t="s">
        <v>155</v>
      </c>
      <c r="F72" s="30">
        <v>45748</v>
      </c>
      <c r="G72" s="2">
        <f>DAY(EOMONTH(TA[[#This Row],[Month Year]],0))</f>
        <v>30</v>
      </c>
      <c r="H72" s="21">
        <v>45749</v>
      </c>
      <c r="I72" s="32">
        <f>IFERROR(VLOOKUP(TA[[#This Row],[Date]],Raw_Data[[Date]:[Sunset Time (POA&lt;20 W/m2)]],3,0),"")</f>
        <v>0.26874999999999999</v>
      </c>
      <c r="J72" s="32">
        <f>IFERROR(VLOOKUP(TA[[#This Row],[Date]],Raw_Data[[Date]:[Sunset Time (POA&lt;20 W/m2)]],4,0),"")</f>
        <v>0.76249999999999996</v>
      </c>
      <c r="K72" s="27">
        <f>IFERROR((TA[[#This Row],[Sunset Time (POA&lt;20 W/m2)]]-TA[[#This Row],[Sunrise Time (POA&gt;20 W/m2)]])*24,"")</f>
        <v>11.85</v>
      </c>
      <c r="L72" s="2" t="s">
        <v>285</v>
      </c>
      <c r="M72" s="33">
        <f>IFERROR(VLOOKUP(TA[[#This Row],[Affected Equipment]],'Basic Data'!$I$2:$K$40,3,0),"")</f>
        <v>1.7241379310344799E-3</v>
      </c>
      <c r="N72">
        <v>-28</v>
      </c>
      <c r="O72" t="s">
        <v>133</v>
      </c>
      <c r="P72" s="114" t="s">
        <v>307</v>
      </c>
      <c r="Q72" s="113" t="s">
        <v>307</v>
      </c>
      <c r="R72">
        <v>118</v>
      </c>
      <c r="S72" s="2">
        <v>22</v>
      </c>
      <c r="T72" t="s">
        <v>286</v>
      </c>
      <c r="U72" t="s">
        <v>291</v>
      </c>
      <c r="V72" t="s">
        <v>289</v>
      </c>
      <c r="W72" s="32"/>
      <c r="X72" s="32"/>
      <c r="Y72" s="26"/>
      <c r="Z72" s="26"/>
      <c r="AA72" s="27">
        <f>IF(TA[[#This Row],[Work Start time on Fault]]="NA","",(TA[[#This Row],[Fault Acknowledgement Time ]]-TA[[#This Row],[Fault Time]])*24)</f>
        <v>0</v>
      </c>
      <c r="AB72" s="27">
        <f>(TA[[#This Row],[Work Start time on Fault]]-TA[[#This Row],[Fault Time]])*24</f>
        <v>0</v>
      </c>
      <c r="AC72" s="26">
        <f>(TA[[#This Row],[Work Completion time on fault]]-TA[[#This Row],[Fault Time]])*24</f>
        <v>0</v>
      </c>
      <c r="AD72" s="27">
        <f>IFERROR((TA[[#This Row],[Work Completion time on fault]]-TA[[#This Row],[Fault Time]])*24,"")</f>
        <v>0</v>
      </c>
      <c r="AE72" t="s">
        <v>319</v>
      </c>
      <c r="AF72" t="s">
        <v>247</v>
      </c>
      <c r="AG72" s="2"/>
      <c r="AH72" s="35">
        <f>1-COS(RADIANS(TA[[#This Row],[Avg. Target Angle during Fault Time (Radians)]]-TA[[#This Row],[Angle of affected equipment ]]))</f>
        <v>0.11705240714107301</v>
      </c>
      <c r="AI72" s="27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43">
        <f t="shared" si="5"/>
        <v>2026</v>
      </c>
      <c r="C73" s="116">
        <f t="shared" si="6"/>
        <v>2025</v>
      </c>
      <c r="D73" s="2" t="s">
        <v>155</v>
      </c>
      <c r="E73" s="2" t="s">
        <v>155</v>
      </c>
      <c r="F73" s="30">
        <v>45748</v>
      </c>
      <c r="G73" s="2">
        <f>DAY(EOMONTH(TA[[#This Row],[Month Year]],0))</f>
        <v>30</v>
      </c>
      <c r="H73" s="21">
        <v>45749</v>
      </c>
      <c r="I73" s="32">
        <f>IFERROR(VLOOKUP(TA[[#This Row],[Date]],Raw_Data[[Date]:[Sunset Time (POA&lt;20 W/m2)]],3,0),"")</f>
        <v>0.26874999999999999</v>
      </c>
      <c r="J73" s="32">
        <f>IFERROR(VLOOKUP(TA[[#This Row],[Date]],Raw_Data[[Date]:[Sunset Time (POA&lt;20 W/m2)]],4,0),"")</f>
        <v>0.76249999999999996</v>
      </c>
      <c r="K73" s="27">
        <f>IFERROR((TA[[#This Row],[Sunset Time (POA&lt;20 W/m2)]]-TA[[#This Row],[Sunrise Time (POA&gt;20 W/m2)]])*24,"")</f>
        <v>11.85</v>
      </c>
      <c r="L73" s="2" t="s">
        <v>287</v>
      </c>
      <c r="M73" s="33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314</v>
      </c>
      <c r="Q73" s="2" t="s">
        <v>320</v>
      </c>
      <c r="R73">
        <v>45</v>
      </c>
      <c r="S73" s="2">
        <v>8</v>
      </c>
      <c r="T73" t="s">
        <v>288</v>
      </c>
      <c r="U73" t="s">
        <v>317</v>
      </c>
      <c r="V73" t="s">
        <v>292</v>
      </c>
      <c r="W73" s="32">
        <f>IFERROR(VLOOKUP(TA[[#This Row],[Date]],Raw_Data[[Date]:[Sunset Time (POA&lt;20 W/m2)]],3,0),"")</f>
        <v>0.26874999999999999</v>
      </c>
      <c r="X73" s="32">
        <f>IFERROR(VLOOKUP(TA[[#This Row],[Date]],Raw_Data[[Date]:[Sunset Time (POA&lt;20 W/m2)]],3,0),"")</f>
        <v>0.26874999999999999</v>
      </c>
      <c r="Y73" s="26"/>
      <c r="Z73" s="26">
        <v>0.76041666666666663</v>
      </c>
      <c r="AA73" s="27">
        <f>IF(TA[[#This Row],[Work Start time on Fault]]="NA","",(TA[[#This Row],[Fault Acknowledgement Time ]]-TA[[#This Row],[Fault Time]])*24)</f>
        <v>0</v>
      </c>
      <c r="AB73" s="27">
        <f>(TA[[#This Row],[Work Start time on Fault]]-TA[[#This Row],[Fault Time]])*24</f>
        <v>-6.4499999999999993</v>
      </c>
      <c r="AC73" s="26">
        <f>(TA[[#This Row],[Work Completion time on fault]]-TA[[#This Row],[Fault Time]])*24</f>
        <v>11.799999999999999</v>
      </c>
      <c r="AD73" s="27">
        <f>IFERROR((TA[[#This Row],[Work Completion time on fault]]-TA[[#This Row],[Fault Time]])*24,"")</f>
        <v>11.799999999999999</v>
      </c>
      <c r="AE73" t="s">
        <v>300</v>
      </c>
      <c r="AF73" t="s">
        <v>247</v>
      </c>
      <c r="AG73" s="2"/>
      <c r="AH73" s="35">
        <f>1-COS(RADIANS(TA[[#This Row],[Avg. Target Angle during Fault Time (Radians)]]-TA[[#This Row],[Angle of affected equipment ]]))</f>
        <v>0.11705240714107301</v>
      </c>
      <c r="AI73" s="27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43">
        <f t="shared" si="5"/>
        <v>2026</v>
      </c>
      <c r="C74" s="116">
        <f t="shared" si="6"/>
        <v>2025</v>
      </c>
      <c r="D74" s="2" t="s">
        <v>155</v>
      </c>
      <c r="E74" s="2" t="s">
        <v>155</v>
      </c>
      <c r="F74" s="30">
        <v>45748</v>
      </c>
      <c r="G74" s="2">
        <f>DAY(EOMONTH(TA[[#This Row],[Month Year]],0))</f>
        <v>30</v>
      </c>
      <c r="H74" s="21">
        <v>45749</v>
      </c>
      <c r="I74" s="32">
        <f>IFERROR(VLOOKUP(TA[[#This Row],[Date]],Raw_Data[[Date]:[Sunset Time (POA&lt;20 W/m2)]],3,0),"")</f>
        <v>0.26874999999999999</v>
      </c>
      <c r="J74" s="32">
        <f>IFERROR(VLOOKUP(TA[[#This Row],[Date]],Raw_Data[[Date]:[Sunset Time (POA&lt;20 W/m2)]],4,0),"")</f>
        <v>0.76249999999999996</v>
      </c>
      <c r="K74" s="27">
        <f>IFERROR((TA[[#This Row],[Sunset Time (POA&lt;20 W/m2)]]-TA[[#This Row],[Sunrise Time (POA&gt;20 W/m2)]])*24,"")</f>
        <v>11.85</v>
      </c>
      <c r="L74" s="2" t="s">
        <v>287</v>
      </c>
      <c r="M74" s="33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314</v>
      </c>
      <c r="Q74" s="2" t="s">
        <v>320</v>
      </c>
      <c r="R74">
        <v>47</v>
      </c>
      <c r="S74" s="2">
        <v>18</v>
      </c>
      <c r="T74" t="s">
        <v>288</v>
      </c>
      <c r="U74" t="s">
        <v>317</v>
      </c>
      <c r="V74" t="s">
        <v>292</v>
      </c>
      <c r="W74" s="32">
        <f>IFERROR(VLOOKUP(TA[[#This Row],[Date]],Raw_Data[[Date]:[Sunset Time (POA&lt;20 W/m2)]],3,0),"")</f>
        <v>0.26874999999999999</v>
      </c>
      <c r="X74" s="32">
        <f>IFERROR(VLOOKUP(TA[[#This Row],[Date]],Raw_Data[[Date]:[Sunset Time (POA&lt;20 W/m2)]],3,0),"")</f>
        <v>0.26874999999999999</v>
      </c>
      <c r="Y74" s="26"/>
      <c r="Z74" s="26">
        <v>0.76041666666666663</v>
      </c>
      <c r="AA74" s="27">
        <f>IF(TA[[#This Row],[Work Start time on Fault]]="NA","",(TA[[#This Row],[Fault Acknowledgement Time ]]-TA[[#This Row],[Fault Time]])*24)</f>
        <v>0</v>
      </c>
      <c r="AB74" s="27">
        <f>(TA[[#This Row],[Work Start time on Fault]]-TA[[#This Row],[Fault Time]])*24</f>
        <v>-6.4499999999999993</v>
      </c>
      <c r="AC74" s="26">
        <f>(TA[[#This Row],[Work Completion time on fault]]-TA[[#This Row],[Fault Time]])*24</f>
        <v>11.799999999999999</v>
      </c>
      <c r="AD74" s="27">
        <f>IFERROR((TA[[#This Row],[Work Completion time on fault]]-TA[[#This Row],[Fault Time]])*24,"")</f>
        <v>11.799999999999999</v>
      </c>
      <c r="AE74" t="s">
        <v>300</v>
      </c>
      <c r="AF74" t="s">
        <v>247</v>
      </c>
      <c r="AG74" s="2"/>
      <c r="AH74" s="35">
        <f>1-COS(RADIANS(TA[[#This Row],[Avg. Target Angle during Fault Time (Radians)]]-TA[[#This Row],[Angle of affected equipment ]]))</f>
        <v>0.11705240714107301</v>
      </c>
      <c r="AI74" s="27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43">
        <f t="shared" si="5"/>
        <v>2026</v>
      </c>
      <c r="C75" s="116">
        <f t="shared" si="6"/>
        <v>2025</v>
      </c>
      <c r="D75" s="2" t="s">
        <v>155</v>
      </c>
      <c r="E75" s="2" t="s">
        <v>155</v>
      </c>
      <c r="F75" s="30">
        <v>45748</v>
      </c>
      <c r="G75" s="2">
        <f>DAY(EOMONTH(TA[[#This Row],[Month Year]],0))</f>
        <v>30</v>
      </c>
      <c r="H75" s="21">
        <v>45749</v>
      </c>
      <c r="I75" s="32">
        <f>IFERROR(VLOOKUP(TA[[#This Row],[Date]],Raw_Data[[Date]:[Sunset Time (POA&lt;20 W/m2)]],3,0),"")</f>
        <v>0.26874999999999999</v>
      </c>
      <c r="J75" s="32">
        <f>IFERROR(VLOOKUP(TA[[#This Row],[Date]],Raw_Data[[Date]:[Sunset Time (POA&lt;20 W/m2)]],4,0),"")</f>
        <v>0.76249999999999996</v>
      </c>
      <c r="K75" s="27">
        <f>IFERROR((TA[[#This Row],[Sunset Time (POA&lt;20 W/m2)]]-TA[[#This Row],[Sunrise Time (POA&gt;20 W/m2)]])*24,"")</f>
        <v>11.85</v>
      </c>
      <c r="L75" s="2" t="s">
        <v>287</v>
      </c>
      <c r="M75" s="33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321</v>
      </c>
      <c r="Q75" s="2" t="s">
        <v>314</v>
      </c>
      <c r="R75">
        <v>30</v>
      </c>
      <c r="S75" s="2">
        <v>57</v>
      </c>
      <c r="T75" t="s">
        <v>288</v>
      </c>
      <c r="U75" t="s">
        <v>317</v>
      </c>
      <c r="V75" t="s">
        <v>292</v>
      </c>
      <c r="W75" s="32">
        <f>IFERROR(VLOOKUP(TA[[#This Row],[Date]],Raw_Data[[Date]:[Sunset Time (POA&lt;20 W/m2)]],3,0),"")</f>
        <v>0.26874999999999999</v>
      </c>
      <c r="X75" s="32">
        <f>IFERROR(VLOOKUP(TA[[#This Row],[Date]],Raw_Data[[Date]:[Sunset Time (POA&lt;20 W/m2)]],3,0),"")</f>
        <v>0.26874999999999999</v>
      </c>
      <c r="Y75" s="26"/>
      <c r="Z75" s="26">
        <v>0.76041666666666663</v>
      </c>
      <c r="AA75" s="27">
        <f>IF(TA[[#This Row],[Work Start time on Fault]]="NA","",(TA[[#This Row],[Fault Acknowledgement Time ]]-TA[[#This Row],[Fault Time]])*24)</f>
        <v>0</v>
      </c>
      <c r="AB75" s="27">
        <f>(TA[[#This Row],[Work Start time on Fault]]-TA[[#This Row],[Fault Time]])*24</f>
        <v>-6.4499999999999993</v>
      </c>
      <c r="AC75" s="26">
        <f>(TA[[#This Row],[Work Completion time on fault]]-TA[[#This Row],[Fault Time]])*24</f>
        <v>11.799999999999999</v>
      </c>
      <c r="AD75" s="27">
        <f>IFERROR((TA[[#This Row],[Work Completion time on fault]]-TA[[#This Row],[Fault Time]])*24,"")</f>
        <v>11.799999999999999</v>
      </c>
      <c r="AE75" t="s">
        <v>300</v>
      </c>
      <c r="AF75" t="s">
        <v>247</v>
      </c>
      <c r="AG75" s="2"/>
      <c r="AH75" s="35">
        <f>1-COS(RADIANS(TA[[#This Row],[Avg. Target Angle during Fault Time (Radians)]]-TA[[#This Row],[Angle of affected equipment ]]))</f>
        <v>0.11705240714107301</v>
      </c>
      <c r="AI75" s="27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43">
        <f t="shared" si="5"/>
        <v>2026</v>
      </c>
      <c r="C76" s="116">
        <f t="shared" si="6"/>
        <v>2025</v>
      </c>
      <c r="D76" s="2" t="s">
        <v>155</v>
      </c>
      <c r="E76" s="2" t="s">
        <v>155</v>
      </c>
      <c r="F76" s="30">
        <v>45748</v>
      </c>
      <c r="G76" s="2">
        <f>DAY(EOMONTH(TA[[#This Row],[Month Year]],0))</f>
        <v>30</v>
      </c>
      <c r="H76" s="21">
        <v>45749</v>
      </c>
      <c r="I76" s="32">
        <f>IFERROR(VLOOKUP(TA[[#This Row],[Date]],Raw_Data[[Date]:[Sunset Time (POA&lt;20 W/m2)]],3,0),"")</f>
        <v>0.26874999999999999</v>
      </c>
      <c r="J76" s="32">
        <f>IFERROR(VLOOKUP(TA[[#This Row],[Date]],Raw_Data[[Date]:[Sunset Time (POA&lt;20 W/m2)]],4,0),"")</f>
        <v>0.76249999999999996</v>
      </c>
      <c r="K76" s="27">
        <f>IFERROR((TA[[#This Row],[Sunset Time (POA&lt;20 W/m2)]]-TA[[#This Row],[Sunrise Time (POA&gt;20 W/m2)]])*24,"")</f>
        <v>11.85</v>
      </c>
      <c r="L76" s="2" t="s">
        <v>287</v>
      </c>
      <c r="M76" s="33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321</v>
      </c>
      <c r="Q76" s="2" t="s">
        <v>314</v>
      </c>
      <c r="R76">
        <v>31</v>
      </c>
      <c r="S76" s="2">
        <v>61</v>
      </c>
      <c r="T76" t="s">
        <v>288</v>
      </c>
      <c r="U76" t="s">
        <v>317</v>
      </c>
      <c r="V76" t="s">
        <v>292</v>
      </c>
      <c r="W76" s="32">
        <f>IFERROR(VLOOKUP(TA[[#This Row],[Date]],Raw_Data[[Date]:[Sunset Time (POA&lt;20 W/m2)]],3,0),"")</f>
        <v>0.26874999999999999</v>
      </c>
      <c r="X76" s="32">
        <f>IFERROR(VLOOKUP(TA[[#This Row],[Date]],Raw_Data[[Date]:[Sunset Time (POA&lt;20 W/m2)]],3,0),"")</f>
        <v>0.26874999999999999</v>
      </c>
      <c r="Y76" s="26"/>
      <c r="Z76" s="26">
        <v>0.76041666666666663</v>
      </c>
      <c r="AA76" s="27">
        <f>IF(TA[[#This Row],[Work Start time on Fault]]="NA","",(TA[[#This Row],[Fault Acknowledgement Time ]]-TA[[#This Row],[Fault Time]])*24)</f>
        <v>0</v>
      </c>
      <c r="AB76" s="27">
        <f>(TA[[#This Row],[Work Start time on Fault]]-TA[[#This Row],[Fault Time]])*24</f>
        <v>-6.4499999999999993</v>
      </c>
      <c r="AC76" s="26">
        <f>(TA[[#This Row],[Work Completion time on fault]]-TA[[#This Row],[Fault Time]])*24</f>
        <v>11.799999999999999</v>
      </c>
      <c r="AD76" s="27">
        <f>IFERROR((TA[[#This Row],[Work Completion time on fault]]-TA[[#This Row],[Fault Time]])*24,"")</f>
        <v>11.799999999999999</v>
      </c>
      <c r="AE76" t="s">
        <v>300</v>
      </c>
      <c r="AF76" t="s">
        <v>247</v>
      </c>
      <c r="AG76" s="2"/>
      <c r="AH76" s="35">
        <f>1-COS(RADIANS(TA[[#This Row],[Avg. Target Angle during Fault Time (Radians)]]-TA[[#This Row],[Angle of affected equipment ]]))</f>
        <v>0.11705240714107301</v>
      </c>
      <c r="AI76" s="27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43">
        <f t="shared" si="5"/>
        <v>2026</v>
      </c>
      <c r="C77" s="116">
        <f t="shared" si="6"/>
        <v>2025</v>
      </c>
      <c r="D77" s="2" t="s">
        <v>155</v>
      </c>
      <c r="E77" s="2" t="s">
        <v>155</v>
      </c>
      <c r="F77" s="30">
        <v>45748</v>
      </c>
      <c r="G77" s="2">
        <f>DAY(EOMONTH(TA[[#This Row],[Month Year]],0))</f>
        <v>30</v>
      </c>
      <c r="H77" s="21">
        <v>45749</v>
      </c>
      <c r="I77" s="32">
        <f>IFERROR(VLOOKUP(TA[[#This Row],[Date]],Raw_Data[[Date]:[Sunset Time (POA&lt;20 W/m2)]],3,0),"")</f>
        <v>0.26874999999999999</v>
      </c>
      <c r="J77" s="32">
        <f>IFERROR(VLOOKUP(TA[[#This Row],[Date]],Raw_Data[[Date]:[Sunset Time (POA&lt;20 W/m2)]],4,0),"")</f>
        <v>0.76249999999999996</v>
      </c>
      <c r="K77" s="27">
        <f>IFERROR((TA[[#This Row],[Sunset Time (POA&lt;20 W/m2)]]-TA[[#This Row],[Sunrise Time (POA&gt;20 W/m2)]])*24,"")</f>
        <v>11.85</v>
      </c>
      <c r="L77" s="2" t="s">
        <v>303</v>
      </c>
      <c r="M77" s="33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321</v>
      </c>
      <c r="Q77" s="2" t="s">
        <v>314</v>
      </c>
      <c r="R77">
        <v>26</v>
      </c>
      <c r="S77" s="2">
        <v>37</v>
      </c>
      <c r="T77" t="s">
        <v>288</v>
      </c>
      <c r="U77" t="s">
        <v>317</v>
      </c>
      <c r="V77" t="s">
        <v>292</v>
      </c>
      <c r="W77" s="32">
        <f>IFERROR(VLOOKUP(TA[[#This Row],[Date]],Raw_Data[[Date]:[Sunset Time (POA&lt;20 W/m2)]],3,0),"")</f>
        <v>0.26874999999999999</v>
      </c>
      <c r="X77" s="32">
        <f>IFERROR(VLOOKUP(TA[[#This Row],[Date]],Raw_Data[[Date]:[Sunset Time (POA&lt;20 W/m2)]],3,0),"")</f>
        <v>0.26874999999999999</v>
      </c>
      <c r="Y77" s="26"/>
      <c r="Z77" s="26">
        <v>0.76041666666666663</v>
      </c>
      <c r="AA77" s="27">
        <f>IF(TA[[#This Row],[Work Start time on Fault]]="NA","",(TA[[#This Row],[Fault Acknowledgement Time ]]-TA[[#This Row],[Fault Time]])*24)</f>
        <v>0</v>
      </c>
      <c r="AB77" s="27">
        <f>(TA[[#This Row],[Work Start time on Fault]]-TA[[#This Row],[Fault Time]])*24</f>
        <v>-6.4499999999999993</v>
      </c>
      <c r="AC77" s="26">
        <f>(TA[[#This Row],[Work Completion time on fault]]-TA[[#This Row],[Fault Time]])*24</f>
        <v>11.799999999999999</v>
      </c>
      <c r="AD77" s="27">
        <f>IFERROR((TA[[#This Row],[Work Completion time on fault]]-TA[[#This Row],[Fault Time]])*24,"")</f>
        <v>11.799999999999999</v>
      </c>
      <c r="AE77" t="s">
        <v>300</v>
      </c>
      <c r="AF77" t="s">
        <v>247</v>
      </c>
      <c r="AG77" s="2"/>
      <c r="AH77" s="35">
        <f>1-COS(RADIANS(TA[[#This Row],[Avg. Target Angle during Fault Time (Radians)]]-TA[[#This Row],[Angle of affected equipment ]]))</f>
        <v>0.11705240714107301</v>
      </c>
      <c r="AI77" s="27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43">
        <f t="shared" si="5"/>
        <v>2026</v>
      </c>
      <c r="C78" s="116">
        <f t="shared" si="6"/>
        <v>2025</v>
      </c>
      <c r="D78" s="2" t="s">
        <v>155</v>
      </c>
      <c r="E78" s="2" t="s">
        <v>155</v>
      </c>
      <c r="F78" s="30">
        <v>45748</v>
      </c>
      <c r="G78" s="2">
        <f>DAY(EOMONTH(TA[[#This Row],[Month Year]],0))</f>
        <v>30</v>
      </c>
      <c r="H78" s="21">
        <v>45749</v>
      </c>
      <c r="I78" s="32">
        <f>IFERROR(VLOOKUP(TA[[#This Row],[Date]],Raw_Data[[Date]:[Sunset Time (POA&lt;20 W/m2)]],3,0),"")</f>
        <v>0.26874999999999999</v>
      </c>
      <c r="J78" s="32">
        <f>IFERROR(VLOOKUP(TA[[#This Row],[Date]],Raw_Data[[Date]:[Sunset Time (POA&lt;20 W/m2)]],4,0),"")</f>
        <v>0.76249999999999996</v>
      </c>
      <c r="K78" s="27">
        <f>IFERROR((TA[[#This Row],[Sunset Time (POA&lt;20 W/m2)]]-TA[[#This Row],[Sunrise Time (POA&gt;20 W/m2)]])*24,"")</f>
        <v>11.85</v>
      </c>
      <c r="L78" s="2" t="s">
        <v>303</v>
      </c>
      <c r="M78" s="33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321</v>
      </c>
      <c r="Q78" s="2" t="s">
        <v>314</v>
      </c>
      <c r="R78">
        <v>27</v>
      </c>
      <c r="S78" s="2">
        <v>42</v>
      </c>
      <c r="T78" t="s">
        <v>288</v>
      </c>
      <c r="U78" t="s">
        <v>317</v>
      </c>
      <c r="V78" t="s">
        <v>292</v>
      </c>
      <c r="W78" s="32">
        <f>IFERROR(VLOOKUP(TA[[#This Row],[Date]],Raw_Data[[Date]:[Sunset Time (POA&lt;20 W/m2)]],3,0),"")</f>
        <v>0.26874999999999999</v>
      </c>
      <c r="X78" s="32">
        <f>IFERROR(VLOOKUP(TA[[#This Row],[Date]],Raw_Data[[Date]:[Sunset Time (POA&lt;20 W/m2)]],3,0),"")</f>
        <v>0.26874999999999999</v>
      </c>
      <c r="Y78" s="26"/>
      <c r="Z78" s="26">
        <v>0.76041666666666663</v>
      </c>
      <c r="AA78" s="27">
        <f>IF(TA[[#This Row],[Work Start time on Fault]]="NA","",(TA[[#This Row],[Fault Acknowledgement Time ]]-TA[[#This Row],[Fault Time]])*24)</f>
        <v>0</v>
      </c>
      <c r="AB78" s="27">
        <f>(TA[[#This Row],[Work Start time on Fault]]-TA[[#This Row],[Fault Time]])*24</f>
        <v>-6.4499999999999993</v>
      </c>
      <c r="AC78" s="26">
        <f>(TA[[#This Row],[Work Completion time on fault]]-TA[[#This Row],[Fault Time]])*24</f>
        <v>11.799999999999999</v>
      </c>
      <c r="AD78" s="27">
        <f>IFERROR((TA[[#This Row],[Work Completion time on fault]]-TA[[#This Row],[Fault Time]])*24,"")</f>
        <v>11.799999999999999</v>
      </c>
      <c r="AE78" t="s">
        <v>300</v>
      </c>
      <c r="AF78" t="s">
        <v>247</v>
      </c>
      <c r="AG78" s="2"/>
      <c r="AH78" s="35">
        <f>1-COS(RADIANS(TA[[#This Row],[Avg. Target Angle during Fault Time (Radians)]]-TA[[#This Row],[Angle of affected equipment ]]))</f>
        <v>0.11705240714107301</v>
      </c>
      <c r="AI78" s="27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43">
        <f t="shared" si="5"/>
        <v>2026</v>
      </c>
      <c r="C79" s="116">
        <f t="shared" si="6"/>
        <v>2025</v>
      </c>
      <c r="D79" s="2" t="s">
        <v>155</v>
      </c>
      <c r="E79" s="2" t="s">
        <v>155</v>
      </c>
      <c r="F79" s="30">
        <v>45748</v>
      </c>
      <c r="G79" s="2">
        <f>DAY(EOMONTH(TA[[#This Row],[Month Year]],0))</f>
        <v>30</v>
      </c>
      <c r="H79" s="21">
        <v>45750</v>
      </c>
      <c r="I79" s="32">
        <f>IFERROR(VLOOKUP(TA[[#This Row],[Date]],Raw_Data[[Date]:[Sunset Time (POA&lt;20 W/m2)]],3,0),"")</f>
        <v>0.27638888888888891</v>
      </c>
      <c r="J79" s="32">
        <f>IFERROR(VLOOKUP(TA[[#This Row],[Date]],Raw_Data[[Date]:[Sunset Time (POA&lt;20 W/m2)]],4,0),"")</f>
        <v>0.76388888888888884</v>
      </c>
      <c r="K79" s="27">
        <f>IFERROR((TA[[#This Row],[Sunset Time (POA&lt;20 W/m2)]]-TA[[#This Row],[Sunrise Time (POA&gt;20 W/m2)]])*24,"")</f>
        <v>11.7</v>
      </c>
      <c r="L79" s="2" t="s">
        <v>285</v>
      </c>
      <c r="M79" s="33">
        <f>IFERROR(VLOOKUP(TA[[#This Row],[Affected Equipment]],'Basic Data'!$I$2:$K$40,3,0),"")</f>
        <v>1.7241379310344799E-3</v>
      </c>
      <c r="N79">
        <v>-28</v>
      </c>
      <c r="O79" t="s">
        <v>135</v>
      </c>
      <c r="P79" s="114" t="s">
        <v>309</v>
      </c>
      <c r="Q79" s="113" t="s">
        <v>309</v>
      </c>
      <c r="R79">
        <v>130</v>
      </c>
      <c r="S79" s="2">
        <v>36</v>
      </c>
      <c r="T79" t="s">
        <v>286</v>
      </c>
      <c r="U79" t="s">
        <v>291</v>
      </c>
      <c r="V79" t="s">
        <v>289</v>
      </c>
      <c r="W79" s="32"/>
      <c r="X79" s="32"/>
      <c r="Y79" s="26"/>
      <c r="Z79" s="26"/>
      <c r="AA79" s="27">
        <f>IF(TA[[#This Row],[Work Start time on Fault]]="NA","",(TA[[#This Row],[Fault Acknowledgement Time ]]-TA[[#This Row],[Fault Time]])*24)</f>
        <v>0</v>
      </c>
      <c r="AB79" s="27">
        <f>(TA[[#This Row],[Work Start time on Fault]]-TA[[#This Row],[Fault Time]])*24</f>
        <v>0</v>
      </c>
      <c r="AC79" s="26">
        <f>(TA[[#This Row],[Work Completion time on fault]]-TA[[#This Row],[Fault Time]])*24</f>
        <v>0</v>
      </c>
      <c r="AD79" s="27">
        <f>IFERROR((TA[[#This Row],[Work Completion time on fault]]-TA[[#This Row],[Fault Time]])*24,"")</f>
        <v>0</v>
      </c>
      <c r="AE79" t="s">
        <v>319</v>
      </c>
      <c r="AF79" t="s">
        <v>247</v>
      </c>
      <c r="AG79" s="2"/>
      <c r="AH79" s="35">
        <f>1-COS(RADIANS(TA[[#This Row],[Avg. Target Angle during Fault Time (Radians)]]-TA[[#This Row],[Angle of affected equipment ]]))</f>
        <v>0.11705240714107301</v>
      </c>
      <c r="AI79" s="27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43">
        <f t="shared" si="5"/>
        <v>2026</v>
      </c>
      <c r="C80" s="116">
        <f t="shared" si="6"/>
        <v>2025</v>
      </c>
      <c r="D80" s="2" t="s">
        <v>155</v>
      </c>
      <c r="E80" s="2" t="s">
        <v>155</v>
      </c>
      <c r="F80" s="30">
        <v>45748</v>
      </c>
      <c r="G80" s="2">
        <f>DAY(EOMONTH(TA[[#This Row],[Month Year]],0))</f>
        <v>30</v>
      </c>
      <c r="H80" s="21">
        <v>45750</v>
      </c>
      <c r="I80" s="32">
        <f>IFERROR(VLOOKUP(TA[[#This Row],[Date]],Raw_Data[[Date]:[Sunset Time (POA&lt;20 W/m2)]],3,0),"")</f>
        <v>0.27638888888888891</v>
      </c>
      <c r="J80" s="32">
        <f>IFERROR(VLOOKUP(TA[[#This Row],[Date]],Raw_Data[[Date]:[Sunset Time (POA&lt;20 W/m2)]],4,0),"")</f>
        <v>0.76388888888888884</v>
      </c>
      <c r="K80" s="27">
        <f>IFERROR((TA[[#This Row],[Sunset Time (POA&lt;20 W/m2)]]-TA[[#This Row],[Sunrise Time (POA&gt;20 W/m2)]])*24,"")</f>
        <v>11.7</v>
      </c>
      <c r="L80" s="2" t="s">
        <v>285</v>
      </c>
      <c r="M80" s="33">
        <f>IFERROR(VLOOKUP(TA[[#This Row],[Affected Equipment]],'Basic Data'!$I$2:$K$40,3,0),"")</f>
        <v>1.7241379310344799E-3</v>
      </c>
      <c r="N80">
        <v>-28</v>
      </c>
      <c r="O80" t="s">
        <v>135</v>
      </c>
      <c r="P80" s="114" t="s">
        <v>309</v>
      </c>
      <c r="Q80" s="113" t="s">
        <v>309</v>
      </c>
      <c r="R80">
        <v>130</v>
      </c>
      <c r="S80" s="2">
        <v>37</v>
      </c>
      <c r="T80" t="s">
        <v>286</v>
      </c>
      <c r="U80" t="s">
        <v>291</v>
      </c>
      <c r="V80" t="s">
        <v>289</v>
      </c>
      <c r="W80" s="32"/>
      <c r="X80" s="32"/>
      <c r="Y80" s="26"/>
      <c r="Z80" s="26"/>
      <c r="AA80" s="27">
        <f>IF(TA[[#This Row],[Work Start time on Fault]]="NA","",(TA[[#This Row],[Fault Acknowledgement Time ]]-TA[[#This Row],[Fault Time]])*24)</f>
        <v>0</v>
      </c>
      <c r="AB80" s="27">
        <f>(TA[[#This Row],[Work Start time on Fault]]-TA[[#This Row],[Fault Time]])*24</f>
        <v>0</v>
      </c>
      <c r="AC80" s="26">
        <f>(TA[[#This Row],[Work Completion time on fault]]-TA[[#This Row],[Fault Time]])*24</f>
        <v>0</v>
      </c>
      <c r="AD80" s="27">
        <f>IFERROR((TA[[#This Row],[Work Completion time on fault]]-TA[[#This Row],[Fault Time]])*24,"")</f>
        <v>0</v>
      </c>
      <c r="AE80" t="s">
        <v>319</v>
      </c>
      <c r="AF80" t="s">
        <v>247</v>
      </c>
      <c r="AG80" s="2"/>
      <c r="AH80" s="35">
        <f>1-COS(RADIANS(TA[[#This Row],[Avg. Target Angle during Fault Time (Radians)]]-TA[[#This Row],[Angle of affected equipment ]]))</f>
        <v>0.11705240714107301</v>
      </c>
      <c r="AI80" s="27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43">
        <f t="shared" si="5"/>
        <v>2026</v>
      </c>
      <c r="C81" s="116">
        <f t="shared" si="6"/>
        <v>2025</v>
      </c>
      <c r="D81" s="2" t="s">
        <v>155</v>
      </c>
      <c r="E81" s="2" t="s">
        <v>155</v>
      </c>
      <c r="F81" s="30">
        <v>45748</v>
      </c>
      <c r="G81" s="2">
        <f>DAY(EOMONTH(TA[[#This Row],[Month Year]],0))</f>
        <v>30</v>
      </c>
      <c r="H81" s="21">
        <v>45750</v>
      </c>
      <c r="I81" s="32">
        <f>IFERROR(VLOOKUP(TA[[#This Row],[Date]],Raw_Data[[Date]:[Sunset Time (POA&lt;20 W/m2)]],3,0),"")</f>
        <v>0.27638888888888891</v>
      </c>
      <c r="J81" s="32">
        <f>IFERROR(VLOOKUP(TA[[#This Row],[Date]],Raw_Data[[Date]:[Sunset Time (POA&lt;20 W/m2)]],4,0),"")</f>
        <v>0.76388888888888884</v>
      </c>
      <c r="K81" s="27">
        <f>IFERROR((TA[[#This Row],[Sunset Time (POA&lt;20 W/m2)]]-TA[[#This Row],[Sunrise Time (POA&gt;20 W/m2)]])*24,"")</f>
        <v>11.7</v>
      </c>
      <c r="L81" s="2" t="s">
        <v>285</v>
      </c>
      <c r="M81" s="33">
        <f>IFERROR(VLOOKUP(TA[[#This Row],[Affected Equipment]],'Basic Data'!$I$2:$K$40,3,0),"")</f>
        <v>1.7241379310344799E-3</v>
      </c>
      <c r="N81">
        <v>-28</v>
      </c>
      <c r="O81" t="s">
        <v>135</v>
      </c>
      <c r="P81" s="114" t="s">
        <v>309</v>
      </c>
      <c r="Q81" s="113" t="s">
        <v>309</v>
      </c>
      <c r="R81">
        <v>131</v>
      </c>
      <c r="S81" s="2">
        <v>38</v>
      </c>
      <c r="T81" t="s">
        <v>286</v>
      </c>
      <c r="U81" t="s">
        <v>291</v>
      </c>
      <c r="V81" t="s">
        <v>289</v>
      </c>
      <c r="W81" s="32"/>
      <c r="X81" s="32"/>
      <c r="Y81" s="26"/>
      <c r="Z81" s="26"/>
      <c r="AA81" s="27">
        <f>IF(TA[[#This Row],[Work Start time on Fault]]="NA","",(TA[[#This Row],[Fault Acknowledgement Time ]]-TA[[#This Row],[Fault Time]])*24)</f>
        <v>0</v>
      </c>
      <c r="AB81" s="27">
        <f>(TA[[#This Row],[Work Start time on Fault]]-TA[[#This Row],[Fault Time]])*24</f>
        <v>0</v>
      </c>
      <c r="AC81" s="26">
        <f>(TA[[#This Row],[Work Completion time on fault]]-TA[[#This Row],[Fault Time]])*24</f>
        <v>0</v>
      </c>
      <c r="AD81" s="27">
        <f>IFERROR((TA[[#This Row],[Work Completion time on fault]]-TA[[#This Row],[Fault Time]])*24,"")</f>
        <v>0</v>
      </c>
      <c r="AE81" t="s">
        <v>319</v>
      </c>
      <c r="AF81" t="s">
        <v>247</v>
      </c>
      <c r="AG81" s="2"/>
      <c r="AH81" s="35">
        <f>1-COS(RADIANS(TA[[#This Row],[Avg. Target Angle during Fault Time (Radians)]]-TA[[#This Row],[Angle of affected equipment ]]))</f>
        <v>0.11705240714107301</v>
      </c>
      <c r="AI81" s="27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43">
        <f t="shared" si="5"/>
        <v>2026</v>
      </c>
      <c r="C82" s="116">
        <f t="shared" si="6"/>
        <v>2025</v>
      </c>
      <c r="D82" s="2" t="s">
        <v>155</v>
      </c>
      <c r="E82" s="2" t="s">
        <v>155</v>
      </c>
      <c r="F82" s="30">
        <v>45748</v>
      </c>
      <c r="G82" s="2">
        <f>DAY(EOMONTH(TA[[#This Row],[Month Year]],0))</f>
        <v>30</v>
      </c>
      <c r="H82" s="21">
        <v>45750</v>
      </c>
      <c r="I82" s="32">
        <f>IFERROR(VLOOKUP(TA[[#This Row],[Date]],Raw_Data[[Date]:[Sunset Time (POA&lt;20 W/m2)]],3,0),"")</f>
        <v>0.27638888888888891</v>
      </c>
      <c r="J82" s="32">
        <f>IFERROR(VLOOKUP(TA[[#This Row],[Date]],Raw_Data[[Date]:[Sunset Time (POA&lt;20 W/m2)]],4,0),"")</f>
        <v>0.76388888888888884</v>
      </c>
      <c r="K82" s="27">
        <f>IFERROR((TA[[#This Row],[Sunset Time (POA&lt;20 W/m2)]]-TA[[#This Row],[Sunrise Time (POA&gt;20 W/m2)]])*24,"")</f>
        <v>11.7</v>
      </c>
      <c r="L82" s="2" t="s">
        <v>285</v>
      </c>
      <c r="M82" s="33">
        <f>IFERROR(VLOOKUP(TA[[#This Row],[Affected Equipment]],'Basic Data'!$I$2:$K$40,3,0),"")</f>
        <v>1.7241379310344799E-3</v>
      </c>
      <c r="N82">
        <v>-28</v>
      </c>
      <c r="O82" t="s">
        <v>135</v>
      </c>
      <c r="P82" s="114" t="s">
        <v>309</v>
      </c>
      <c r="Q82" s="113" t="s">
        <v>309</v>
      </c>
      <c r="R82">
        <v>131</v>
      </c>
      <c r="S82" s="2">
        <v>39</v>
      </c>
      <c r="T82" t="s">
        <v>286</v>
      </c>
      <c r="U82" t="s">
        <v>291</v>
      </c>
      <c r="V82" t="s">
        <v>289</v>
      </c>
      <c r="W82" s="32"/>
      <c r="X82" s="32"/>
      <c r="Y82" s="26"/>
      <c r="Z82" s="26"/>
      <c r="AA82" s="27">
        <f>IF(TA[[#This Row],[Work Start time on Fault]]="NA","",(TA[[#This Row],[Fault Acknowledgement Time ]]-TA[[#This Row],[Fault Time]])*24)</f>
        <v>0</v>
      </c>
      <c r="AB82" s="27">
        <f>(TA[[#This Row],[Work Start time on Fault]]-TA[[#This Row],[Fault Time]])*24</f>
        <v>0</v>
      </c>
      <c r="AC82" s="26">
        <f>(TA[[#This Row],[Work Completion time on fault]]-TA[[#This Row],[Fault Time]])*24</f>
        <v>0</v>
      </c>
      <c r="AD82" s="27">
        <f>IFERROR((TA[[#This Row],[Work Completion time on fault]]-TA[[#This Row],[Fault Time]])*24,"")</f>
        <v>0</v>
      </c>
      <c r="AE82" t="s">
        <v>319</v>
      </c>
      <c r="AF82" t="s">
        <v>247</v>
      </c>
      <c r="AG82" s="2"/>
      <c r="AH82" s="35">
        <f>1-COS(RADIANS(TA[[#This Row],[Avg. Target Angle during Fault Time (Radians)]]-TA[[#This Row],[Angle of affected equipment ]]))</f>
        <v>0.11705240714107301</v>
      </c>
      <c r="AI82" s="27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43">
        <f t="shared" si="5"/>
        <v>2026</v>
      </c>
      <c r="C83" s="116">
        <f t="shared" si="6"/>
        <v>2025</v>
      </c>
      <c r="D83" s="2" t="s">
        <v>155</v>
      </c>
      <c r="E83" s="2" t="s">
        <v>155</v>
      </c>
      <c r="F83" s="30">
        <v>45748</v>
      </c>
      <c r="G83" s="2">
        <f>DAY(EOMONTH(TA[[#This Row],[Month Year]],0))</f>
        <v>30</v>
      </c>
      <c r="H83" s="21">
        <v>45750</v>
      </c>
      <c r="I83" s="32">
        <f>IFERROR(VLOOKUP(TA[[#This Row],[Date]],Raw_Data[[Date]:[Sunset Time (POA&lt;20 W/m2)]],3,0),"")</f>
        <v>0.27638888888888891</v>
      </c>
      <c r="J83" s="32">
        <f>IFERROR(VLOOKUP(TA[[#This Row],[Date]],Raw_Data[[Date]:[Sunset Time (POA&lt;20 W/m2)]],4,0),"")</f>
        <v>0.76388888888888884</v>
      </c>
      <c r="K83" s="27">
        <f>IFERROR((TA[[#This Row],[Sunset Time (POA&lt;20 W/m2)]]-TA[[#This Row],[Sunrise Time (POA&gt;20 W/m2)]])*24,"")</f>
        <v>11.7</v>
      </c>
      <c r="L83" s="2" t="s">
        <v>287</v>
      </c>
      <c r="M83" s="33">
        <f>IFERROR(VLOOKUP(TA[[#This Row],[Affected Equipment]],'Basic Data'!$I$2:$K$40,3,0),"")</f>
        <v>8.6206896551724102E-3</v>
      </c>
      <c r="N83">
        <v>-28</v>
      </c>
      <c r="O83" t="s">
        <v>135</v>
      </c>
      <c r="P83" s="114" t="s">
        <v>309</v>
      </c>
      <c r="Q83" s="2" t="s">
        <v>312</v>
      </c>
      <c r="R83">
        <v>133</v>
      </c>
      <c r="S83" s="2">
        <v>26</v>
      </c>
      <c r="T83" t="s">
        <v>288</v>
      </c>
      <c r="U83" t="s">
        <v>291</v>
      </c>
      <c r="V83" t="s">
        <v>305</v>
      </c>
      <c r="W83" s="32"/>
      <c r="X83" s="32"/>
      <c r="Y83" s="26"/>
      <c r="Z83" s="26"/>
      <c r="AA83" s="27">
        <f>IF(TA[[#This Row],[Work Start time on Fault]]="NA","",(TA[[#This Row],[Fault Acknowledgement Time ]]-TA[[#This Row],[Fault Time]])*24)</f>
        <v>0</v>
      </c>
      <c r="AB83" s="27">
        <f>(TA[[#This Row],[Work Start time on Fault]]-TA[[#This Row],[Fault Time]])*24</f>
        <v>0</v>
      </c>
      <c r="AC83" s="26">
        <f>(TA[[#This Row],[Work Completion time on fault]]-TA[[#This Row],[Fault Time]])*24</f>
        <v>0</v>
      </c>
      <c r="AD83" s="27">
        <f>IFERROR((TA[[#This Row],[Work Completion time on fault]]-TA[[#This Row],[Fault Time]])*24,"")</f>
        <v>0</v>
      </c>
      <c r="AE83" t="s">
        <v>319</v>
      </c>
      <c r="AF83" t="s">
        <v>247</v>
      </c>
      <c r="AG83" s="2"/>
      <c r="AH83" s="35">
        <f>1-COS(RADIANS(TA[[#This Row],[Avg. Target Angle during Fault Time (Radians)]]-TA[[#This Row],[Angle of affected equipment ]]))</f>
        <v>0.11705240714107301</v>
      </c>
      <c r="AI83" s="27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43">
        <f t="shared" si="5"/>
        <v>2026</v>
      </c>
      <c r="C84" s="116">
        <f t="shared" si="6"/>
        <v>2025</v>
      </c>
      <c r="D84" s="2" t="s">
        <v>155</v>
      </c>
      <c r="E84" s="2" t="s">
        <v>155</v>
      </c>
      <c r="F84" s="30">
        <v>45748</v>
      </c>
      <c r="G84" s="2">
        <f>DAY(EOMONTH(TA[[#This Row],[Month Year]],0))</f>
        <v>30</v>
      </c>
      <c r="H84" s="21">
        <v>45750</v>
      </c>
      <c r="I84" s="32">
        <f>IFERROR(VLOOKUP(TA[[#This Row],[Date]],Raw_Data[[Date]:[Sunset Time (POA&lt;20 W/m2)]],3,0),"")</f>
        <v>0.27638888888888891</v>
      </c>
      <c r="J84" s="32">
        <f>IFERROR(VLOOKUP(TA[[#This Row],[Date]],Raw_Data[[Date]:[Sunset Time (POA&lt;20 W/m2)]],4,0),"")</f>
        <v>0.76388888888888884</v>
      </c>
      <c r="K84" s="27">
        <f>IFERROR((TA[[#This Row],[Sunset Time (POA&lt;20 W/m2)]]-TA[[#This Row],[Sunrise Time (POA&gt;20 W/m2)]])*24,"")</f>
        <v>11.7</v>
      </c>
      <c r="L84" s="2" t="s">
        <v>285</v>
      </c>
      <c r="M84" s="33">
        <f>IFERROR(VLOOKUP(TA[[#This Row],[Affected Equipment]],'Basic Data'!$I$2:$K$40,3,0),"")</f>
        <v>1.7241379310344799E-3</v>
      </c>
      <c r="N84">
        <v>-28</v>
      </c>
      <c r="O84" t="s">
        <v>133</v>
      </c>
      <c r="P84" s="114" t="s">
        <v>307</v>
      </c>
      <c r="Q84" s="113" t="s">
        <v>308</v>
      </c>
      <c r="R84">
        <v>7</v>
      </c>
      <c r="S84" s="2">
        <v>32</v>
      </c>
      <c r="T84" t="s">
        <v>286</v>
      </c>
      <c r="U84" t="s">
        <v>291</v>
      </c>
      <c r="V84" t="s">
        <v>289</v>
      </c>
      <c r="W84" s="32"/>
      <c r="X84" s="32"/>
      <c r="Y84" s="26"/>
      <c r="Z84" s="26"/>
      <c r="AA84" s="27">
        <f>IF(TA[[#This Row],[Work Start time on Fault]]="NA","",(TA[[#This Row],[Fault Acknowledgement Time ]]-TA[[#This Row],[Fault Time]])*24)</f>
        <v>0</v>
      </c>
      <c r="AB84" s="27">
        <f>(TA[[#This Row],[Work Start time on Fault]]-TA[[#This Row],[Fault Time]])*24</f>
        <v>0</v>
      </c>
      <c r="AC84" s="26">
        <f>(TA[[#This Row],[Work Completion time on fault]]-TA[[#This Row],[Fault Time]])*24</f>
        <v>0</v>
      </c>
      <c r="AD84" s="27">
        <f>IFERROR((TA[[#This Row],[Work Completion time on fault]]-TA[[#This Row],[Fault Time]])*24,"")</f>
        <v>0</v>
      </c>
      <c r="AE84" t="s">
        <v>319</v>
      </c>
      <c r="AF84" t="s">
        <v>247</v>
      </c>
      <c r="AG84" s="2"/>
      <c r="AH84" s="35">
        <f>1-COS(RADIANS(TA[[#This Row],[Avg. Target Angle during Fault Time (Radians)]]-TA[[#This Row],[Angle of affected equipment ]]))</f>
        <v>0.11705240714107301</v>
      </c>
      <c r="AI84" s="27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43">
        <f t="shared" si="5"/>
        <v>2026</v>
      </c>
      <c r="C85" s="116">
        <f t="shared" si="6"/>
        <v>2025</v>
      </c>
      <c r="D85" s="2" t="s">
        <v>155</v>
      </c>
      <c r="E85" s="2" t="s">
        <v>155</v>
      </c>
      <c r="F85" s="30">
        <v>45748</v>
      </c>
      <c r="G85" s="2">
        <f>DAY(EOMONTH(TA[[#This Row],[Month Year]],0))</f>
        <v>30</v>
      </c>
      <c r="H85" s="21">
        <v>45750</v>
      </c>
      <c r="I85" s="32">
        <f>IFERROR(VLOOKUP(TA[[#This Row],[Date]],Raw_Data[[Date]:[Sunset Time (POA&lt;20 W/m2)]],3,0),"")</f>
        <v>0.27638888888888891</v>
      </c>
      <c r="J85" s="32">
        <f>IFERROR(VLOOKUP(TA[[#This Row],[Date]],Raw_Data[[Date]:[Sunset Time (POA&lt;20 W/m2)]],4,0),"")</f>
        <v>0.76388888888888884</v>
      </c>
      <c r="K85" s="27">
        <f>IFERROR((TA[[#This Row],[Sunset Time (POA&lt;20 W/m2)]]-TA[[#This Row],[Sunrise Time (POA&gt;20 W/m2)]])*24,"")</f>
        <v>11.7</v>
      </c>
      <c r="L85" s="2" t="s">
        <v>285</v>
      </c>
      <c r="M85" s="33">
        <f>IFERROR(VLOOKUP(TA[[#This Row],[Affected Equipment]],'Basic Data'!$I$2:$K$40,3,0),"")</f>
        <v>1.7241379310344799E-3</v>
      </c>
      <c r="N85">
        <v>-28</v>
      </c>
      <c r="O85" t="s">
        <v>137</v>
      </c>
      <c r="P85" s="114" t="s">
        <v>306</v>
      </c>
      <c r="Q85" s="113" t="s">
        <v>310</v>
      </c>
      <c r="R85">
        <v>166</v>
      </c>
      <c r="S85" s="2">
        <v>91</v>
      </c>
      <c r="T85" t="s">
        <v>286</v>
      </c>
      <c r="U85" t="s">
        <v>291</v>
      </c>
      <c r="V85" t="s">
        <v>289</v>
      </c>
      <c r="W85" s="32"/>
      <c r="X85" s="32"/>
      <c r="Y85" s="26"/>
      <c r="Z85" s="26"/>
      <c r="AA85" s="27">
        <f>IF(TA[[#This Row],[Work Start time on Fault]]="NA","",(TA[[#This Row],[Fault Acknowledgement Time ]]-TA[[#This Row],[Fault Time]])*24)</f>
        <v>0</v>
      </c>
      <c r="AB85" s="27">
        <f>(TA[[#This Row],[Work Start time on Fault]]-TA[[#This Row],[Fault Time]])*24</f>
        <v>0</v>
      </c>
      <c r="AC85" s="26">
        <f>(TA[[#This Row],[Work Completion time on fault]]-TA[[#This Row],[Fault Time]])*24</f>
        <v>0</v>
      </c>
      <c r="AD85" s="27">
        <f>IFERROR((TA[[#This Row],[Work Completion time on fault]]-TA[[#This Row],[Fault Time]])*24,"")</f>
        <v>0</v>
      </c>
      <c r="AE85" t="s">
        <v>319</v>
      </c>
      <c r="AF85" t="s">
        <v>247</v>
      </c>
      <c r="AG85" s="2"/>
      <c r="AH85" s="35">
        <f>1-COS(RADIANS(TA[[#This Row],[Avg. Target Angle during Fault Time (Radians)]]-TA[[#This Row],[Angle of affected equipment ]]))</f>
        <v>0.11705240714107301</v>
      </c>
      <c r="AI85" s="27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43">
        <f t="shared" si="5"/>
        <v>2026</v>
      </c>
      <c r="C86" s="116">
        <f t="shared" si="6"/>
        <v>2025</v>
      </c>
      <c r="D86" s="2" t="s">
        <v>155</v>
      </c>
      <c r="E86" s="2" t="s">
        <v>155</v>
      </c>
      <c r="F86" s="30">
        <v>45748</v>
      </c>
      <c r="G86" s="2">
        <f>DAY(EOMONTH(TA[[#This Row],[Month Year]],0))</f>
        <v>30</v>
      </c>
      <c r="H86" s="21">
        <v>45750</v>
      </c>
      <c r="I86" s="32">
        <f>IFERROR(VLOOKUP(TA[[#This Row],[Date]],Raw_Data[[Date]:[Sunset Time (POA&lt;20 W/m2)]],3,0),"")</f>
        <v>0.27638888888888891</v>
      </c>
      <c r="J86" s="32">
        <f>IFERROR(VLOOKUP(TA[[#This Row],[Date]],Raw_Data[[Date]:[Sunset Time (POA&lt;20 W/m2)]],4,0),"")</f>
        <v>0.76388888888888884</v>
      </c>
      <c r="K86" s="27">
        <f>IFERROR((TA[[#This Row],[Sunset Time (POA&lt;20 W/m2)]]-TA[[#This Row],[Sunrise Time (POA&gt;20 W/m2)]])*24,"")</f>
        <v>11.7</v>
      </c>
      <c r="L86" s="2" t="s">
        <v>285</v>
      </c>
      <c r="M86" s="33">
        <f>IFERROR(VLOOKUP(TA[[#This Row],[Affected Equipment]],'Basic Data'!$I$2:$K$40,3,0),"")</f>
        <v>1.7241379310344799E-3</v>
      </c>
      <c r="N86">
        <v>-28</v>
      </c>
      <c r="O86" t="s">
        <v>133</v>
      </c>
      <c r="P86" s="114" t="s">
        <v>307</v>
      </c>
      <c r="Q86" s="113" t="s">
        <v>307</v>
      </c>
      <c r="R86">
        <v>117</v>
      </c>
      <c r="S86" s="2">
        <v>20</v>
      </c>
      <c r="T86" t="s">
        <v>286</v>
      </c>
      <c r="U86" t="s">
        <v>291</v>
      </c>
      <c r="V86" t="s">
        <v>289</v>
      </c>
      <c r="W86" s="32"/>
      <c r="X86" s="32"/>
      <c r="Y86" s="26"/>
      <c r="Z86" s="26"/>
      <c r="AA86" s="27">
        <f>IF(TA[[#This Row],[Work Start time on Fault]]="NA","",(TA[[#This Row],[Fault Acknowledgement Time ]]-TA[[#This Row],[Fault Time]])*24)</f>
        <v>0</v>
      </c>
      <c r="AB86" s="27">
        <f>(TA[[#This Row],[Work Start time on Fault]]-TA[[#This Row],[Fault Time]])*24</f>
        <v>0</v>
      </c>
      <c r="AC86" s="26">
        <f>(TA[[#This Row],[Work Completion time on fault]]-TA[[#This Row],[Fault Time]])*24</f>
        <v>0</v>
      </c>
      <c r="AD86" s="27">
        <f>IFERROR((TA[[#This Row],[Work Completion time on fault]]-TA[[#This Row],[Fault Time]])*24,"")</f>
        <v>0</v>
      </c>
      <c r="AE86" t="s">
        <v>319</v>
      </c>
      <c r="AF86" t="s">
        <v>247</v>
      </c>
      <c r="AG86" s="2"/>
      <c r="AH86" s="35">
        <f>1-COS(RADIANS(TA[[#This Row],[Avg. Target Angle during Fault Time (Radians)]]-TA[[#This Row],[Angle of affected equipment ]]))</f>
        <v>0.11705240714107301</v>
      </c>
      <c r="AI86" s="27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43">
        <f t="shared" si="5"/>
        <v>2026</v>
      </c>
      <c r="C87" s="116">
        <f t="shared" si="6"/>
        <v>2025</v>
      </c>
      <c r="D87" s="2" t="s">
        <v>155</v>
      </c>
      <c r="E87" s="2" t="s">
        <v>155</v>
      </c>
      <c r="F87" s="30">
        <v>45748</v>
      </c>
      <c r="G87" s="2">
        <f>DAY(EOMONTH(TA[[#This Row],[Month Year]],0))</f>
        <v>30</v>
      </c>
      <c r="H87" s="21">
        <v>45750</v>
      </c>
      <c r="I87" s="32">
        <f>IFERROR(VLOOKUP(TA[[#This Row],[Date]],Raw_Data[[Date]:[Sunset Time (POA&lt;20 W/m2)]],3,0),"")</f>
        <v>0.27638888888888891</v>
      </c>
      <c r="J87" s="32">
        <f>IFERROR(VLOOKUP(TA[[#This Row],[Date]],Raw_Data[[Date]:[Sunset Time (POA&lt;20 W/m2)]],4,0),"")</f>
        <v>0.76388888888888884</v>
      </c>
      <c r="K87" s="27">
        <f>IFERROR((TA[[#This Row],[Sunset Time (POA&lt;20 W/m2)]]-TA[[#This Row],[Sunrise Time (POA&gt;20 W/m2)]])*24,"")</f>
        <v>11.7</v>
      </c>
      <c r="L87" s="2" t="s">
        <v>285</v>
      </c>
      <c r="M87" s="33">
        <f>IFERROR(VLOOKUP(TA[[#This Row],[Affected Equipment]],'Basic Data'!$I$2:$K$40,3,0),"")</f>
        <v>1.7241379310344799E-3</v>
      </c>
      <c r="N87">
        <v>-28</v>
      </c>
      <c r="O87" t="s">
        <v>133</v>
      </c>
      <c r="P87" s="114" t="s">
        <v>307</v>
      </c>
      <c r="Q87" s="113" t="s">
        <v>307</v>
      </c>
      <c r="R87">
        <v>118</v>
      </c>
      <c r="S87" s="2">
        <v>22</v>
      </c>
      <c r="T87" t="s">
        <v>286</v>
      </c>
      <c r="U87" t="s">
        <v>291</v>
      </c>
      <c r="V87" t="s">
        <v>289</v>
      </c>
      <c r="W87" s="32"/>
      <c r="X87" s="32"/>
      <c r="Y87" s="26"/>
      <c r="Z87" s="26"/>
      <c r="AA87" s="27">
        <f>IF(TA[[#This Row],[Work Start time on Fault]]="NA","",(TA[[#This Row],[Fault Acknowledgement Time ]]-TA[[#This Row],[Fault Time]])*24)</f>
        <v>0</v>
      </c>
      <c r="AB87" s="27">
        <f>(TA[[#This Row],[Work Start time on Fault]]-TA[[#This Row],[Fault Time]])*24</f>
        <v>0</v>
      </c>
      <c r="AC87" s="26">
        <f>(TA[[#This Row],[Work Completion time on fault]]-TA[[#This Row],[Fault Time]])*24</f>
        <v>0</v>
      </c>
      <c r="AD87" s="27">
        <f>IFERROR((TA[[#This Row],[Work Completion time on fault]]-TA[[#This Row],[Fault Time]])*24,"")</f>
        <v>0</v>
      </c>
      <c r="AE87" t="s">
        <v>319</v>
      </c>
      <c r="AF87" t="s">
        <v>247</v>
      </c>
      <c r="AG87" s="2"/>
      <c r="AH87" s="35">
        <f>1-COS(RADIANS(TA[[#This Row],[Avg. Target Angle during Fault Time (Radians)]]-TA[[#This Row],[Angle of affected equipment ]]))</f>
        <v>0.11705240714107301</v>
      </c>
      <c r="AI87" s="27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43">
        <f t="shared" si="5"/>
        <v>2026</v>
      </c>
      <c r="C88" s="116">
        <f t="shared" si="6"/>
        <v>2025</v>
      </c>
      <c r="D88" s="2" t="s">
        <v>155</v>
      </c>
      <c r="E88" s="2" t="s">
        <v>155</v>
      </c>
      <c r="F88" s="30">
        <v>45748</v>
      </c>
      <c r="G88" s="2">
        <f>DAY(EOMONTH(TA[[#This Row],[Month Year]],0))</f>
        <v>30</v>
      </c>
      <c r="H88" s="21">
        <v>45750</v>
      </c>
      <c r="I88" s="32">
        <f>IFERROR(VLOOKUP(TA[[#This Row],[Date]],Raw_Data[[Date]:[Sunset Time (POA&lt;20 W/m2)]],3,0),"")</f>
        <v>0.27638888888888891</v>
      </c>
      <c r="J88" s="32">
        <f>IFERROR(VLOOKUP(TA[[#This Row],[Date]],Raw_Data[[Date]:[Sunset Time (POA&lt;20 W/m2)]],4,0),"")</f>
        <v>0.76388888888888884</v>
      </c>
      <c r="K88" s="27">
        <f>IFERROR((TA[[#This Row],[Sunset Time (POA&lt;20 W/m2)]]-TA[[#This Row],[Sunrise Time (POA&gt;20 W/m2)]])*24,"")</f>
        <v>11.7</v>
      </c>
      <c r="L88" s="2" t="s">
        <v>287</v>
      </c>
      <c r="M88" s="33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314</v>
      </c>
      <c r="Q88" s="2" t="s">
        <v>320</v>
      </c>
      <c r="R88">
        <v>45</v>
      </c>
      <c r="S88" s="2">
        <v>8</v>
      </c>
      <c r="T88" t="s">
        <v>288</v>
      </c>
      <c r="U88" t="s">
        <v>317</v>
      </c>
      <c r="V88" t="s">
        <v>292</v>
      </c>
      <c r="W88" s="32">
        <f>IFERROR(VLOOKUP(TA[[#This Row],[Date]],Raw_Data[[Date]:[Sunset Time (POA&lt;20 W/m2)]],3,0),"")</f>
        <v>0.27638888888888891</v>
      </c>
      <c r="X88" s="32">
        <f>IFERROR(VLOOKUP(TA[[#This Row],[Date]],Raw_Data[[Date]:[Sunset Time (POA&lt;20 W/m2)]],3,0),"")</f>
        <v>0.27638888888888891</v>
      </c>
      <c r="Y88" s="26"/>
      <c r="Z88" s="26">
        <v>0.76041666666666663</v>
      </c>
      <c r="AA88" s="27">
        <f>IF(TA[[#This Row],[Work Start time on Fault]]="NA","",(TA[[#This Row],[Fault Acknowledgement Time ]]-TA[[#This Row],[Fault Time]])*24)</f>
        <v>0</v>
      </c>
      <c r="AB88" s="27">
        <f>(TA[[#This Row],[Work Start time on Fault]]-TA[[#This Row],[Fault Time]])*24</f>
        <v>-6.6333333333333337</v>
      </c>
      <c r="AC88" s="26">
        <f>(TA[[#This Row],[Work Completion time on fault]]-TA[[#This Row],[Fault Time]])*24</f>
        <v>11.616666666666665</v>
      </c>
      <c r="AD88" s="27">
        <f>IFERROR((TA[[#This Row],[Work Completion time on fault]]-TA[[#This Row],[Fault Time]])*24,"")</f>
        <v>11.616666666666665</v>
      </c>
      <c r="AE88" t="s">
        <v>300</v>
      </c>
      <c r="AF88" t="s">
        <v>247</v>
      </c>
      <c r="AG88" s="2"/>
      <c r="AH88" s="35">
        <f>1-COS(RADIANS(TA[[#This Row],[Avg. Target Angle during Fault Time (Radians)]]-TA[[#This Row],[Angle of affected equipment ]]))</f>
        <v>0.11705240714107301</v>
      </c>
      <c r="AI88" s="27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43">
        <f t="shared" si="5"/>
        <v>2026</v>
      </c>
      <c r="C89" s="116">
        <f t="shared" si="6"/>
        <v>2025</v>
      </c>
      <c r="D89" s="2" t="s">
        <v>155</v>
      </c>
      <c r="E89" s="2" t="s">
        <v>155</v>
      </c>
      <c r="F89" s="30">
        <v>45748</v>
      </c>
      <c r="G89" s="2">
        <f>DAY(EOMONTH(TA[[#This Row],[Month Year]],0))</f>
        <v>30</v>
      </c>
      <c r="H89" s="21">
        <v>45750</v>
      </c>
      <c r="I89" s="32">
        <f>IFERROR(VLOOKUP(TA[[#This Row],[Date]],Raw_Data[[Date]:[Sunset Time (POA&lt;20 W/m2)]],3,0),"")</f>
        <v>0.27638888888888891</v>
      </c>
      <c r="J89" s="32">
        <f>IFERROR(VLOOKUP(TA[[#This Row],[Date]],Raw_Data[[Date]:[Sunset Time (POA&lt;20 W/m2)]],4,0),"")</f>
        <v>0.76388888888888884</v>
      </c>
      <c r="K89" s="27">
        <f>IFERROR((TA[[#This Row],[Sunset Time (POA&lt;20 W/m2)]]-TA[[#This Row],[Sunrise Time (POA&gt;20 W/m2)]])*24,"")</f>
        <v>11.7</v>
      </c>
      <c r="L89" s="2" t="s">
        <v>287</v>
      </c>
      <c r="M89" s="33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314</v>
      </c>
      <c r="Q89" s="2" t="s">
        <v>320</v>
      </c>
      <c r="R89">
        <v>47</v>
      </c>
      <c r="S89" s="2">
        <v>18</v>
      </c>
      <c r="T89" t="s">
        <v>288</v>
      </c>
      <c r="U89" t="s">
        <v>317</v>
      </c>
      <c r="V89" t="s">
        <v>292</v>
      </c>
      <c r="W89" s="32">
        <f>IFERROR(VLOOKUP(TA[[#This Row],[Date]],Raw_Data[[Date]:[Sunset Time (POA&lt;20 W/m2)]],3,0),"")</f>
        <v>0.27638888888888891</v>
      </c>
      <c r="X89" s="32">
        <f>IFERROR(VLOOKUP(TA[[#This Row],[Date]],Raw_Data[[Date]:[Sunset Time (POA&lt;20 W/m2)]],3,0),"")</f>
        <v>0.27638888888888891</v>
      </c>
      <c r="Y89" s="26"/>
      <c r="Z89" s="26">
        <v>0.76041666666666663</v>
      </c>
      <c r="AA89" s="27">
        <f>IF(TA[[#This Row],[Work Start time on Fault]]="NA","",(TA[[#This Row],[Fault Acknowledgement Time ]]-TA[[#This Row],[Fault Time]])*24)</f>
        <v>0</v>
      </c>
      <c r="AB89" s="27">
        <f>(TA[[#This Row],[Work Start time on Fault]]-TA[[#This Row],[Fault Time]])*24</f>
        <v>-6.6333333333333337</v>
      </c>
      <c r="AC89" s="26">
        <f>(TA[[#This Row],[Work Completion time on fault]]-TA[[#This Row],[Fault Time]])*24</f>
        <v>11.616666666666665</v>
      </c>
      <c r="AD89" s="27">
        <f>IFERROR((TA[[#This Row],[Work Completion time on fault]]-TA[[#This Row],[Fault Time]])*24,"")</f>
        <v>11.616666666666665</v>
      </c>
      <c r="AE89" t="s">
        <v>300</v>
      </c>
      <c r="AF89" t="s">
        <v>247</v>
      </c>
      <c r="AG89" s="2"/>
      <c r="AH89" s="35">
        <f>1-COS(RADIANS(TA[[#This Row],[Avg. Target Angle during Fault Time (Radians)]]-TA[[#This Row],[Angle of affected equipment ]]))</f>
        <v>0.11705240714107301</v>
      </c>
      <c r="AI89" s="27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43">
        <f t="shared" si="5"/>
        <v>2026</v>
      </c>
      <c r="C90" s="116">
        <f t="shared" si="6"/>
        <v>2025</v>
      </c>
      <c r="D90" s="2" t="s">
        <v>155</v>
      </c>
      <c r="E90" s="2" t="s">
        <v>155</v>
      </c>
      <c r="F90" s="30">
        <v>45748</v>
      </c>
      <c r="G90" s="2">
        <f>DAY(EOMONTH(TA[[#This Row],[Month Year]],0))</f>
        <v>30</v>
      </c>
      <c r="H90" s="21">
        <v>45750</v>
      </c>
      <c r="I90" s="32">
        <f>IFERROR(VLOOKUP(TA[[#This Row],[Date]],Raw_Data[[Date]:[Sunset Time (POA&lt;20 W/m2)]],3,0),"")</f>
        <v>0.27638888888888891</v>
      </c>
      <c r="J90" s="32">
        <f>IFERROR(VLOOKUP(TA[[#This Row],[Date]],Raw_Data[[Date]:[Sunset Time (POA&lt;20 W/m2)]],4,0),"")</f>
        <v>0.76388888888888884</v>
      </c>
      <c r="K90" s="27">
        <f>IFERROR((TA[[#This Row],[Sunset Time (POA&lt;20 W/m2)]]-TA[[#This Row],[Sunrise Time (POA&gt;20 W/m2)]])*24,"")</f>
        <v>11.7</v>
      </c>
      <c r="L90" s="2" t="s">
        <v>287</v>
      </c>
      <c r="M90" s="33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321</v>
      </c>
      <c r="Q90" s="2" t="s">
        <v>314</v>
      </c>
      <c r="R90">
        <v>30</v>
      </c>
      <c r="S90" s="2">
        <v>57</v>
      </c>
      <c r="T90" t="s">
        <v>288</v>
      </c>
      <c r="U90" t="s">
        <v>317</v>
      </c>
      <c r="V90" t="s">
        <v>292</v>
      </c>
      <c r="W90" s="32">
        <f>IFERROR(VLOOKUP(TA[[#This Row],[Date]],Raw_Data[[Date]:[Sunset Time (POA&lt;20 W/m2)]],3,0),"")</f>
        <v>0.27638888888888891</v>
      </c>
      <c r="X90" s="32">
        <f>IFERROR(VLOOKUP(TA[[#This Row],[Date]],Raw_Data[[Date]:[Sunset Time (POA&lt;20 W/m2)]],3,0),"")</f>
        <v>0.27638888888888891</v>
      </c>
      <c r="Y90" s="26"/>
      <c r="Z90" s="26">
        <v>0.76041666666666663</v>
      </c>
      <c r="AA90" s="27">
        <f>IF(TA[[#This Row],[Work Start time on Fault]]="NA","",(TA[[#This Row],[Fault Acknowledgement Time ]]-TA[[#This Row],[Fault Time]])*24)</f>
        <v>0</v>
      </c>
      <c r="AB90" s="27">
        <f>(TA[[#This Row],[Work Start time on Fault]]-TA[[#This Row],[Fault Time]])*24</f>
        <v>-6.6333333333333337</v>
      </c>
      <c r="AC90" s="26">
        <f>(TA[[#This Row],[Work Completion time on fault]]-TA[[#This Row],[Fault Time]])*24</f>
        <v>11.616666666666665</v>
      </c>
      <c r="AD90" s="27">
        <f>IFERROR((TA[[#This Row],[Work Completion time on fault]]-TA[[#This Row],[Fault Time]])*24,"")</f>
        <v>11.616666666666665</v>
      </c>
      <c r="AE90" t="s">
        <v>300</v>
      </c>
      <c r="AF90" t="s">
        <v>247</v>
      </c>
      <c r="AG90" s="2"/>
      <c r="AH90" s="35">
        <f>1-COS(RADIANS(TA[[#This Row],[Avg. Target Angle during Fault Time (Radians)]]-TA[[#This Row],[Angle of affected equipment ]]))</f>
        <v>0.11705240714107301</v>
      </c>
      <c r="AI90" s="27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43">
        <f t="shared" si="5"/>
        <v>2026</v>
      </c>
      <c r="C91" s="116">
        <f t="shared" si="6"/>
        <v>2025</v>
      </c>
      <c r="D91" s="2" t="s">
        <v>155</v>
      </c>
      <c r="E91" s="2" t="s">
        <v>155</v>
      </c>
      <c r="F91" s="30">
        <v>45748</v>
      </c>
      <c r="G91" s="2">
        <f>DAY(EOMONTH(TA[[#This Row],[Month Year]],0))</f>
        <v>30</v>
      </c>
      <c r="H91" s="21">
        <v>45750</v>
      </c>
      <c r="I91" s="32">
        <f>IFERROR(VLOOKUP(TA[[#This Row],[Date]],Raw_Data[[Date]:[Sunset Time (POA&lt;20 W/m2)]],3,0),"")</f>
        <v>0.27638888888888891</v>
      </c>
      <c r="J91" s="32">
        <f>IFERROR(VLOOKUP(TA[[#This Row],[Date]],Raw_Data[[Date]:[Sunset Time (POA&lt;20 W/m2)]],4,0),"")</f>
        <v>0.76388888888888884</v>
      </c>
      <c r="K91" s="27">
        <f>IFERROR((TA[[#This Row],[Sunset Time (POA&lt;20 W/m2)]]-TA[[#This Row],[Sunrise Time (POA&gt;20 W/m2)]])*24,"")</f>
        <v>11.7</v>
      </c>
      <c r="L91" s="2" t="s">
        <v>287</v>
      </c>
      <c r="M91" s="33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321</v>
      </c>
      <c r="Q91" s="2" t="s">
        <v>314</v>
      </c>
      <c r="R91">
        <v>31</v>
      </c>
      <c r="S91" s="2">
        <v>61</v>
      </c>
      <c r="T91" t="s">
        <v>288</v>
      </c>
      <c r="U91" t="s">
        <v>317</v>
      </c>
      <c r="V91" t="s">
        <v>292</v>
      </c>
      <c r="W91" s="32">
        <f>IFERROR(VLOOKUP(TA[[#This Row],[Date]],Raw_Data[[Date]:[Sunset Time (POA&lt;20 W/m2)]],3,0),"")</f>
        <v>0.27638888888888891</v>
      </c>
      <c r="X91" s="32">
        <f>IFERROR(VLOOKUP(TA[[#This Row],[Date]],Raw_Data[[Date]:[Sunset Time (POA&lt;20 W/m2)]],3,0),"")</f>
        <v>0.27638888888888891</v>
      </c>
      <c r="Y91" s="26"/>
      <c r="Z91" s="26">
        <v>0.76041666666666663</v>
      </c>
      <c r="AA91" s="27">
        <f>IF(TA[[#This Row],[Work Start time on Fault]]="NA","",(TA[[#This Row],[Fault Acknowledgement Time ]]-TA[[#This Row],[Fault Time]])*24)</f>
        <v>0</v>
      </c>
      <c r="AB91" s="27">
        <f>(TA[[#This Row],[Work Start time on Fault]]-TA[[#This Row],[Fault Time]])*24</f>
        <v>-6.6333333333333337</v>
      </c>
      <c r="AC91" s="26">
        <f>(TA[[#This Row],[Work Completion time on fault]]-TA[[#This Row],[Fault Time]])*24</f>
        <v>11.616666666666665</v>
      </c>
      <c r="AD91" s="27">
        <f>IFERROR((TA[[#This Row],[Work Completion time on fault]]-TA[[#This Row],[Fault Time]])*24,"")</f>
        <v>11.616666666666665</v>
      </c>
      <c r="AE91" t="s">
        <v>300</v>
      </c>
      <c r="AF91" t="s">
        <v>247</v>
      </c>
      <c r="AG91" s="2"/>
      <c r="AH91" s="35">
        <f>1-COS(RADIANS(TA[[#This Row],[Avg. Target Angle during Fault Time (Radians)]]-TA[[#This Row],[Angle of affected equipment ]]))</f>
        <v>0.11705240714107301</v>
      </c>
      <c r="AI91" s="27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43">
        <f t="shared" si="5"/>
        <v>2026</v>
      </c>
      <c r="C92" s="116">
        <f t="shared" si="6"/>
        <v>2025</v>
      </c>
      <c r="D92" s="2" t="s">
        <v>155</v>
      </c>
      <c r="E92" s="2" t="s">
        <v>155</v>
      </c>
      <c r="F92" s="30">
        <v>45748</v>
      </c>
      <c r="G92" s="2">
        <f>DAY(EOMONTH(TA[[#This Row],[Month Year]],0))</f>
        <v>30</v>
      </c>
      <c r="H92" s="21">
        <v>45750</v>
      </c>
      <c r="I92" s="32">
        <f>IFERROR(VLOOKUP(TA[[#This Row],[Date]],Raw_Data[[Date]:[Sunset Time (POA&lt;20 W/m2)]],3,0),"")</f>
        <v>0.27638888888888891</v>
      </c>
      <c r="J92" s="32">
        <f>IFERROR(VLOOKUP(TA[[#This Row],[Date]],Raw_Data[[Date]:[Sunset Time (POA&lt;20 W/m2)]],4,0),"")</f>
        <v>0.76388888888888884</v>
      </c>
      <c r="K92" s="27">
        <f>IFERROR((TA[[#This Row],[Sunset Time (POA&lt;20 W/m2)]]-TA[[#This Row],[Sunrise Time (POA&gt;20 W/m2)]])*24,"")</f>
        <v>11.7</v>
      </c>
      <c r="L92" s="2" t="s">
        <v>303</v>
      </c>
      <c r="M92" s="33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321</v>
      </c>
      <c r="Q92" s="2" t="s">
        <v>314</v>
      </c>
      <c r="R92">
        <v>26</v>
      </c>
      <c r="S92" s="2">
        <v>37</v>
      </c>
      <c r="T92" t="s">
        <v>288</v>
      </c>
      <c r="U92" t="s">
        <v>317</v>
      </c>
      <c r="V92" t="s">
        <v>292</v>
      </c>
      <c r="W92" s="32">
        <f>IFERROR(VLOOKUP(TA[[#This Row],[Date]],Raw_Data[[Date]:[Sunset Time (POA&lt;20 W/m2)]],3,0),"")</f>
        <v>0.27638888888888891</v>
      </c>
      <c r="X92" s="32">
        <f>IFERROR(VLOOKUP(TA[[#This Row],[Date]],Raw_Data[[Date]:[Sunset Time (POA&lt;20 W/m2)]],3,0),"")</f>
        <v>0.27638888888888891</v>
      </c>
      <c r="Y92" s="26"/>
      <c r="Z92" s="26">
        <v>0.76041666666666663</v>
      </c>
      <c r="AA92" s="27">
        <f>IF(TA[[#This Row],[Work Start time on Fault]]="NA","",(TA[[#This Row],[Fault Acknowledgement Time ]]-TA[[#This Row],[Fault Time]])*24)</f>
        <v>0</v>
      </c>
      <c r="AB92" s="27">
        <f>(TA[[#This Row],[Work Start time on Fault]]-TA[[#This Row],[Fault Time]])*24</f>
        <v>-6.6333333333333337</v>
      </c>
      <c r="AC92" s="26">
        <f>(TA[[#This Row],[Work Completion time on fault]]-TA[[#This Row],[Fault Time]])*24</f>
        <v>11.616666666666665</v>
      </c>
      <c r="AD92" s="27">
        <f>IFERROR((TA[[#This Row],[Work Completion time on fault]]-TA[[#This Row],[Fault Time]])*24,"")</f>
        <v>11.616666666666665</v>
      </c>
      <c r="AE92" t="s">
        <v>300</v>
      </c>
      <c r="AF92" t="s">
        <v>247</v>
      </c>
      <c r="AG92" s="2"/>
      <c r="AH92" s="35">
        <f>1-COS(RADIANS(TA[[#This Row],[Avg. Target Angle during Fault Time (Radians)]]-TA[[#This Row],[Angle of affected equipment ]]))</f>
        <v>0.11705240714107301</v>
      </c>
      <c r="AI92" s="27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43">
        <f t="shared" si="5"/>
        <v>2026</v>
      </c>
      <c r="C93" s="116">
        <f t="shared" si="6"/>
        <v>2025</v>
      </c>
      <c r="D93" s="2" t="s">
        <v>155</v>
      </c>
      <c r="E93" s="2" t="s">
        <v>155</v>
      </c>
      <c r="F93" s="30">
        <v>45748</v>
      </c>
      <c r="G93" s="2">
        <f>DAY(EOMONTH(TA[[#This Row],[Month Year]],0))</f>
        <v>30</v>
      </c>
      <c r="H93" s="21">
        <v>45750</v>
      </c>
      <c r="I93" s="32">
        <f>IFERROR(VLOOKUP(TA[[#This Row],[Date]],Raw_Data[[Date]:[Sunset Time (POA&lt;20 W/m2)]],3,0),"")</f>
        <v>0.27638888888888891</v>
      </c>
      <c r="J93" s="32">
        <f>IFERROR(VLOOKUP(TA[[#This Row],[Date]],Raw_Data[[Date]:[Sunset Time (POA&lt;20 W/m2)]],4,0),"")</f>
        <v>0.76388888888888884</v>
      </c>
      <c r="K93" s="27">
        <f>IFERROR((TA[[#This Row],[Sunset Time (POA&lt;20 W/m2)]]-TA[[#This Row],[Sunrise Time (POA&gt;20 W/m2)]])*24,"")</f>
        <v>11.7</v>
      </c>
      <c r="L93" s="2" t="s">
        <v>303</v>
      </c>
      <c r="M93" s="33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321</v>
      </c>
      <c r="Q93" s="2" t="s">
        <v>314</v>
      </c>
      <c r="R93">
        <v>27</v>
      </c>
      <c r="S93" s="2">
        <v>42</v>
      </c>
      <c r="T93" t="s">
        <v>288</v>
      </c>
      <c r="U93" t="s">
        <v>317</v>
      </c>
      <c r="V93" t="s">
        <v>292</v>
      </c>
      <c r="W93" s="32">
        <f>IFERROR(VLOOKUP(TA[[#This Row],[Date]],Raw_Data[[Date]:[Sunset Time (POA&lt;20 W/m2)]],3,0),"")</f>
        <v>0.27638888888888891</v>
      </c>
      <c r="X93" s="32">
        <f>IFERROR(VLOOKUP(TA[[#This Row],[Date]],Raw_Data[[Date]:[Sunset Time (POA&lt;20 W/m2)]],3,0),"")</f>
        <v>0.27638888888888891</v>
      </c>
      <c r="Y93" s="26"/>
      <c r="Z93" s="26">
        <v>0.76041666666666663</v>
      </c>
      <c r="AA93" s="27">
        <f>IF(TA[[#This Row],[Work Start time on Fault]]="NA","",(TA[[#This Row],[Fault Acknowledgement Time ]]-TA[[#This Row],[Fault Time]])*24)</f>
        <v>0</v>
      </c>
      <c r="AB93" s="27">
        <f>(TA[[#This Row],[Work Start time on Fault]]-TA[[#This Row],[Fault Time]])*24</f>
        <v>-6.6333333333333337</v>
      </c>
      <c r="AC93" s="26">
        <f>(TA[[#This Row],[Work Completion time on fault]]-TA[[#This Row],[Fault Time]])*24</f>
        <v>11.616666666666665</v>
      </c>
      <c r="AD93" s="27">
        <f>IFERROR((TA[[#This Row],[Work Completion time on fault]]-TA[[#This Row],[Fault Time]])*24,"")</f>
        <v>11.616666666666665</v>
      </c>
      <c r="AE93" t="s">
        <v>300</v>
      </c>
      <c r="AF93" t="s">
        <v>247</v>
      </c>
      <c r="AG93" s="2"/>
      <c r="AH93" s="35">
        <f>1-COS(RADIANS(TA[[#This Row],[Avg. Target Angle during Fault Time (Radians)]]-TA[[#This Row],[Angle of affected equipment ]]))</f>
        <v>0.11705240714107301</v>
      </c>
      <c r="AI93" s="27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43">
        <f t="shared" si="5"/>
        <v>2026</v>
      </c>
      <c r="C94" s="116">
        <f t="shared" si="6"/>
        <v>2025</v>
      </c>
      <c r="D94" s="2" t="s">
        <v>155</v>
      </c>
      <c r="E94" s="2" t="s">
        <v>155</v>
      </c>
      <c r="F94" s="30">
        <v>45748</v>
      </c>
      <c r="G94" s="2">
        <f>DAY(EOMONTH(TA[[#This Row],[Month Year]],0))</f>
        <v>30</v>
      </c>
      <c r="H94" s="21">
        <v>45751</v>
      </c>
      <c r="I94" s="32">
        <f>IFERROR(VLOOKUP(TA[[#This Row],[Date]],Raw_Data[[Date]:[Sunset Time (POA&lt;20 W/m2)]],3,0),"")</f>
        <v>0.27013888888888887</v>
      </c>
      <c r="J94" s="32">
        <f>IFERROR(VLOOKUP(TA[[#This Row],[Date]],Raw_Data[[Date]:[Sunset Time (POA&lt;20 W/m2)]],4,0),"")</f>
        <v>0.76458333333333328</v>
      </c>
      <c r="K94" s="27">
        <f>IFERROR((TA[[#This Row],[Sunset Time (POA&lt;20 W/m2)]]-TA[[#This Row],[Sunrise Time (POA&gt;20 W/m2)]])*24,"")</f>
        <v>11.866666666666665</v>
      </c>
      <c r="L94" s="2" t="s">
        <v>285</v>
      </c>
      <c r="M94" s="33">
        <f>IFERROR(VLOOKUP(TA[[#This Row],[Affected Equipment]],'Basic Data'!$I$2:$K$40,3,0),"")</f>
        <v>1.7241379310344799E-3</v>
      </c>
      <c r="N94">
        <v>-28</v>
      </c>
      <c r="O94" t="s">
        <v>135</v>
      </c>
      <c r="P94" s="114" t="s">
        <v>309</v>
      </c>
      <c r="Q94" s="113" t="s">
        <v>309</v>
      </c>
      <c r="R94">
        <v>130</v>
      </c>
      <c r="S94" s="2">
        <v>36</v>
      </c>
      <c r="T94" t="s">
        <v>286</v>
      </c>
      <c r="U94" t="s">
        <v>291</v>
      </c>
      <c r="V94" t="s">
        <v>289</v>
      </c>
      <c r="W94" s="32"/>
      <c r="X94" s="32"/>
      <c r="Y94" s="26"/>
      <c r="Z94" s="26"/>
      <c r="AA94" s="27">
        <f>IF(TA[[#This Row],[Work Start time on Fault]]="NA","",(TA[[#This Row],[Fault Acknowledgement Time ]]-TA[[#This Row],[Fault Time]])*24)</f>
        <v>0</v>
      </c>
      <c r="AB94" s="27">
        <f>(TA[[#This Row],[Work Start time on Fault]]-TA[[#This Row],[Fault Time]])*24</f>
        <v>0</v>
      </c>
      <c r="AC94" s="26">
        <f>(TA[[#This Row],[Work Completion time on fault]]-TA[[#This Row],[Fault Time]])*24</f>
        <v>0</v>
      </c>
      <c r="AD94" s="27">
        <f>IFERROR((TA[[#This Row],[Work Completion time on fault]]-TA[[#This Row],[Fault Time]])*24,"")</f>
        <v>0</v>
      </c>
      <c r="AE94" t="s">
        <v>319</v>
      </c>
      <c r="AF94" t="s">
        <v>247</v>
      </c>
      <c r="AG94" s="2"/>
      <c r="AH94" s="35">
        <f>1-COS(RADIANS(TA[[#This Row],[Avg. Target Angle during Fault Time (Radians)]]-TA[[#This Row],[Angle of affected equipment ]]))</f>
        <v>0.11705240714107301</v>
      </c>
      <c r="AI94" s="27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43">
        <f t="shared" si="5"/>
        <v>2026</v>
      </c>
      <c r="C95" s="116">
        <f t="shared" si="6"/>
        <v>2025</v>
      </c>
      <c r="D95" s="2" t="s">
        <v>155</v>
      </c>
      <c r="E95" s="2" t="s">
        <v>155</v>
      </c>
      <c r="F95" s="30">
        <v>45748</v>
      </c>
      <c r="G95" s="2">
        <f>DAY(EOMONTH(TA[[#This Row],[Month Year]],0))</f>
        <v>30</v>
      </c>
      <c r="H95" s="21">
        <v>45751</v>
      </c>
      <c r="I95" s="32">
        <f>IFERROR(VLOOKUP(TA[[#This Row],[Date]],Raw_Data[[Date]:[Sunset Time (POA&lt;20 W/m2)]],3,0),"")</f>
        <v>0.27013888888888887</v>
      </c>
      <c r="J95" s="32">
        <f>IFERROR(VLOOKUP(TA[[#This Row],[Date]],Raw_Data[[Date]:[Sunset Time (POA&lt;20 W/m2)]],4,0),"")</f>
        <v>0.76458333333333328</v>
      </c>
      <c r="K95" s="27">
        <f>IFERROR((TA[[#This Row],[Sunset Time (POA&lt;20 W/m2)]]-TA[[#This Row],[Sunrise Time (POA&gt;20 W/m2)]])*24,"")</f>
        <v>11.866666666666665</v>
      </c>
      <c r="L95" s="2" t="s">
        <v>285</v>
      </c>
      <c r="M95" s="33">
        <f>IFERROR(VLOOKUP(TA[[#This Row],[Affected Equipment]],'Basic Data'!$I$2:$K$40,3,0),"")</f>
        <v>1.7241379310344799E-3</v>
      </c>
      <c r="N95">
        <v>-28</v>
      </c>
      <c r="O95" t="s">
        <v>135</v>
      </c>
      <c r="P95" s="114" t="s">
        <v>309</v>
      </c>
      <c r="Q95" s="113" t="s">
        <v>309</v>
      </c>
      <c r="R95">
        <v>130</v>
      </c>
      <c r="S95" s="2">
        <v>37</v>
      </c>
      <c r="T95" t="s">
        <v>286</v>
      </c>
      <c r="U95" t="s">
        <v>291</v>
      </c>
      <c r="V95" t="s">
        <v>289</v>
      </c>
      <c r="W95" s="32"/>
      <c r="X95" s="32"/>
      <c r="Y95" s="26"/>
      <c r="Z95" s="26"/>
      <c r="AA95" s="27">
        <f>IF(TA[[#This Row],[Work Start time on Fault]]="NA","",(TA[[#This Row],[Fault Acknowledgement Time ]]-TA[[#This Row],[Fault Time]])*24)</f>
        <v>0</v>
      </c>
      <c r="AB95" s="27">
        <f>(TA[[#This Row],[Work Start time on Fault]]-TA[[#This Row],[Fault Time]])*24</f>
        <v>0</v>
      </c>
      <c r="AC95" s="26">
        <f>(TA[[#This Row],[Work Completion time on fault]]-TA[[#This Row],[Fault Time]])*24</f>
        <v>0</v>
      </c>
      <c r="AD95" s="27">
        <f>IFERROR((TA[[#This Row],[Work Completion time on fault]]-TA[[#This Row],[Fault Time]])*24,"")</f>
        <v>0</v>
      </c>
      <c r="AE95" t="s">
        <v>319</v>
      </c>
      <c r="AF95" t="s">
        <v>247</v>
      </c>
      <c r="AG95" s="2"/>
      <c r="AH95" s="35">
        <f>1-COS(RADIANS(TA[[#This Row],[Avg. Target Angle during Fault Time (Radians)]]-TA[[#This Row],[Angle of affected equipment ]]))</f>
        <v>0.11705240714107301</v>
      </c>
      <c r="AI95" s="27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43">
        <f t="shared" si="5"/>
        <v>2026</v>
      </c>
      <c r="C96" s="116">
        <f t="shared" si="6"/>
        <v>2025</v>
      </c>
      <c r="D96" s="2" t="s">
        <v>155</v>
      </c>
      <c r="E96" s="2" t="s">
        <v>155</v>
      </c>
      <c r="F96" s="30">
        <v>45748</v>
      </c>
      <c r="G96" s="2">
        <f>DAY(EOMONTH(TA[[#This Row],[Month Year]],0))</f>
        <v>30</v>
      </c>
      <c r="H96" s="21">
        <v>45751</v>
      </c>
      <c r="I96" s="32">
        <f>IFERROR(VLOOKUP(TA[[#This Row],[Date]],Raw_Data[[Date]:[Sunset Time (POA&lt;20 W/m2)]],3,0),"")</f>
        <v>0.27013888888888887</v>
      </c>
      <c r="J96" s="32">
        <f>IFERROR(VLOOKUP(TA[[#This Row],[Date]],Raw_Data[[Date]:[Sunset Time (POA&lt;20 W/m2)]],4,0),"")</f>
        <v>0.76458333333333328</v>
      </c>
      <c r="K96" s="27">
        <f>IFERROR((TA[[#This Row],[Sunset Time (POA&lt;20 W/m2)]]-TA[[#This Row],[Sunrise Time (POA&gt;20 W/m2)]])*24,"")</f>
        <v>11.866666666666665</v>
      </c>
      <c r="L96" s="2" t="s">
        <v>285</v>
      </c>
      <c r="M96" s="33">
        <f>IFERROR(VLOOKUP(TA[[#This Row],[Affected Equipment]],'Basic Data'!$I$2:$K$40,3,0),"")</f>
        <v>1.7241379310344799E-3</v>
      </c>
      <c r="N96">
        <v>-28</v>
      </c>
      <c r="O96" t="s">
        <v>135</v>
      </c>
      <c r="P96" s="114" t="s">
        <v>309</v>
      </c>
      <c r="Q96" s="113" t="s">
        <v>309</v>
      </c>
      <c r="R96">
        <v>131</v>
      </c>
      <c r="S96" s="2">
        <v>38</v>
      </c>
      <c r="T96" t="s">
        <v>286</v>
      </c>
      <c r="U96" t="s">
        <v>291</v>
      </c>
      <c r="V96" t="s">
        <v>289</v>
      </c>
      <c r="W96" s="32"/>
      <c r="X96" s="32"/>
      <c r="Y96" s="26"/>
      <c r="Z96" s="26"/>
      <c r="AA96" s="27">
        <f>IF(TA[[#This Row],[Work Start time on Fault]]="NA","",(TA[[#This Row],[Fault Acknowledgement Time ]]-TA[[#This Row],[Fault Time]])*24)</f>
        <v>0</v>
      </c>
      <c r="AB96" s="27">
        <f>(TA[[#This Row],[Work Start time on Fault]]-TA[[#This Row],[Fault Time]])*24</f>
        <v>0</v>
      </c>
      <c r="AC96" s="26">
        <f>(TA[[#This Row],[Work Completion time on fault]]-TA[[#This Row],[Fault Time]])*24</f>
        <v>0</v>
      </c>
      <c r="AD96" s="27">
        <f>IFERROR((TA[[#This Row],[Work Completion time on fault]]-TA[[#This Row],[Fault Time]])*24,"")</f>
        <v>0</v>
      </c>
      <c r="AE96" t="s">
        <v>319</v>
      </c>
      <c r="AF96" t="s">
        <v>247</v>
      </c>
      <c r="AG96" s="2"/>
      <c r="AH96" s="35">
        <f>1-COS(RADIANS(TA[[#This Row],[Avg. Target Angle during Fault Time (Radians)]]-TA[[#This Row],[Angle of affected equipment ]]))</f>
        <v>0.11705240714107301</v>
      </c>
      <c r="AI96" s="27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43">
        <f t="shared" si="5"/>
        <v>2026</v>
      </c>
      <c r="C97" s="116">
        <f t="shared" si="6"/>
        <v>2025</v>
      </c>
      <c r="D97" s="2" t="s">
        <v>155</v>
      </c>
      <c r="E97" s="2" t="s">
        <v>155</v>
      </c>
      <c r="F97" s="30">
        <v>45748</v>
      </c>
      <c r="G97" s="2">
        <f>DAY(EOMONTH(TA[[#This Row],[Month Year]],0))</f>
        <v>30</v>
      </c>
      <c r="H97" s="21">
        <v>45751</v>
      </c>
      <c r="I97" s="32">
        <f>IFERROR(VLOOKUP(TA[[#This Row],[Date]],Raw_Data[[Date]:[Sunset Time (POA&lt;20 W/m2)]],3,0),"")</f>
        <v>0.27013888888888887</v>
      </c>
      <c r="J97" s="32">
        <f>IFERROR(VLOOKUP(TA[[#This Row],[Date]],Raw_Data[[Date]:[Sunset Time (POA&lt;20 W/m2)]],4,0),"")</f>
        <v>0.76458333333333328</v>
      </c>
      <c r="K97" s="27">
        <f>IFERROR((TA[[#This Row],[Sunset Time (POA&lt;20 W/m2)]]-TA[[#This Row],[Sunrise Time (POA&gt;20 W/m2)]])*24,"")</f>
        <v>11.866666666666665</v>
      </c>
      <c r="L97" s="2" t="s">
        <v>285</v>
      </c>
      <c r="M97" s="33">
        <f>IFERROR(VLOOKUP(TA[[#This Row],[Affected Equipment]],'Basic Data'!$I$2:$K$40,3,0),"")</f>
        <v>1.7241379310344799E-3</v>
      </c>
      <c r="N97">
        <v>-28</v>
      </c>
      <c r="O97" t="s">
        <v>135</v>
      </c>
      <c r="P97" s="114" t="s">
        <v>309</v>
      </c>
      <c r="Q97" s="113" t="s">
        <v>309</v>
      </c>
      <c r="R97">
        <v>131</v>
      </c>
      <c r="S97" s="2">
        <v>39</v>
      </c>
      <c r="T97" t="s">
        <v>286</v>
      </c>
      <c r="U97" t="s">
        <v>291</v>
      </c>
      <c r="V97" t="s">
        <v>289</v>
      </c>
      <c r="W97" s="32"/>
      <c r="X97" s="32"/>
      <c r="Y97" s="26"/>
      <c r="Z97" s="26"/>
      <c r="AA97" s="27">
        <f>IF(TA[[#This Row],[Work Start time on Fault]]="NA","",(TA[[#This Row],[Fault Acknowledgement Time ]]-TA[[#This Row],[Fault Time]])*24)</f>
        <v>0</v>
      </c>
      <c r="AB97" s="27">
        <f>(TA[[#This Row],[Work Start time on Fault]]-TA[[#This Row],[Fault Time]])*24</f>
        <v>0</v>
      </c>
      <c r="AC97" s="26">
        <f>(TA[[#This Row],[Work Completion time on fault]]-TA[[#This Row],[Fault Time]])*24</f>
        <v>0</v>
      </c>
      <c r="AD97" s="27">
        <f>IFERROR((TA[[#This Row],[Work Completion time on fault]]-TA[[#This Row],[Fault Time]])*24,"")</f>
        <v>0</v>
      </c>
      <c r="AE97" t="s">
        <v>319</v>
      </c>
      <c r="AF97" t="s">
        <v>247</v>
      </c>
      <c r="AG97" s="2"/>
      <c r="AH97" s="35">
        <f>1-COS(RADIANS(TA[[#This Row],[Avg. Target Angle during Fault Time (Radians)]]-TA[[#This Row],[Angle of affected equipment ]]))</f>
        <v>0.11705240714107301</v>
      </c>
      <c r="AI97" s="27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43">
        <f t="shared" si="5"/>
        <v>2026</v>
      </c>
      <c r="C98" s="116">
        <f t="shared" si="6"/>
        <v>2025</v>
      </c>
      <c r="D98" s="2" t="s">
        <v>155</v>
      </c>
      <c r="E98" s="2" t="s">
        <v>155</v>
      </c>
      <c r="F98" s="30">
        <v>45748</v>
      </c>
      <c r="G98" s="2">
        <f>DAY(EOMONTH(TA[[#This Row],[Month Year]],0))</f>
        <v>30</v>
      </c>
      <c r="H98" s="21">
        <v>45751</v>
      </c>
      <c r="I98" s="32">
        <f>IFERROR(VLOOKUP(TA[[#This Row],[Date]],Raw_Data[[Date]:[Sunset Time (POA&lt;20 W/m2)]],3,0),"")</f>
        <v>0.27013888888888887</v>
      </c>
      <c r="J98" s="32">
        <f>IFERROR(VLOOKUP(TA[[#This Row],[Date]],Raw_Data[[Date]:[Sunset Time (POA&lt;20 W/m2)]],4,0),"")</f>
        <v>0.76458333333333328</v>
      </c>
      <c r="K98" s="27">
        <f>IFERROR((TA[[#This Row],[Sunset Time (POA&lt;20 W/m2)]]-TA[[#This Row],[Sunrise Time (POA&gt;20 W/m2)]])*24,"")</f>
        <v>11.866666666666665</v>
      </c>
      <c r="L98" s="2" t="s">
        <v>287</v>
      </c>
      <c r="M98" s="33">
        <f>IFERROR(VLOOKUP(TA[[#This Row],[Affected Equipment]],'Basic Data'!$I$2:$K$40,3,0),"")</f>
        <v>8.6206896551724102E-3</v>
      </c>
      <c r="N98">
        <v>-28</v>
      </c>
      <c r="O98" t="s">
        <v>135</v>
      </c>
      <c r="P98" s="114" t="s">
        <v>309</v>
      </c>
      <c r="Q98" s="2" t="s">
        <v>312</v>
      </c>
      <c r="R98">
        <v>133</v>
      </c>
      <c r="S98" s="2">
        <v>26</v>
      </c>
      <c r="T98" t="s">
        <v>288</v>
      </c>
      <c r="U98" t="s">
        <v>291</v>
      </c>
      <c r="V98" t="s">
        <v>305</v>
      </c>
      <c r="W98" s="32"/>
      <c r="X98" s="32"/>
      <c r="Y98" s="26"/>
      <c r="Z98" s="26"/>
      <c r="AA98" s="27">
        <f>IF(TA[[#This Row],[Work Start time on Fault]]="NA","",(TA[[#This Row],[Fault Acknowledgement Time ]]-TA[[#This Row],[Fault Time]])*24)</f>
        <v>0</v>
      </c>
      <c r="AB98" s="27">
        <f>(TA[[#This Row],[Work Start time on Fault]]-TA[[#This Row],[Fault Time]])*24</f>
        <v>0</v>
      </c>
      <c r="AC98" s="26">
        <f>(TA[[#This Row],[Work Completion time on fault]]-TA[[#This Row],[Fault Time]])*24</f>
        <v>0</v>
      </c>
      <c r="AD98" s="27">
        <f>IFERROR((TA[[#This Row],[Work Completion time on fault]]-TA[[#This Row],[Fault Time]])*24,"")</f>
        <v>0</v>
      </c>
      <c r="AE98" t="s">
        <v>319</v>
      </c>
      <c r="AF98" t="s">
        <v>247</v>
      </c>
      <c r="AG98" s="2"/>
      <c r="AH98" s="35">
        <f>1-COS(RADIANS(TA[[#This Row],[Avg. Target Angle during Fault Time (Radians)]]-TA[[#This Row],[Angle of affected equipment ]]))</f>
        <v>0.11705240714107301</v>
      </c>
      <c r="AI98" s="27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43">
        <f t="shared" si="5"/>
        <v>2026</v>
      </c>
      <c r="C99" s="116">
        <f t="shared" si="6"/>
        <v>2025</v>
      </c>
      <c r="D99" s="2" t="s">
        <v>155</v>
      </c>
      <c r="E99" s="2" t="s">
        <v>155</v>
      </c>
      <c r="F99" s="30">
        <v>45748</v>
      </c>
      <c r="G99" s="2">
        <f>DAY(EOMONTH(TA[[#This Row],[Month Year]],0))</f>
        <v>30</v>
      </c>
      <c r="H99" s="21">
        <v>45751</v>
      </c>
      <c r="I99" s="32">
        <f>IFERROR(VLOOKUP(TA[[#This Row],[Date]],Raw_Data[[Date]:[Sunset Time (POA&lt;20 W/m2)]],3,0),"")</f>
        <v>0.27013888888888887</v>
      </c>
      <c r="J99" s="32">
        <f>IFERROR(VLOOKUP(TA[[#This Row],[Date]],Raw_Data[[Date]:[Sunset Time (POA&lt;20 W/m2)]],4,0),"")</f>
        <v>0.76458333333333328</v>
      </c>
      <c r="K99" s="27">
        <f>IFERROR((TA[[#This Row],[Sunset Time (POA&lt;20 W/m2)]]-TA[[#This Row],[Sunrise Time (POA&gt;20 W/m2)]])*24,"")</f>
        <v>11.866666666666665</v>
      </c>
      <c r="L99" s="2" t="s">
        <v>285</v>
      </c>
      <c r="M99" s="33">
        <f>IFERROR(VLOOKUP(TA[[#This Row],[Affected Equipment]],'Basic Data'!$I$2:$K$40,3,0),"")</f>
        <v>1.7241379310344799E-3</v>
      </c>
      <c r="N99">
        <v>-28</v>
      </c>
      <c r="O99" t="s">
        <v>133</v>
      </c>
      <c r="P99" s="114" t="s">
        <v>307</v>
      </c>
      <c r="Q99" s="113" t="s">
        <v>308</v>
      </c>
      <c r="R99">
        <v>7</v>
      </c>
      <c r="S99" s="2">
        <v>32</v>
      </c>
      <c r="T99" t="s">
        <v>286</v>
      </c>
      <c r="U99" t="s">
        <v>291</v>
      </c>
      <c r="V99" t="s">
        <v>289</v>
      </c>
      <c r="W99" s="32"/>
      <c r="X99" s="32"/>
      <c r="Y99" s="26"/>
      <c r="Z99" s="26"/>
      <c r="AA99" s="27">
        <f>IF(TA[[#This Row],[Work Start time on Fault]]="NA","",(TA[[#This Row],[Fault Acknowledgement Time ]]-TA[[#This Row],[Fault Time]])*24)</f>
        <v>0</v>
      </c>
      <c r="AB99" s="27">
        <f>(TA[[#This Row],[Work Start time on Fault]]-TA[[#This Row],[Fault Time]])*24</f>
        <v>0</v>
      </c>
      <c r="AC99" s="26">
        <f>(TA[[#This Row],[Work Completion time on fault]]-TA[[#This Row],[Fault Time]])*24</f>
        <v>0</v>
      </c>
      <c r="AD99" s="27">
        <f>IFERROR((TA[[#This Row],[Work Completion time on fault]]-TA[[#This Row],[Fault Time]])*24,"")</f>
        <v>0</v>
      </c>
      <c r="AE99" t="s">
        <v>319</v>
      </c>
      <c r="AF99" t="s">
        <v>247</v>
      </c>
      <c r="AG99" s="2"/>
      <c r="AH99" s="35">
        <f>1-COS(RADIANS(TA[[#This Row],[Avg. Target Angle during Fault Time (Radians)]]-TA[[#This Row],[Angle of affected equipment ]]))</f>
        <v>0.11705240714107301</v>
      </c>
      <c r="AI99" s="27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43">
        <f t="shared" si="5"/>
        <v>2026</v>
      </c>
      <c r="C100" s="116">
        <f t="shared" si="6"/>
        <v>2025</v>
      </c>
      <c r="D100" s="2" t="s">
        <v>155</v>
      </c>
      <c r="E100" s="2" t="s">
        <v>155</v>
      </c>
      <c r="F100" s="30">
        <v>45748</v>
      </c>
      <c r="G100" s="2">
        <f>DAY(EOMONTH(TA[[#This Row],[Month Year]],0))</f>
        <v>30</v>
      </c>
      <c r="H100" s="21">
        <v>45751</v>
      </c>
      <c r="I100" s="32">
        <f>IFERROR(VLOOKUP(TA[[#This Row],[Date]],Raw_Data[[Date]:[Sunset Time (POA&lt;20 W/m2)]],3,0),"")</f>
        <v>0.27013888888888887</v>
      </c>
      <c r="J100" s="32">
        <f>IFERROR(VLOOKUP(TA[[#This Row],[Date]],Raw_Data[[Date]:[Sunset Time (POA&lt;20 W/m2)]],4,0),"")</f>
        <v>0.76458333333333328</v>
      </c>
      <c r="K100" s="27">
        <f>IFERROR((TA[[#This Row],[Sunset Time (POA&lt;20 W/m2)]]-TA[[#This Row],[Sunrise Time (POA&gt;20 W/m2)]])*24,"")</f>
        <v>11.866666666666665</v>
      </c>
      <c r="L100" s="2" t="s">
        <v>285</v>
      </c>
      <c r="M100" s="33">
        <f>IFERROR(VLOOKUP(TA[[#This Row],[Affected Equipment]],'Basic Data'!$I$2:$K$40,3,0),"")</f>
        <v>1.7241379310344799E-3</v>
      </c>
      <c r="N100">
        <v>-28</v>
      </c>
      <c r="O100" t="s">
        <v>137</v>
      </c>
      <c r="P100" s="114" t="s">
        <v>306</v>
      </c>
      <c r="Q100" s="113" t="s">
        <v>310</v>
      </c>
      <c r="R100">
        <v>166</v>
      </c>
      <c r="S100" s="2">
        <v>91</v>
      </c>
      <c r="T100" t="s">
        <v>286</v>
      </c>
      <c r="U100" t="s">
        <v>291</v>
      </c>
      <c r="V100" t="s">
        <v>289</v>
      </c>
      <c r="W100" s="32"/>
      <c r="X100" s="32"/>
      <c r="Y100" s="26"/>
      <c r="Z100" s="26"/>
      <c r="AA100" s="27">
        <f>IF(TA[[#This Row],[Work Start time on Fault]]="NA","",(TA[[#This Row],[Fault Acknowledgement Time ]]-TA[[#This Row],[Fault Time]])*24)</f>
        <v>0</v>
      </c>
      <c r="AB100" s="27">
        <f>(TA[[#This Row],[Work Start time on Fault]]-TA[[#This Row],[Fault Time]])*24</f>
        <v>0</v>
      </c>
      <c r="AC100" s="26">
        <f>(TA[[#This Row],[Work Completion time on fault]]-TA[[#This Row],[Fault Time]])*24</f>
        <v>0</v>
      </c>
      <c r="AD100" s="27">
        <f>IFERROR((TA[[#This Row],[Work Completion time on fault]]-TA[[#This Row],[Fault Time]])*24,"")</f>
        <v>0</v>
      </c>
      <c r="AE100" t="s">
        <v>319</v>
      </c>
      <c r="AF100" t="s">
        <v>247</v>
      </c>
      <c r="AG100" s="2"/>
      <c r="AH100" s="35">
        <f>1-COS(RADIANS(TA[[#This Row],[Avg. Target Angle during Fault Time (Radians)]]-TA[[#This Row],[Angle of affected equipment ]]))</f>
        <v>0.11705240714107301</v>
      </c>
      <c r="AI100" s="27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43">
        <f t="shared" si="5"/>
        <v>2026</v>
      </c>
      <c r="C101" s="116">
        <f t="shared" si="6"/>
        <v>2025</v>
      </c>
      <c r="D101" s="2" t="s">
        <v>155</v>
      </c>
      <c r="E101" s="2" t="s">
        <v>155</v>
      </c>
      <c r="F101" s="30">
        <v>45748</v>
      </c>
      <c r="G101" s="2">
        <f>DAY(EOMONTH(TA[[#This Row],[Month Year]],0))</f>
        <v>30</v>
      </c>
      <c r="H101" s="21">
        <v>45751</v>
      </c>
      <c r="I101" s="32">
        <f>IFERROR(VLOOKUP(TA[[#This Row],[Date]],Raw_Data[[Date]:[Sunset Time (POA&lt;20 W/m2)]],3,0),"")</f>
        <v>0.27013888888888887</v>
      </c>
      <c r="J101" s="32">
        <f>IFERROR(VLOOKUP(TA[[#This Row],[Date]],Raw_Data[[Date]:[Sunset Time (POA&lt;20 W/m2)]],4,0),"")</f>
        <v>0.76458333333333328</v>
      </c>
      <c r="K101" s="27">
        <f>IFERROR((TA[[#This Row],[Sunset Time (POA&lt;20 W/m2)]]-TA[[#This Row],[Sunrise Time (POA&gt;20 W/m2)]])*24,"")</f>
        <v>11.866666666666665</v>
      </c>
      <c r="L101" s="2" t="s">
        <v>285</v>
      </c>
      <c r="M101" s="33">
        <f>IFERROR(VLOOKUP(TA[[#This Row],[Affected Equipment]],'Basic Data'!$I$2:$K$40,3,0),"")</f>
        <v>1.7241379310344799E-3</v>
      </c>
      <c r="N101">
        <v>-28</v>
      </c>
      <c r="O101" t="s">
        <v>133</v>
      </c>
      <c r="P101" s="114" t="s">
        <v>307</v>
      </c>
      <c r="Q101" s="113" t="s">
        <v>307</v>
      </c>
      <c r="R101">
        <v>117</v>
      </c>
      <c r="S101" s="2">
        <v>20</v>
      </c>
      <c r="T101" t="s">
        <v>286</v>
      </c>
      <c r="U101" t="s">
        <v>291</v>
      </c>
      <c r="V101" t="s">
        <v>289</v>
      </c>
      <c r="W101" s="32"/>
      <c r="X101" s="32"/>
      <c r="Y101" s="26"/>
      <c r="Z101" s="26"/>
      <c r="AA101" s="27">
        <f>IF(TA[[#This Row],[Work Start time on Fault]]="NA","",(TA[[#This Row],[Fault Acknowledgement Time ]]-TA[[#This Row],[Fault Time]])*24)</f>
        <v>0</v>
      </c>
      <c r="AB101" s="27">
        <f>(TA[[#This Row],[Work Start time on Fault]]-TA[[#This Row],[Fault Time]])*24</f>
        <v>0</v>
      </c>
      <c r="AC101" s="26">
        <f>(TA[[#This Row],[Work Completion time on fault]]-TA[[#This Row],[Fault Time]])*24</f>
        <v>0</v>
      </c>
      <c r="AD101" s="27">
        <f>IFERROR((TA[[#This Row],[Work Completion time on fault]]-TA[[#This Row],[Fault Time]])*24,"")</f>
        <v>0</v>
      </c>
      <c r="AE101" t="s">
        <v>319</v>
      </c>
      <c r="AF101" t="s">
        <v>247</v>
      </c>
      <c r="AG101" s="2"/>
      <c r="AH101" s="35">
        <f>1-COS(RADIANS(TA[[#This Row],[Avg. Target Angle during Fault Time (Radians)]]-TA[[#This Row],[Angle of affected equipment ]]))</f>
        <v>0.11705240714107301</v>
      </c>
      <c r="AI101" s="27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43">
        <f t="shared" si="5"/>
        <v>2026</v>
      </c>
      <c r="C102" s="116">
        <f t="shared" si="6"/>
        <v>2025</v>
      </c>
      <c r="D102" s="2" t="s">
        <v>155</v>
      </c>
      <c r="E102" s="2" t="s">
        <v>155</v>
      </c>
      <c r="F102" s="30">
        <v>45748</v>
      </c>
      <c r="G102" s="2">
        <f>DAY(EOMONTH(TA[[#This Row],[Month Year]],0))</f>
        <v>30</v>
      </c>
      <c r="H102" s="21">
        <v>45751</v>
      </c>
      <c r="I102" s="32">
        <f>IFERROR(VLOOKUP(TA[[#This Row],[Date]],Raw_Data[[Date]:[Sunset Time (POA&lt;20 W/m2)]],3,0),"")</f>
        <v>0.27013888888888887</v>
      </c>
      <c r="J102" s="32">
        <f>IFERROR(VLOOKUP(TA[[#This Row],[Date]],Raw_Data[[Date]:[Sunset Time (POA&lt;20 W/m2)]],4,0),"")</f>
        <v>0.76458333333333328</v>
      </c>
      <c r="K102" s="27">
        <f>IFERROR((TA[[#This Row],[Sunset Time (POA&lt;20 W/m2)]]-TA[[#This Row],[Sunrise Time (POA&gt;20 W/m2)]])*24,"")</f>
        <v>11.866666666666665</v>
      </c>
      <c r="L102" s="2" t="s">
        <v>285</v>
      </c>
      <c r="M102" s="33">
        <f>IFERROR(VLOOKUP(TA[[#This Row],[Affected Equipment]],'Basic Data'!$I$2:$K$40,3,0),"")</f>
        <v>1.7241379310344799E-3</v>
      </c>
      <c r="N102">
        <v>-28</v>
      </c>
      <c r="O102" t="s">
        <v>133</v>
      </c>
      <c r="P102" s="114" t="s">
        <v>307</v>
      </c>
      <c r="Q102" s="113" t="s">
        <v>307</v>
      </c>
      <c r="R102">
        <v>118</v>
      </c>
      <c r="S102" s="2">
        <v>22</v>
      </c>
      <c r="T102" t="s">
        <v>286</v>
      </c>
      <c r="U102" t="s">
        <v>291</v>
      </c>
      <c r="V102" t="s">
        <v>289</v>
      </c>
      <c r="W102" s="32"/>
      <c r="X102" s="32"/>
      <c r="Y102" s="26"/>
      <c r="Z102" s="26"/>
      <c r="AA102" s="27">
        <f>IF(TA[[#This Row],[Work Start time on Fault]]="NA","",(TA[[#This Row],[Fault Acknowledgement Time ]]-TA[[#This Row],[Fault Time]])*24)</f>
        <v>0</v>
      </c>
      <c r="AB102" s="27">
        <f>(TA[[#This Row],[Work Start time on Fault]]-TA[[#This Row],[Fault Time]])*24</f>
        <v>0</v>
      </c>
      <c r="AC102" s="26">
        <f>(TA[[#This Row],[Work Completion time on fault]]-TA[[#This Row],[Fault Time]])*24</f>
        <v>0</v>
      </c>
      <c r="AD102" s="27">
        <f>IFERROR((TA[[#This Row],[Work Completion time on fault]]-TA[[#This Row],[Fault Time]])*24,"")</f>
        <v>0</v>
      </c>
      <c r="AE102" t="s">
        <v>319</v>
      </c>
      <c r="AF102" t="s">
        <v>247</v>
      </c>
      <c r="AG102" s="2"/>
      <c r="AH102" s="35">
        <f>1-COS(RADIANS(TA[[#This Row],[Avg. Target Angle during Fault Time (Radians)]]-TA[[#This Row],[Angle of affected equipment ]]))</f>
        <v>0.11705240714107301</v>
      </c>
      <c r="AI102" s="27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43">
        <f t="shared" si="5"/>
        <v>2026</v>
      </c>
      <c r="C103" s="116">
        <f t="shared" si="6"/>
        <v>2025</v>
      </c>
      <c r="D103" s="2" t="s">
        <v>155</v>
      </c>
      <c r="E103" s="2" t="s">
        <v>155</v>
      </c>
      <c r="F103" s="30">
        <v>45748</v>
      </c>
      <c r="G103" s="2">
        <f>DAY(EOMONTH(TA[[#This Row],[Month Year]],0))</f>
        <v>30</v>
      </c>
      <c r="H103" s="21">
        <v>45751</v>
      </c>
      <c r="I103" s="32">
        <f>IFERROR(VLOOKUP(TA[[#This Row],[Date]],Raw_Data[[Date]:[Sunset Time (POA&lt;20 W/m2)]],3,0),"")</f>
        <v>0.27013888888888887</v>
      </c>
      <c r="J103" s="32">
        <f>IFERROR(VLOOKUP(TA[[#This Row],[Date]],Raw_Data[[Date]:[Sunset Time (POA&lt;20 W/m2)]],4,0),"")</f>
        <v>0.76458333333333328</v>
      </c>
      <c r="K103" s="27">
        <f>IFERROR((TA[[#This Row],[Sunset Time (POA&lt;20 W/m2)]]-TA[[#This Row],[Sunrise Time (POA&gt;20 W/m2)]])*24,"")</f>
        <v>11.866666666666665</v>
      </c>
      <c r="L103" s="2" t="s">
        <v>287</v>
      </c>
      <c r="M103" s="33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314</v>
      </c>
      <c r="Q103" s="2" t="s">
        <v>320</v>
      </c>
      <c r="R103">
        <v>45</v>
      </c>
      <c r="S103" s="2">
        <v>8</v>
      </c>
      <c r="T103" t="s">
        <v>288</v>
      </c>
      <c r="U103" t="s">
        <v>317</v>
      </c>
      <c r="V103" t="s">
        <v>292</v>
      </c>
      <c r="W103" s="32">
        <f>IFERROR(VLOOKUP(TA[[#This Row],[Date]],Raw_Data[[Date]:[Sunset Time (POA&lt;20 W/m2)]],3,0),"")</f>
        <v>0.27013888888888887</v>
      </c>
      <c r="X103" s="32">
        <f>IFERROR(VLOOKUP(TA[[#This Row],[Date]],Raw_Data[[Date]:[Sunset Time (POA&lt;20 W/m2)]],3,0),"")</f>
        <v>0.27013888888888887</v>
      </c>
      <c r="Y103" s="26"/>
      <c r="Z103" s="26">
        <v>0.76041666666666663</v>
      </c>
      <c r="AA103" s="27">
        <f>IF(TA[[#This Row],[Work Start time on Fault]]="NA","",(TA[[#This Row],[Fault Acknowledgement Time ]]-TA[[#This Row],[Fault Time]])*24)</f>
        <v>0</v>
      </c>
      <c r="AB103" s="27">
        <f>(TA[[#This Row],[Work Start time on Fault]]-TA[[#This Row],[Fault Time]])*24</f>
        <v>-6.4833333333333325</v>
      </c>
      <c r="AC103" s="26">
        <f>(TA[[#This Row],[Work Completion time on fault]]-TA[[#This Row],[Fault Time]])*24</f>
        <v>11.766666666666666</v>
      </c>
      <c r="AD103" s="27">
        <f>IFERROR((TA[[#This Row],[Work Completion time on fault]]-TA[[#This Row],[Fault Time]])*24,"")</f>
        <v>11.766666666666666</v>
      </c>
      <c r="AE103" t="s">
        <v>300</v>
      </c>
      <c r="AF103" t="s">
        <v>247</v>
      </c>
      <c r="AG103" s="2"/>
      <c r="AH103" s="35">
        <f>1-COS(RADIANS(TA[[#This Row],[Avg. Target Angle during Fault Time (Radians)]]-TA[[#This Row],[Angle of affected equipment ]]))</f>
        <v>0.11705240714107301</v>
      </c>
      <c r="AI103" s="27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43">
        <f t="shared" si="5"/>
        <v>2026</v>
      </c>
      <c r="C104" s="116">
        <f t="shared" si="6"/>
        <v>2025</v>
      </c>
      <c r="D104" s="2" t="s">
        <v>155</v>
      </c>
      <c r="E104" s="2" t="s">
        <v>155</v>
      </c>
      <c r="F104" s="30">
        <v>45748</v>
      </c>
      <c r="G104" s="2">
        <f>DAY(EOMONTH(TA[[#This Row],[Month Year]],0))</f>
        <v>30</v>
      </c>
      <c r="H104" s="21">
        <v>45751</v>
      </c>
      <c r="I104" s="32">
        <f>IFERROR(VLOOKUP(TA[[#This Row],[Date]],Raw_Data[[Date]:[Sunset Time (POA&lt;20 W/m2)]],3,0),"")</f>
        <v>0.27013888888888887</v>
      </c>
      <c r="J104" s="32">
        <f>IFERROR(VLOOKUP(TA[[#This Row],[Date]],Raw_Data[[Date]:[Sunset Time (POA&lt;20 W/m2)]],4,0),"")</f>
        <v>0.76458333333333328</v>
      </c>
      <c r="K104" s="27">
        <f>IFERROR((TA[[#This Row],[Sunset Time (POA&lt;20 W/m2)]]-TA[[#This Row],[Sunrise Time (POA&gt;20 W/m2)]])*24,"")</f>
        <v>11.866666666666665</v>
      </c>
      <c r="L104" s="2" t="s">
        <v>287</v>
      </c>
      <c r="M104" s="33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314</v>
      </c>
      <c r="Q104" s="2" t="s">
        <v>320</v>
      </c>
      <c r="R104">
        <v>47</v>
      </c>
      <c r="S104" s="2">
        <v>18</v>
      </c>
      <c r="T104" t="s">
        <v>288</v>
      </c>
      <c r="U104" t="s">
        <v>317</v>
      </c>
      <c r="V104" t="s">
        <v>292</v>
      </c>
      <c r="W104" s="32">
        <f>IFERROR(VLOOKUP(TA[[#This Row],[Date]],Raw_Data[[Date]:[Sunset Time (POA&lt;20 W/m2)]],3,0),"")</f>
        <v>0.27013888888888887</v>
      </c>
      <c r="X104" s="32">
        <f>IFERROR(VLOOKUP(TA[[#This Row],[Date]],Raw_Data[[Date]:[Sunset Time (POA&lt;20 W/m2)]],3,0),"")</f>
        <v>0.27013888888888887</v>
      </c>
      <c r="Y104" s="26"/>
      <c r="Z104" s="26">
        <v>0.76041666666666663</v>
      </c>
      <c r="AA104" s="27">
        <f>IF(TA[[#This Row],[Work Start time on Fault]]="NA","",(TA[[#This Row],[Fault Acknowledgement Time ]]-TA[[#This Row],[Fault Time]])*24)</f>
        <v>0</v>
      </c>
      <c r="AB104" s="27">
        <f>(TA[[#This Row],[Work Start time on Fault]]-TA[[#This Row],[Fault Time]])*24</f>
        <v>-6.4833333333333325</v>
      </c>
      <c r="AC104" s="26">
        <f>(TA[[#This Row],[Work Completion time on fault]]-TA[[#This Row],[Fault Time]])*24</f>
        <v>11.766666666666666</v>
      </c>
      <c r="AD104" s="27">
        <f>IFERROR((TA[[#This Row],[Work Completion time on fault]]-TA[[#This Row],[Fault Time]])*24,"")</f>
        <v>11.766666666666666</v>
      </c>
      <c r="AE104" t="s">
        <v>300</v>
      </c>
      <c r="AF104" t="s">
        <v>247</v>
      </c>
      <c r="AG104" s="2"/>
      <c r="AH104" s="35">
        <f>1-COS(RADIANS(TA[[#This Row],[Avg. Target Angle during Fault Time (Radians)]]-TA[[#This Row],[Angle of affected equipment ]]))</f>
        <v>0.11705240714107301</v>
      </c>
      <c r="AI104" s="27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43">
        <f t="shared" si="5"/>
        <v>2026</v>
      </c>
      <c r="C105" s="116">
        <f t="shared" si="6"/>
        <v>2025</v>
      </c>
      <c r="D105" s="2" t="s">
        <v>155</v>
      </c>
      <c r="E105" s="2" t="s">
        <v>155</v>
      </c>
      <c r="F105" s="30">
        <v>45748</v>
      </c>
      <c r="G105" s="2">
        <f>DAY(EOMONTH(TA[[#This Row],[Month Year]],0))</f>
        <v>30</v>
      </c>
      <c r="H105" s="21">
        <v>45751</v>
      </c>
      <c r="I105" s="32">
        <f>IFERROR(VLOOKUP(TA[[#This Row],[Date]],Raw_Data[[Date]:[Sunset Time (POA&lt;20 W/m2)]],3,0),"")</f>
        <v>0.27013888888888887</v>
      </c>
      <c r="J105" s="32">
        <f>IFERROR(VLOOKUP(TA[[#This Row],[Date]],Raw_Data[[Date]:[Sunset Time (POA&lt;20 W/m2)]],4,0),"")</f>
        <v>0.76458333333333328</v>
      </c>
      <c r="K105" s="27">
        <f>IFERROR((TA[[#This Row],[Sunset Time (POA&lt;20 W/m2)]]-TA[[#This Row],[Sunrise Time (POA&gt;20 W/m2)]])*24,"")</f>
        <v>11.866666666666665</v>
      </c>
      <c r="L105" s="2" t="s">
        <v>287</v>
      </c>
      <c r="M105" s="33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321</v>
      </c>
      <c r="Q105" s="2" t="s">
        <v>314</v>
      </c>
      <c r="R105">
        <v>30</v>
      </c>
      <c r="S105" s="2">
        <v>57</v>
      </c>
      <c r="T105" t="s">
        <v>288</v>
      </c>
      <c r="U105" t="s">
        <v>317</v>
      </c>
      <c r="V105" t="s">
        <v>292</v>
      </c>
      <c r="W105" s="32">
        <f>IFERROR(VLOOKUP(TA[[#This Row],[Date]],Raw_Data[[Date]:[Sunset Time (POA&lt;20 W/m2)]],3,0),"")</f>
        <v>0.27013888888888887</v>
      </c>
      <c r="X105" s="32">
        <f>IFERROR(VLOOKUP(TA[[#This Row],[Date]],Raw_Data[[Date]:[Sunset Time (POA&lt;20 W/m2)]],3,0),"")</f>
        <v>0.27013888888888887</v>
      </c>
      <c r="Y105" s="26"/>
      <c r="Z105" s="26">
        <v>0.76041666666666663</v>
      </c>
      <c r="AA105" s="27">
        <f>IF(TA[[#This Row],[Work Start time on Fault]]="NA","",(TA[[#This Row],[Fault Acknowledgement Time ]]-TA[[#This Row],[Fault Time]])*24)</f>
        <v>0</v>
      </c>
      <c r="AB105" s="27">
        <f>(TA[[#This Row],[Work Start time on Fault]]-TA[[#This Row],[Fault Time]])*24</f>
        <v>-6.4833333333333325</v>
      </c>
      <c r="AC105" s="26">
        <f>(TA[[#This Row],[Work Completion time on fault]]-TA[[#This Row],[Fault Time]])*24</f>
        <v>11.766666666666666</v>
      </c>
      <c r="AD105" s="27">
        <f>IFERROR((TA[[#This Row],[Work Completion time on fault]]-TA[[#This Row],[Fault Time]])*24,"")</f>
        <v>11.766666666666666</v>
      </c>
      <c r="AE105" t="s">
        <v>300</v>
      </c>
      <c r="AF105" t="s">
        <v>247</v>
      </c>
      <c r="AG105" s="2"/>
      <c r="AH105" s="35">
        <f>1-COS(RADIANS(TA[[#This Row],[Avg. Target Angle during Fault Time (Radians)]]-TA[[#This Row],[Angle of affected equipment ]]))</f>
        <v>0.11705240714107301</v>
      </c>
      <c r="AI105" s="27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43">
        <f t="shared" si="5"/>
        <v>2026</v>
      </c>
      <c r="C106" s="116">
        <f t="shared" si="6"/>
        <v>2025</v>
      </c>
      <c r="D106" s="2" t="s">
        <v>155</v>
      </c>
      <c r="E106" s="2" t="s">
        <v>155</v>
      </c>
      <c r="F106" s="30">
        <v>45748</v>
      </c>
      <c r="G106" s="2">
        <f>DAY(EOMONTH(TA[[#This Row],[Month Year]],0))</f>
        <v>30</v>
      </c>
      <c r="H106" s="21">
        <v>45751</v>
      </c>
      <c r="I106" s="32">
        <f>IFERROR(VLOOKUP(TA[[#This Row],[Date]],Raw_Data[[Date]:[Sunset Time (POA&lt;20 W/m2)]],3,0),"")</f>
        <v>0.27013888888888887</v>
      </c>
      <c r="J106" s="32">
        <f>IFERROR(VLOOKUP(TA[[#This Row],[Date]],Raw_Data[[Date]:[Sunset Time (POA&lt;20 W/m2)]],4,0),"")</f>
        <v>0.76458333333333328</v>
      </c>
      <c r="K106" s="27">
        <f>IFERROR((TA[[#This Row],[Sunset Time (POA&lt;20 W/m2)]]-TA[[#This Row],[Sunrise Time (POA&gt;20 W/m2)]])*24,"")</f>
        <v>11.866666666666665</v>
      </c>
      <c r="L106" s="2" t="s">
        <v>287</v>
      </c>
      <c r="M106" s="33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321</v>
      </c>
      <c r="Q106" s="2" t="s">
        <v>314</v>
      </c>
      <c r="R106">
        <v>31</v>
      </c>
      <c r="S106" s="2">
        <v>61</v>
      </c>
      <c r="T106" t="s">
        <v>288</v>
      </c>
      <c r="U106" t="s">
        <v>317</v>
      </c>
      <c r="V106" t="s">
        <v>292</v>
      </c>
      <c r="W106" s="32">
        <f>IFERROR(VLOOKUP(TA[[#This Row],[Date]],Raw_Data[[Date]:[Sunset Time (POA&lt;20 W/m2)]],3,0),"")</f>
        <v>0.27013888888888887</v>
      </c>
      <c r="X106" s="32">
        <f>IFERROR(VLOOKUP(TA[[#This Row],[Date]],Raw_Data[[Date]:[Sunset Time (POA&lt;20 W/m2)]],3,0),"")</f>
        <v>0.27013888888888887</v>
      </c>
      <c r="Y106" s="26"/>
      <c r="Z106" s="26">
        <v>0.76041666666666663</v>
      </c>
      <c r="AA106" s="27">
        <f>IF(TA[[#This Row],[Work Start time on Fault]]="NA","",(TA[[#This Row],[Fault Acknowledgement Time ]]-TA[[#This Row],[Fault Time]])*24)</f>
        <v>0</v>
      </c>
      <c r="AB106" s="27">
        <f>(TA[[#This Row],[Work Start time on Fault]]-TA[[#This Row],[Fault Time]])*24</f>
        <v>-6.4833333333333325</v>
      </c>
      <c r="AC106" s="26">
        <f>(TA[[#This Row],[Work Completion time on fault]]-TA[[#This Row],[Fault Time]])*24</f>
        <v>11.766666666666666</v>
      </c>
      <c r="AD106" s="27">
        <f>IFERROR((TA[[#This Row],[Work Completion time on fault]]-TA[[#This Row],[Fault Time]])*24,"")</f>
        <v>11.766666666666666</v>
      </c>
      <c r="AE106" t="s">
        <v>300</v>
      </c>
      <c r="AF106" t="s">
        <v>247</v>
      </c>
      <c r="AG106" s="2"/>
      <c r="AH106" s="35">
        <f>1-COS(RADIANS(TA[[#This Row],[Avg. Target Angle during Fault Time (Radians)]]-TA[[#This Row],[Angle of affected equipment ]]))</f>
        <v>0.11705240714107301</v>
      </c>
      <c r="AI106" s="27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43">
        <f t="shared" si="5"/>
        <v>2026</v>
      </c>
      <c r="C107" s="116">
        <f t="shared" si="6"/>
        <v>2025</v>
      </c>
      <c r="D107" s="2" t="s">
        <v>155</v>
      </c>
      <c r="E107" s="2" t="s">
        <v>155</v>
      </c>
      <c r="F107" s="30">
        <v>45748</v>
      </c>
      <c r="G107" s="2">
        <f>DAY(EOMONTH(TA[[#This Row],[Month Year]],0))</f>
        <v>30</v>
      </c>
      <c r="H107" s="21">
        <v>45751</v>
      </c>
      <c r="I107" s="32">
        <f>IFERROR(VLOOKUP(TA[[#This Row],[Date]],Raw_Data[[Date]:[Sunset Time (POA&lt;20 W/m2)]],3,0),"")</f>
        <v>0.27013888888888887</v>
      </c>
      <c r="J107" s="32">
        <f>IFERROR(VLOOKUP(TA[[#This Row],[Date]],Raw_Data[[Date]:[Sunset Time (POA&lt;20 W/m2)]],4,0),"")</f>
        <v>0.76458333333333328</v>
      </c>
      <c r="K107" s="27">
        <f>IFERROR((TA[[#This Row],[Sunset Time (POA&lt;20 W/m2)]]-TA[[#This Row],[Sunrise Time (POA&gt;20 W/m2)]])*24,"")</f>
        <v>11.866666666666665</v>
      </c>
      <c r="L107" s="2" t="s">
        <v>303</v>
      </c>
      <c r="M107" s="33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321</v>
      </c>
      <c r="Q107" s="2" t="s">
        <v>314</v>
      </c>
      <c r="R107">
        <v>26</v>
      </c>
      <c r="S107" s="2">
        <v>37</v>
      </c>
      <c r="T107" t="s">
        <v>288</v>
      </c>
      <c r="U107" t="s">
        <v>317</v>
      </c>
      <c r="V107" t="s">
        <v>292</v>
      </c>
      <c r="W107" s="32">
        <f>IFERROR(VLOOKUP(TA[[#This Row],[Date]],Raw_Data[[Date]:[Sunset Time (POA&lt;20 W/m2)]],3,0),"")</f>
        <v>0.27013888888888887</v>
      </c>
      <c r="X107" s="32">
        <f>IFERROR(VLOOKUP(TA[[#This Row],[Date]],Raw_Data[[Date]:[Sunset Time (POA&lt;20 W/m2)]],3,0),"")</f>
        <v>0.27013888888888887</v>
      </c>
      <c r="Y107" s="26"/>
      <c r="Z107" s="26">
        <v>0.76041666666666663</v>
      </c>
      <c r="AA107" s="27">
        <f>IF(TA[[#This Row],[Work Start time on Fault]]="NA","",(TA[[#This Row],[Fault Acknowledgement Time ]]-TA[[#This Row],[Fault Time]])*24)</f>
        <v>0</v>
      </c>
      <c r="AB107" s="27">
        <f>(TA[[#This Row],[Work Start time on Fault]]-TA[[#This Row],[Fault Time]])*24</f>
        <v>-6.4833333333333325</v>
      </c>
      <c r="AC107" s="26">
        <f>(TA[[#This Row],[Work Completion time on fault]]-TA[[#This Row],[Fault Time]])*24</f>
        <v>11.766666666666666</v>
      </c>
      <c r="AD107" s="27">
        <f>IFERROR((TA[[#This Row],[Work Completion time on fault]]-TA[[#This Row],[Fault Time]])*24,"")</f>
        <v>11.766666666666666</v>
      </c>
      <c r="AE107" t="s">
        <v>300</v>
      </c>
      <c r="AF107" t="s">
        <v>247</v>
      </c>
      <c r="AG107" s="2"/>
      <c r="AH107" s="35">
        <f>1-COS(RADIANS(TA[[#This Row],[Avg. Target Angle during Fault Time (Radians)]]-TA[[#This Row],[Angle of affected equipment ]]))</f>
        <v>0.11705240714107301</v>
      </c>
      <c r="AI107" s="27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43">
        <f t="shared" si="5"/>
        <v>2026</v>
      </c>
      <c r="C108" s="116">
        <f t="shared" si="6"/>
        <v>2025</v>
      </c>
      <c r="D108" s="2" t="s">
        <v>155</v>
      </c>
      <c r="E108" s="2" t="s">
        <v>155</v>
      </c>
      <c r="F108" s="30">
        <v>45748</v>
      </c>
      <c r="G108" s="2">
        <f>DAY(EOMONTH(TA[[#This Row],[Month Year]],0))</f>
        <v>30</v>
      </c>
      <c r="H108" s="21">
        <v>45751</v>
      </c>
      <c r="I108" s="32">
        <f>IFERROR(VLOOKUP(TA[[#This Row],[Date]],Raw_Data[[Date]:[Sunset Time (POA&lt;20 W/m2)]],3,0),"")</f>
        <v>0.27013888888888887</v>
      </c>
      <c r="J108" s="32">
        <f>IFERROR(VLOOKUP(TA[[#This Row],[Date]],Raw_Data[[Date]:[Sunset Time (POA&lt;20 W/m2)]],4,0),"")</f>
        <v>0.76458333333333328</v>
      </c>
      <c r="K108" s="27">
        <f>IFERROR((TA[[#This Row],[Sunset Time (POA&lt;20 W/m2)]]-TA[[#This Row],[Sunrise Time (POA&gt;20 W/m2)]])*24,"")</f>
        <v>11.866666666666665</v>
      </c>
      <c r="L108" s="2" t="s">
        <v>303</v>
      </c>
      <c r="M108" s="33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321</v>
      </c>
      <c r="Q108" s="2" t="s">
        <v>314</v>
      </c>
      <c r="R108">
        <v>27</v>
      </c>
      <c r="S108" s="2">
        <v>42</v>
      </c>
      <c r="T108" t="s">
        <v>288</v>
      </c>
      <c r="U108" t="s">
        <v>317</v>
      </c>
      <c r="V108" t="s">
        <v>292</v>
      </c>
      <c r="W108" s="32">
        <f>IFERROR(VLOOKUP(TA[[#This Row],[Date]],Raw_Data[[Date]:[Sunset Time (POA&lt;20 W/m2)]],3,0),"")</f>
        <v>0.27013888888888887</v>
      </c>
      <c r="X108" s="32">
        <f>IFERROR(VLOOKUP(TA[[#This Row],[Date]],Raw_Data[[Date]:[Sunset Time (POA&lt;20 W/m2)]],3,0),"")</f>
        <v>0.27013888888888887</v>
      </c>
      <c r="Y108" s="26"/>
      <c r="Z108" s="26">
        <v>0.76041666666666663</v>
      </c>
      <c r="AA108" s="27">
        <f>IF(TA[[#This Row],[Work Start time on Fault]]="NA","",(TA[[#This Row],[Fault Acknowledgement Time ]]-TA[[#This Row],[Fault Time]])*24)</f>
        <v>0</v>
      </c>
      <c r="AB108" s="27">
        <f>(TA[[#This Row],[Work Start time on Fault]]-TA[[#This Row],[Fault Time]])*24</f>
        <v>-6.4833333333333325</v>
      </c>
      <c r="AC108" s="26">
        <f>(TA[[#This Row],[Work Completion time on fault]]-TA[[#This Row],[Fault Time]])*24</f>
        <v>11.766666666666666</v>
      </c>
      <c r="AD108" s="27">
        <f>IFERROR((TA[[#This Row],[Work Completion time on fault]]-TA[[#This Row],[Fault Time]])*24,"")</f>
        <v>11.766666666666666</v>
      </c>
      <c r="AE108" t="s">
        <v>300</v>
      </c>
      <c r="AF108" t="s">
        <v>247</v>
      </c>
      <c r="AG108" s="2"/>
      <c r="AH108" s="35">
        <f>1-COS(RADIANS(TA[[#This Row],[Avg. Target Angle during Fault Time (Radians)]]-TA[[#This Row],[Angle of affected equipment ]]))</f>
        <v>0.11705240714107301</v>
      </c>
      <c r="AI108" s="27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43">
        <f t="shared" si="5"/>
        <v>2026</v>
      </c>
      <c r="C109" s="116">
        <f t="shared" si="6"/>
        <v>2025</v>
      </c>
      <c r="D109" s="2" t="s">
        <v>155</v>
      </c>
      <c r="E109" s="2" t="s">
        <v>155</v>
      </c>
      <c r="F109" s="30">
        <v>45748</v>
      </c>
      <c r="G109" s="2">
        <f>DAY(EOMONTH(TA[[#This Row],[Month Year]],0))</f>
        <v>30</v>
      </c>
      <c r="H109" s="21">
        <v>45752</v>
      </c>
      <c r="I109" s="32">
        <f>IFERROR(VLOOKUP(TA[[#This Row],[Date]],Raw_Data[[Date]:[Sunset Time (POA&lt;20 W/m2)]],3,0),"")</f>
        <v>0.26597222222222222</v>
      </c>
      <c r="J109" s="32">
        <f>IFERROR(VLOOKUP(TA[[#This Row],[Date]],Raw_Data[[Date]:[Sunset Time (POA&lt;20 W/m2)]],4,0),"")</f>
        <v>0.76180555555555551</v>
      </c>
      <c r="K109" s="27">
        <f>IFERROR((TA[[#This Row],[Sunset Time (POA&lt;20 W/m2)]]-TA[[#This Row],[Sunrise Time (POA&gt;20 W/m2)]])*24,"")</f>
        <v>11.899999999999999</v>
      </c>
      <c r="L109" s="2" t="s">
        <v>285</v>
      </c>
      <c r="M109" s="33">
        <f>IFERROR(VLOOKUP(TA[[#This Row],[Affected Equipment]],'Basic Data'!$I$2:$K$40,3,0),"")</f>
        <v>1.7241379310344799E-3</v>
      </c>
      <c r="N109">
        <v>-28</v>
      </c>
      <c r="O109" t="s">
        <v>135</v>
      </c>
      <c r="P109" s="114" t="s">
        <v>309</v>
      </c>
      <c r="Q109" s="113" t="s">
        <v>309</v>
      </c>
      <c r="R109">
        <v>130</v>
      </c>
      <c r="S109" s="2">
        <v>36</v>
      </c>
      <c r="T109" t="s">
        <v>286</v>
      </c>
      <c r="U109" t="s">
        <v>291</v>
      </c>
      <c r="V109" t="s">
        <v>289</v>
      </c>
      <c r="W109" s="32"/>
      <c r="X109" s="32"/>
      <c r="Y109" s="26"/>
      <c r="Z109" s="26"/>
      <c r="AA109" s="27">
        <f>IF(TA[[#This Row],[Work Start time on Fault]]="NA","",(TA[[#This Row],[Fault Acknowledgement Time ]]-TA[[#This Row],[Fault Time]])*24)</f>
        <v>0</v>
      </c>
      <c r="AB109" s="27">
        <f>(TA[[#This Row],[Work Start time on Fault]]-TA[[#This Row],[Fault Time]])*24</f>
        <v>0</v>
      </c>
      <c r="AC109" s="26">
        <f>(TA[[#This Row],[Work Completion time on fault]]-TA[[#This Row],[Fault Time]])*24</f>
        <v>0</v>
      </c>
      <c r="AD109" s="27">
        <f>IFERROR((TA[[#This Row],[Work Completion time on fault]]-TA[[#This Row],[Fault Time]])*24,"")</f>
        <v>0</v>
      </c>
      <c r="AE109" t="s">
        <v>319</v>
      </c>
      <c r="AF109" t="s">
        <v>247</v>
      </c>
      <c r="AG109" s="2"/>
      <c r="AH109" s="35">
        <f>1-COS(RADIANS(TA[[#This Row],[Avg. Target Angle during Fault Time (Radians)]]-TA[[#This Row],[Angle of affected equipment ]]))</f>
        <v>0.11705240714107301</v>
      </c>
      <c r="AI109" s="27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43">
        <f t="shared" si="5"/>
        <v>2026</v>
      </c>
      <c r="C110" s="116">
        <f t="shared" si="6"/>
        <v>2025</v>
      </c>
      <c r="D110" s="2" t="s">
        <v>155</v>
      </c>
      <c r="E110" s="2" t="s">
        <v>155</v>
      </c>
      <c r="F110" s="30">
        <v>45748</v>
      </c>
      <c r="G110" s="2">
        <f>DAY(EOMONTH(TA[[#This Row],[Month Year]],0))</f>
        <v>30</v>
      </c>
      <c r="H110" s="21">
        <v>45752</v>
      </c>
      <c r="I110" s="32">
        <f>IFERROR(VLOOKUP(TA[[#This Row],[Date]],Raw_Data[[Date]:[Sunset Time (POA&lt;20 W/m2)]],3,0),"")</f>
        <v>0.26597222222222222</v>
      </c>
      <c r="J110" s="32">
        <f>IFERROR(VLOOKUP(TA[[#This Row],[Date]],Raw_Data[[Date]:[Sunset Time (POA&lt;20 W/m2)]],4,0),"")</f>
        <v>0.76180555555555551</v>
      </c>
      <c r="K110" s="27">
        <f>IFERROR((TA[[#This Row],[Sunset Time (POA&lt;20 W/m2)]]-TA[[#This Row],[Sunrise Time (POA&gt;20 W/m2)]])*24,"")</f>
        <v>11.899999999999999</v>
      </c>
      <c r="L110" s="2" t="s">
        <v>285</v>
      </c>
      <c r="M110" s="33">
        <f>IFERROR(VLOOKUP(TA[[#This Row],[Affected Equipment]],'Basic Data'!$I$2:$K$40,3,0),"")</f>
        <v>1.7241379310344799E-3</v>
      </c>
      <c r="N110">
        <v>-28</v>
      </c>
      <c r="O110" t="s">
        <v>135</v>
      </c>
      <c r="P110" s="114" t="s">
        <v>309</v>
      </c>
      <c r="Q110" s="113" t="s">
        <v>309</v>
      </c>
      <c r="R110">
        <v>130</v>
      </c>
      <c r="S110" s="2">
        <v>37</v>
      </c>
      <c r="T110" t="s">
        <v>286</v>
      </c>
      <c r="U110" t="s">
        <v>291</v>
      </c>
      <c r="V110" t="s">
        <v>289</v>
      </c>
      <c r="W110" s="32"/>
      <c r="X110" s="32"/>
      <c r="Y110" s="26"/>
      <c r="Z110" s="26"/>
      <c r="AA110" s="27">
        <f>IF(TA[[#This Row],[Work Start time on Fault]]="NA","",(TA[[#This Row],[Fault Acknowledgement Time ]]-TA[[#This Row],[Fault Time]])*24)</f>
        <v>0</v>
      </c>
      <c r="AB110" s="27">
        <f>(TA[[#This Row],[Work Start time on Fault]]-TA[[#This Row],[Fault Time]])*24</f>
        <v>0</v>
      </c>
      <c r="AC110" s="26">
        <f>(TA[[#This Row],[Work Completion time on fault]]-TA[[#This Row],[Fault Time]])*24</f>
        <v>0</v>
      </c>
      <c r="AD110" s="27">
        <f>IFERROR((TA[[#This Row],[Work Completion time on fault]]-TA[[#This Row],[Fault Time]])*24,"")</f>
        <v>0</v>
      </c>
      <c r="AE110" t="s">
        <v>319</v>
      </c>
      <c r="AF110" t="s">
        <v>247</v>
      </c>
      <c r="AG110" s="2"/>
      <c r="AH110" s="35">
        <f>1-COS(RADIANS(TA[[#This Row],[Avg. Target Angle during Fault Time (Radians)]]-TA[[#This Row],[Angle of affected equipment ]]))</f>
        <v>0.11705240714107301</v>
      </c>
      <c r="AI110" s="27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43">
        <f t="shared" si="5"/>
        <v>2026</v>
      </c>
      <c r="C111" s="116">
        <f t="shared" si="6"/>
        <v>2025</v>
      </c>
      <c r="D111" s="2" t="s">
        <v>155</v>
      </c>
      <c r="E111" s="2" t="s">
        <v>155</v>
      </c>
      <c r="F111" s="30">
        <v>45748</v>
      </c>
      <c r="G111" s="2">
        <f>DAY(EOMONTH(TA[[#This Row],[Month Year]],0))</f>
        <v>30</v>
      </c>
      <c r="H111" s="21">
        <v>45752</v>
      </c>
      <c r="I111" s="32">
        <f>IFERROR(VLOOKUP(TA[[#This Row],[Date]],Raw_Data[[Date]:[Sunset Time (POA&lt;20 W/m2)]],3,0),"")</f>
        <v>0.26597222222222222</v>
      </c>
      <c r="J111" s="32">
        <f>IFERROR(VLOOKUP(TA[[#This Row],[Date]],Raw_Data[[Date]:[Sunset Time (POA&lt;20 W/m2)]],4,0),"")</f>
        <v>0.76180555555555551</v>
      </c>
      <c r="K111" s="27">
        <f>IFERROR((TA[[#This Row],[Sunset Time (POA&lt;20 W/m2)]]-TA[[#This Row],[Sunrise Time (POA&gt;20 W/m2)]])*24,"")</f>
        <v>11.899999999999999</v>
      </c>
      <c r="L111" s="2" t="s">
        <v>285</v>
      </c>
      <c r="M111" s="33">
        <f>IFERROR(VLOOKUP(TA[[#This Row],[Affected Equipment]],'Basic Data'!$I$2:$K$40,3,0),"")</f>
        <v>1.7241379310344799E-3</v>
      </c>
      <c r="N111">
        <v>-28</v>
      </c>
      <c r="O111" t="s">
        <v>135</v>
      </c>
      <c r="P111" s="114" t="s">
        <v>309</v>
      </c>
      <c r="Q111" s="113" t="s">
        <v>309</v>
      </c>
      <c r="R111">
        <v>131</v>
      </c>
      <c r="S111" s="2">
        <v>38</v>
      </c>
      <c r="T111" t="s">
        <v>286</v>
      </c>
      <c r="U111" t="s">
        <v>291</v>
      </c>
      <c r="V111" t="s">
        <v>289</v>
      </c>
      <c r="W111" s="32"/>
      <c r="X111" s="32"/>
      <c r="Y111" s="26"/>
      <c r="Z111" s="26"/>
      <c r="AA111" s="27">
        <f>IF(TA[[#This Row],[Work Start time on Fault]]="NA","",(TA[[#This Row],[Fault Acknowledgement Time ]]-TA[[#This Row],[Fault Time]])*24)</f>
        <v>0</v>
      </c>
      <c r="AB111" s="27">
        <f>(TA[[#This Row],[Work Start time on Fault]]-TA[[#This Row],[Fault Time]])*24</f>
        <v>0</v>
      </c>
      <c r="AC111" s="26">
        <f>(TA[[#This Row],[Work Completion time on fault]]-TA[[#This Row],[Fault Time]])*24</f>
        <v>0</v>
      </c>
      <c r="AD111" s="27">
        <f>IFERROR((TA[[#This Row],[Work Completion time on fault]]-TA[[#This Row],[Fault Time]])*24,"")</f>
        <v>0</v>
      </c>
      <c r="AE111" t="s">
        <v>319</v>
      </c>
      <c r="AF111" t="s">
        <v>247</v>
      </c>
      <c r="AG111" s="2"/>
      <c r="AH111" s="35">
        <f>1-COS(RADIANS(TA[[#This Row],[Avg. Target Angle during Fault Time (Radians)]]-TA[[#This Row],[Angle of affected equipment ]]))</f>
        <v>0.11705240714107301</v>
      </c>
      <c r="AI111" s="27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43">
        <f t="shared" si="5"/>
        <v>2026</v>
      </c>
      <c r="C112" s="116">
        <f t="shared" si="6"/>
        <v>2025</v>
      </c>
      <c r="D112" s="2" t="s">
        <v>155</v>
      </c>
      <c r="E112" s="2" t="s">
        <v>155</v>
      </c>
      <c r="F112" s="30">
        <v>45748</v>
      </c>
      <c r="G112" s="2">
        <f>DAY(EOMONTH(TA[[#This Row],[Month Year]],0))</f>
        <v>30</v>
      </c>
      <c r="H112" s="21">
        <v>45752</v>
      </c>
      <c r="I112" s="32">
        <f>IFERROR(VLOOKUP(TA[[#This Row],[Date]],Raw_Data[[Date]:[Sunset Time (POA&lt;20 W/m2)]],3,0),"")</f>
        <v>0.26597222222222222</v>
      </c>
      <c r="J112" s="32">
        <f>IFERROR(VLOOKUP(TA[[#This Row],[Date]],Raw_Data[[Date]:[Sunset Time (POA&lt;20 W/m2)]],4,0),"")</f>
        <v>0.76180555555555551</v>
      </c>
      <c r="K112" s="27">
        <f>IFERROR((TA[[#This Row],[Sunset Time (POA&lt;20 W/m2)]]-TA[[#This Row],[Sunrise Time (POA&gt;20 W/m2)]])*24,"")</f>
        <v>11.899999999999999</v>
      </c>
      <c r="L112" s="2" t="s">
        <v>285</v>
      </c>
      <c r="M112" s="33">
        <f>IFERROR(VLOOKUP(TA[[#This Row],[Affected Equipment]],'Basic Data'!$I$2:$K$40,3,0),"")</f>
        <v>1.7241379310344799E-3</v>
      </c>
      <c r="N112">
        <v>-28</v>
      </c>
      <c r="O112" t="s">
        <v>135</v>
      </c>
      <c r="P112" s="114" t="s">
        <v>309</v>
      </c>
      <c r="Q112" s="113" t="s">
        <v>309</v>
      </c>
      <c r="R112">
        <v>131</v>
      </c>
      <c r="S112" s="2">
        <v>39</v>
      </c>
      <c r="T112" t="s">
        <v>286</v>
      </c>
      <c r="U112" t="s">
        <v>291</v>
      </c>
      <c r="V112" t="s">
        <v>289</v>
      </c>
      <c r="W112" s="32"/>
      <c r="X112" s="32"/>
      <c r="Y112" s="26"/>
      <c r="Z112" s="26"/>
      <c r="AA112" s="27">
        <f>IF(TA[[#This Row],[Work Start time on Fault]]="NA","",(TA[[#This Row],[Fault Acknowledgement Time ]]-TA[[#This Row],[Fault Time]])*24)</f>
        <v>0</v>
      </c>
      <c r="AB112" s="27">
        <f>(TA[[#This Row],[Work Start time on Fault]]-TA[[#This Row],[Fault Time]])*24</f>
        <v>0</v>
      </c>
      <c r="AC112" s="26">
        <f>(TA[[#This Row],[Work Completion time on fault]]-TA[[#This Row],[Fault Time]])*24</f>
        <v>0</v>
      </c>
      <c r="AD112" s="27">
        <f>IFERROR((TA[[#This Row],[Work Completion time on fault]]-TA[[#This Row],[Fault Time]])*24,"")</f>
        <v>0</v>
      </c>
      <c r="AE112" t="s">
        <v>319</v>
      </c>
      <c r="AF112" t="s">
        <v>247</v>
      </c>
      <c r="AG112" s="2"/>
      <c r="AH112" s="35">
        <f>1-COS(RADIANS(TA[[#This Row],[Avg. Target Angle during Fault Time (Radians)]]-TA[[#This Row],[Angle of affected equipment ]]))</f>
        <v>0.11705240714107301</v>
      </c>
      <c r="AI112" s="27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43">
        <f t="shared" si="5"/>
        <v>2026</v>
      </c>
      <c r="C113" s="116">
        <f t="shared" si="6"/>
        <v>2025</v>
      </c>
      <c r="D113" s="2" t="s">
        <v>155</v>
      </c>
      <c r="E113" s="2" t="s">
        <v>155</v>
      </c>
      <c r="F113" s="30">
        <v>45748</v>
      </c>
      <c r="G113" s="2">
        <f>DAY(EOMONTH(TA[[#This Row],[Month Year]],0))</f>
        <v>30</v>
      </c>
      <c r="H113" s="21">
        <v>45752</v>
      </c>
      <c r="I113" s="32">
        <f>IFERROR(VLOOKUP(TA[[#This Row],[Date]],Raw_Data[[Date]:[Sunset Time (POA&lt;20 W/m2)]],3,0),"")</f>
        <v>0.26597222222222222</v>
      </c>
      <c r="J113" s="32">
        <f>IFERROR(VLOOKUP(TA[[#This Row],[Date]],Raw_Data[[Date]:[Sunset Time (POA&lt;20 W/m2)]],4,0),"")</f>
        <v>0.76180555555555551</v>
      </c>
      <c r="K113" s="27">
        <f>IFERROR((TA[[#This Row],[Sunset Time (POA&lt;20 W/m2)]]-TA[[#This Row],[Sunrise Time (POA&gt;20 W/m2)]])*24,"")</f>
        <v>11.899999999999999</v>
      </c>
      <c r="L113" s="2" t="s">
        <v>287</v>
      </c>
      <c r="M113" s="33">
        <f>IFERROR(VLOOKUP(TA[[#This Row],[Affected Equipment]],'Basic Data'!$I$2:$K$40,3,0),"")</f>
        <v>8.6206896551724102E-3</v>
      </c>
      <c r="N113">
        <v>-28</v>
      </c>
      <c r="O113" t="s">
        <v>135</v>
      </c>
      <c r="P113" s="114" t="s">
        <v>309</v>
      </c>
      <c r="Q113" s="2" t="s">
        <v>312</v>
      </c>
      <c r="R113">
        <v>133</v>
      </c>
      <c r="S113" s="2">
        <v>26</v>
      </c>
      <c r="T113" t="s">
        <v>288</v>
      </c>
      <c r="U113" t="s">
        <v>291</v>
      </c>
      <c r="V113" t="s">
        <v>305</v>
      </c>
      <c r="W113" s="32"/>
      <c r="X113" s="32"/>
      <c r="Y113" s="26"/>
      <c r="Z113" s="26"/>
      <c r="AA113" s="27">
        <f>IF(TA[[#This Row],[Work Start time on Fault]]="NA","",(TA[[#This Row],[Fault Acknowledgement Time ]]-TA[[#This Row],[Fault Time]])*24)</f>
        <v>0</v>
      </c>
      <c r="AB113" s="27">
        <f>(TA[[#This Row],[Work Start time on Fault]]-TA[[#This Row],[Fault Time]])*24</f>
        <v>0</v>
      </c>
      <c r="AC113" s="26">
        <f>(TA[[#This Row],[Work Completion time on fault]]-TA[[#This Row],[Fault Time]])*24</f>
        <v>0</v>
      </c>
      <c r="AD113" s="27">
        <f>IFERROR((TA[[#This Row],[Work Completion time on fault]]-TA[[#This Row],[Fault Time]])*24,"")</f>
        <v>0</v>
      </c>
      <c r="AE113" t="s">
        <v>319</v>
      </c>
      <c r="AF113" t="s">
        <v>247</v>
      </c>
      <c r="AG113" s="2"/>
      <c r="AH113" s="35">
        <f>1-COS(RADIANS(TA[[#This Row],[Avg. Target Angle during Fault Time (Radians)]]-TA[[#This Row],[Angle of affected equipment ]]))</f>
        <v>0.11705240714107301</v>
      </c>
      <c r="AI113" s="27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43">
        <f t="shared" si="5"/>
        <v>2026</v>
      </c>
      <c r="C114" s="116">
        <f t="shared" si="6"/>
        <v>2025</v>
      </c>
      <c r="D114" s="2" t="s">
        <v>155</v>
      </c>
      <c r="E114" s="2" t="s">
        <v>155</v>
      </c>
      <c r="F114" s="30">
        <v>45748</v>
      </c>
      <c r="G114" s="2">
        <f>DAY(EOMONTH(TA[[#This Row],[Month Year]],0))</f>
        <v>30</v>
      </c>
      <c r="H114" s="21">
        <v>45752</v>
      </c>
      <c r="I114" s="32">
        <f>IFERROR(VLOOKUP(TA[[#This Row],[Date]],Raw_Data[[Date]:[Sunset Time (POA&lt;20 W/m2)]],3,0),"")</f>
        <v>0.26597222222222222</v>
      </c>
      <c r="J114" s="32">
        <f>IFERROR(VLOOKUP(TA[[#This Row],[Date]],Raw_Data[[Date]:[Sunset Time (POA&lt;20 W/m2)]],4,0),"")</f>
        <v>0.76180555555555551</v>
      </c>
      <c r="K114" s="27">
        <f>IFERROR((TA[[#This Row],[Sunset Time (POA&lt;20 W/m2)]]-TA[[#This Row],[Sunrise Time (POA&gt;20 W/m2)]])*24,"")</f>
        <v>11.899999999999999</v>
      </c>
      <c r="L114" s="2" t="s">
        <v>285</v>
      </c>
      <c r="M114" s="33">
        <f>IFERROR(VLOOKUP(TA[[#This Row],[Affected Equipment]],'Basic Data'!$I$2:$K$40,3,0),"")</f>
        <v>1.7241379310344799E-3</v>
      </c>
      <c r="N114">
        <v>-28</v>
      </c>
      <c r="O114" t="s">
        <v>133</v>
      </c>
      <c r="P114" s="114" t="s">
        <v>307</v>
      </c>
      <c r="Q114" s="113" t="s">
        <v>308</v>
      </c>
      <c r="R114">
        <v>7</v>
      </c>
      <c r="S114" s="2">
        <v>32</v>
      </c>
      <c r="T114" t="s">
        <v>286</v>
      </c>
      <c r="U114" t="s">
        <v>291</v>
      </c>
      <c r="V114" t="s">
        <v>289</v>
      </c>
      <c r="W114" s="32"/>
      <c r="X114" s="32"/>
      <c r="Y114" s="26"/>
      <c r="Z114" s="26"/>
      <c r="AA114" s="27">
        <f>IF(TA[[#This Row],[Work Start time on Fault]]="NA","",(TA[[#This Row],[Fault Acknowledgement Time ]]-TA[[#This Row],[Fault Time]])*24)</f>
        <v>0</v>
      </c>
      <c r="AB114" s="27">
        <f>(TA[[#This Row],[Work Start time on Fault]]-TA[[#This Row],[Fault Time]])*24</f>
        <v>0</v>
      </c>
      <c r="AC114" s="26">
        <f>(TA[[#This Row],[Work Completion time on fault]]-TA[[#This Row],[Fault Time]])*24</f>
        <v>0</v>
      </c>
      <c r="AD114" s="27">
        <f>IFERROR((TA[[#This Row],[Work Completion time on fault]]-TA[[#This Row],[Fault Time]])*24,"")</f>
        <v>0</v>
      </c>
      <c r="AE114" t="s">
        <v>319</v>
      </c>
      <c r="AF114" t="s">
        <v>247</v>
      </c>
      <c r="AG114" s="2"/>
      <c r="AH114" s="35">
        <f>1-COS(RADIANS(TA[[#This Row],[Avg. Target Angle during Fault Time (Radians)]]-TA[[#This Row],[Angle of affected equipment ]]))</f>
        <v>0.11705240714107301</v>
      </c>
      <c r="AI114" s="27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43">
        <f t="shared" si="5"/>
        <v>2026</v>
      </c>
      <c r="C115" s="116">
        <f t="shared" si="6"/>
        <v>2025</v>
      </c>
      <c r="D115" s="2" t="s">
        <v>155</v>
      </c>
      <c r="E115" s="2" t="s">
        <v>155</v>
      </c>
      <c r="F115" s="30">
        <v>45748</v>
      </c>
      <c r="G115" s="2">
        <f>DAY(EOMONTH(TA[[#This Row],[Month Year]],0))</f>
        <v>30</v>
      </c>
      <c r="H115" s="21">
        <v>45752</v>
      </c>
      <c r="I115" s="32">
        <f>IFERROR(VLOOKUP(TA[[#This Row],[Date]],Raw_Data[[Date]:[Sunset Time (POA&lt;20 W/m2)]],3,0),"")</f>
        <v>0.26597222222222222</v>
      </c>
      <c r="J115" s="32">
        <f>IFERROR(VLOOKUP(TA[[#This Row],[Date]],Raw_Data[[Date]:[Sunset Time (POA&lt;20 W/m2)]],4,0),"")</f>
        <v>0.76180555555555551</v>
      </c>
      <c r="K115" s="27">
        <f>IFERROR((TA[[#This Row],[Sunset Time (POA&lt;20 W/m2)]]-TA[[#This Row],[Sunrise Time (POA&gt;20 W/m2)]])*24,"")</f>
        <v>11.899999999999999</v>
      </c>
      <c r="L115" s="2" t="s">
        <v>285</v>
      </c>
      <c r="M115" s="33">
        <f>IFERROR(VLOOKUP(TA[[#This Row],[Affected Equipment]],'Basic Data'!$I$2:$K$40,3,0),"")</f>
        <v>1.7241379310344799E-3</v>
      </c>
      <c r="N115">
        <v>-28</v>
      </c>
      <c r="O115" t="s">
        <v>137</v>
      </c>
      <c r="P115" s="114" t="s">
        <v>306</v>
      </c>
      <c r="Q115" s="113" t="s">
        <v>310</v>
      </c>
      <c r="R115">
        <v>166</v>
      </c>
      <c r="S115" s="2">
        <v>91</v>
      </c>
      <c r="T115" t="s">
        <v>286</v>
      </c>
      <c r="U115" t="s">
        <v>291</v>
      </c>
      <c r="V115" t="s">
        <v>289</v>
      </c>
      <c r="W115" s="32"/>
      <c r="X115" s="32"/>
      <c r="Y115" s="26"/>
      <c r="Z115" s="26"/>
      <c r="AA115" s="27">
        <f>IF(TA[[#This Row],[Work Start time on Fault]]="NA","",(TA[[#This Row],[Fault Acknowledgement Time ]]-TA[[#This Row],[Fault Time]])*24)</f>
        <v>0</v>
      </c>
      <c r="AB115" s="27">
        <f>(TA[[#This Row],[Work Start time on Fault]]-TA[[#This Row],[Fault Time]])*24</f>
        <v>0</v>
      </c>
      <c r="AC115" s="26">
        <f>(TA[[#This Row],[Work Completion time on fault]]-TA[[#This Row],[Fault Time]])*24</f>
        <v>0</v>
      </c>
      <c r="AD115" s="27">
        <f>IFERROR((TA[[#This Row],[Work Completion time on fault]]-TA[[#This Row],[Fault Time]])*24,"")</f>
        <v>0</v>
      </c>
      <c r="AE115" t="s">
        <v>319</v>
      </c>
      <c r="AF115" t="s">
        <v>247</v>
      </c>
      <c r="AG115" s="2"/>
      <c r="AH115" s="35">
        <f>1-COS(RADIANS(TA[[#This Row],[Avg. Target Angle during Fault Time (Radians)]]-TA[[#This Row],[Angle of affected equipment ]]))</f>
        <v>0.11705240714107301</v>
      </c>
      <c r="AI115" s="27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43">
        <f t="shared" si="5"/>
        <v>2026</v>
      </c>
      <c r="C116" s="116">
        <f t="shared" si="6"/>
        <v>2025</v>
      </c>
      <c r="D116" s="2" t="s">
        <v>155</v>
      </c>
      <c r="E116" s="2" t="s">
        <v>155</v>
      </c>
      <c r="F116" s="30">
        <v>45748</v>
      </c>
      <c r="G116" s="2">
        <f>DAY(EOMONTH(TA[[#This Row],[Month Year]],0))</f>
        <v>30</v>
      </c>
      <c r="H116" s="21">
        <v>45752</v>
      </c>
      <c r="I116" s="32">
        <f>IFERROR(VLOOKUP(TA[[#This Row],[Date]],Raw_Data[[Date]:[Sunset Time (POA&lt;20 W/m2)]],3,0),"")</f>
        <v>0.26597222222222222</v>
      </c>
      <c r="J116" s="32">
        <f>IFERROR(VLOOKUP(TA[[#This Row],[Date]],Raw_Data[[Date]:[Sunset Time (POA&lt;20 W/m2)]],4,0),"")</f>
        <v>0.76180555555555551</v>
      </c>
      <c r="K116" s="27">
        <f>IFERROR((TA[[#This Row],[Sunset Time (POA&lt;20 W/m2)]]-TA[[#This Row],[Sunrise Time (POA&gt;20 W/m2)]])*24,"")</f>
        <v>11.899999999999999</v>
      </c>
      <c r="L116" s="2" t="s">
        <v>285</v>
      </c>
      <c r="M116" s="33">
        <f>IFERROR(VLOOKUP(TA[[#This Row],[Affected Equipment]],'Basic Data'!$I$2:$K$40,3,0),"")</f>
        <v>1.7241379310344799E-3</v>
      </c>
      <c r="N116">
        <v>-28</v>
      </c>
      <c r="O116" t="s">
        <v>133</v>
      </c>
      <c r="P116" s="114" t="s">
        <v>307</v>
      </c>
      <c r="Q116" s="113" t="s">
        <v>307</v>
      </c>
      <c r="R116">
        <v>117</v>
      </c>
      <c r="S116" s="2">
        <v>20</v>
      </c>
      <c r="T116" t="s">
        <v>286</v>
      </c>
      <c r="U116" t="s">
        <v>291</v>
      </c>
      <c r="V116" t="s">
        <v>289</v>
      </c>
      <c r="W116" s="32"/>
      <c r="X116" s="32"/>
      <c r="Y116" s="26"/>
      <c r="Z116" s="26"/>
      <c r="AA116" s="27">
        <f>IF(TA[[#This Row],[Work Start time on Fault]]="NA","",(TA[[#This Row],[Fault Acknowledgement Time ]]-TA[[#This Row],[Fault Time]])*24)</f>
        <v>0</v>
      </c>
      <c r="AB116" s="27">
        <f>(TA[[#This Row],[Work Start time on Fault]]-TA[[#This Row],[Fault Time]])*24</f>
        <v>0</v>
      </c>
      <c r="AC116" s="26">
        <f>(TA[[#This Row],[Work Completion time on fault]]-TA[[#This Row],[Fault Time]])*24</f>
        <v>0</v>
      </c>
      <c r="AD116" s="27">
        <f>IFERROR((TA[[#This Row],[Work Completion time on fault]]-TA[[#This Row],[Fault Time]])*24,"")</f>
        <v>0</v>
      </c>
      <c r="AE116" t="s">
        <v>319</v>
      </c>
      <c r="AF116" t="s">
        <v>247</v>
      </c>
      <c r="AG116" s="2"/>
      <c r="AH116" s="35">
        <f>1-COS(RADIANS(TA[[#This Row],[Avg. Target Angle during Fault Time (Radians)]]-TA[[#This Row],[Angle of affected equipment ]]))</f>
        <v>0.11705240714107301</v>
      </c>
      <c r="AI116" s="27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43">
        <f t="shared" si="5"/>
        <v>2026</v>
      </c>
      <c r="C117" s="116">
        <f t="shared" si="6"/>
        <v>2025</v>
      </c>
      <c r="D117" s="2" t="s">
        <v>155</v>
      </c>
      <c r="E117" s="2" t="s">
        <v>155</v>
      </c>
      <c r="F117" s="30">
        <v>45748</v>
      </c>
      <c r="G117" s="2">
        <f>DAY(EOMONTH(TA[[#This Row],[Month Year]],0))</f>
        <v>30</v>
      </c>
      <c r="H117" s="21">
        <v>45752</v>
      </c>
      <c r="I117" s="32">
        <f>IFERROR(VLOOKUP(TA[[#This Row],[Date]],Raw_Data[[Date]:[Sunset Time (POA&lt;20 W/m2)]],3,0),"")</f>
        <v>0.26597222222222222</v>
      </c>
      <c r="J117" s="32">
        <f>IFERROR(VLOOKUP(TA[[#This Row],[Date]],Raw_Data[[Date]:[Sunset Time (POA&lt;20 W/m2)]],4,0),"")</f>
        <v>0.76180555555555551</v>
      </c>
      <c r="K117" s="27">
        <f>IFERROR((TA[[#This Row],[Sunset Time (POA&lt;20 W/m2)]]-TA[[#This Row],[Sunrise Time (POA&gt;20 W/m2)]])*24,"")</f>
        <v>11.899999999999999</v>
      </c>
      <c r="L117" s="2" t="s">
        <v>285</v>
      </c>
      <c r="M117" s="33">
        <f>IFERROR(VLOOKUP(TA[[#This Row],[Affected Equipment]],'Basic Data'!$I$2:$K$40,3,0),"")</f>
        <v>1.7241379310344799E-3</v>
      </c>
      <c r="N117">
        <v>-28</v>
      </c>
      <c r="O117" t="s">
        <v>133</v>
      </c>
      <c r="P117" s="114" t="s">
        <v>307</v>
      </c>
      <c r="Q117" s="113" t="s">
        <v>307</v>
      </c>
      <c r="R117">
        <v>118</v>
      </c>
      <c r="S117" s="2">
        <v>22</v>
      </c>
      <c r="T117" t="s">
        <v>286</v>
      </c>
      <c r="U117" t="s">
        <v>291</v>
      </c>
      <c r="V117" t="s">
        <v>289</v>
      </c>
      <c r="W117" s="32"/>
      <c r="X117" s="32"/>
      <c r="Y117" s="26"/>
      <c r="Z117" s="26"/>
      <c r="AA117" s="27">
        <f>IF(TA[[#This Row],[Work Start time on Fault]]="NA","",(TA[[#This Row],[Fault Acknowledgement Time ]]-TA[[#This Row],[Fault Time]])*24)</f>
        <v>0</v>
      </c>
      <c r="AB117" s="27">
        <f>(TA[[#This Row],[Work Start time on Fault]]-TA[[#This Row],[Fault Time]])*24</f>
        <v>0</v>
      </c>
      <c r="AC117" s="26">
        <f>(TA[[#This Row],[Work Completion time on fault]]-TA[[#This Row],[Fault Time]])*24</f>
        <v>0</v>
      </c>
      <c r="AD117" s="27">
        <f>IFERROR((TA[[#This Row],[Work Completion time on fault]]-TA[[#This Row],[Fault Time]])*24,"")</f>
        <v>0</v>
      </c>
      <c r="AE117" t="s">
        <v>319</v>
      </c>
      <c r="AF117" t="s">
        <v>247</v>
      </c>
      <c r="AG117" s="2"/>
      <c r="AH117" s="35">
        <f>1-COS(RADIANS(TA[[#This Row],[Avg. Target Angle during Fault Time (Radians)]]-TA[[#This Row],[Angle of affected equipment ]]))</f>
        <v>0.11705240714107301</v>
      </c>
      <c r="AI117" s="27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43">
        <f t="shared" si="5"/>
        <v>2026</v>
      </c>
      <c r="C118" s="116">
        <f t="shared" si="6"/>
        <v>2025</v>
      </c>
      <c r="D118" s="2" t="s">
        <v>155</v>
      </c>
      <c r="E118" s="2" t="s">
        <v>155</v>
      </c>
      <c r="F118" s="30">
        <v>45748</v>
      </c>
      <c r="G118" s="2">
        <f>DAY(EOMONTH(TA[[#This Row],[Month Year]],0))</f>
        <v>30</v>
      </c>
      <c r="H118" s="21">
        <v>45752</v>
      </c>
      <c r="I118" s="32">
        <f>IFERROR(VLOOKUP(TA[[#This Row],[Date]],Raw_Data[[Date]:[Sunset Time (POA&lt;20 W/m2)]],3,0),"")</f>
        <v>0.26597222222222222</v>
      </c>
      <c r="J118" s="32">
        <f>IFERROR(VLOOKUP(TA[[#This Row],[Date]],Raw_Data[[Date]:[Sunset Time (POA&lt;20 W/m2)]],4,0),"")</f>
        <v>0.76180555555555551</v>
      </c>
      <c r="K118" s="27">
        <f>IFERROR((TA[[#This Row],[Sunset Time (POA&lt;20 W/m2)]]-TA[[#This Row],[Sunrise Time (POA&gt;20 W/m2)]])*24,"")</f>
        <v>11.899999999999999</v>
      </c>
      <c r="L118" s="2" t="s">
        <v>287</v>
      </c>
      <c r="M118" s="33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314</v>
      </c>
      <c r="Q118" s="2" t="s">
        <v>320</v>
      </c>
      <c r="R118">
        <v>45</v>
      </c>
      <c r="S118" s="2">
        <v>8</v>
      </c>
      <c r="T118" t="s">
        <v>288</v>
      </c>
      <c r="U118" t="s">
        <v>317</v>
      </c>
      <c r="V118" t="s">
        <v>292</v>
      </c>
      <c r="W118" s="32">
        <f>IFERROR(VLOOKUP(TA[[#This Row],[Date]],Raw_Data[[Date]:[Sunset Time (POA&lt;20 W/m2)]],3,0),"")</f>
        <v>0.26597222222222222</v>
      </c>
      <c r="X118" s="32">
        <f>IFERROR(VLOOKUP(TA[[#This Row],[Date]],Raw_Data[[Date]:[Sunset Time (POA&lt;20 W/m2)]],3,0),"")</f>
        <v>0.26597222222222222</v>
      </c>
      <c r="Y118" s="26"/>
      <c r="Z118" s="26">
        <v>0.76041666666666663</v>
      </c>
      <c r="AA118" s="27">
        <f>IF(TA[[#This Row],[Work Start time on Fault]]="NA","",(TA[[#This Row],[Fault Acknowledgement Time ]]-TA[[#This Row],[Fault Time]])*24)</f>
        <v>0</v>
      </c>
      <c r="AB118" s="27">
        <f>(TA[[#This Row],[Work Start time on Fault]]-TA[[#This Row],[Fault Time]])*24</f>
        <v>-6.3833333333333329</v>
      </c>
      <c r="AC118" s="26">
        <f>(TA[[#This Row],[Work Completion time on fault]]-TA[[#This Row],[Fault Time]])*24</f>
        <v>11.866666666666665</v>
      </c>
      <c r="AD118" s="27">
        <f>IFERROR((TA[[#This Row],[Work Completion time on fault]]-TA[[#This Row],[Fault Time]])*24,"")</f>
        <v>11.866666666666665</v>
      </c>
      <c r="AE118" t="s">
        <v>300</v>
      </c>
      <c r="AF118" t="s">
        <v>247</v>
      </c>
      <c r="AG118" s="2"/>
      <c r="AH118" s="35">
        <f>1-COS(RADIANS(TA[[#This Row],[Avg. Target Angle during Fault Time (Radians)]]-TA[[#This Row],[Angle of affected equipment ]]))</f>
        <v>0.11705240714107301</v>
      </c>
      <c r="AI118" s="27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43">
        <f t="shared" si="5"/>
        <v>2026</v>
      </c>
      <c r="C119" s="116">
        <f t="shared" si="6"/>
        <v>2025</v>
      </c>
      <c r="D119" s="2" t="s">
        <v>155</v>
      </c>
      <c r="E119" s="2" t="s">
        <v>155</v>
      </c>
      <c r="F119" s="30">
        <v>45748</v>
      </c>
      <c r="G119" s="2">
        <f>DAY(EOMONTH(TA[[#This Row],[Month Year]],0))</f>
        <v>30</v>
      </c>
      <c r="H119" s="21">
        <v>45752</v>
      </c>
      <c r="I119" s="32">
        <f>IFERROR(VLOOKUP(TA[[#This Row],[Date]],Raw_Data[[Date]:[Sunset Time (POA&lt;20 W/m2)]],3,0),"")</f>
        <v>0.26597222222222222</v>
      </c>
      <c r="J119" s="32">
        <f>IFERROR(VLOOKUP(TA[[#This Row],[Date]],Raw_Data[[Date]:[Sunset Time (POA&lt;20 W/m2)]],4,0),"")</f>
        <v>0.76180555555555551</v>
      </c>
      <c r="K119" s="27">
        <f>IFERROR((TA[[#This Row],[Sunset Time (POA&lt;20 W/m2)]]-TA[[#This Row],[Sunrise Time (POA&gt;20 W/m2)]])*24,"")</f>
        <v>11.899999999999999</v>
      </c>
      <c r="L119" s="2" t="s">
        <v>287</v>
      </c>
      <c r="M119" s="33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314</v>
      </c>
      <c r="Q119" s="2" t="s">
        <v>320</v>
      </c>
      <c r="R119">
        <v>47</v>
      </c>
      <c r="S119" s="2">
        <v>18</v>
      </c>
      <c r="T119" t="s">
        <v>288</v>
      </c>
      <c r="U119" t="s">
        <v>317</v>
      </c>
      <c r="V119" t="s">
        <v>292</v>
      </c>
      <c r="W119" s="32">
        <f>IFERROR(VLOOKUP(TA[[#This Row],[Date]],Raw_Data[[Date]:[Sunset Time (POA&lt;20 W/m2)]],3,0),"")</f>
        <v>0.26597222222222222</v>
      </c>
      <c r="X119" s="32">
        <f>IFERROR(VLOOKUP(TA[[#This Row],[Date]],Raw_Data[[Date]:[Sunset Time (POA&lt;20 W/m2)]],3,0),"")</f>
        <v>0.26597222222222222</v>
      </c>
      <c r="Y119" s="26"/>
      <c r="Z119" s="26">
        <v>0.76041666666666663</v>
      </c>
      <c r="AA119" s="27">
        <f>IF(TA[[#This Row],[Work Start time on Fault]]="NA","",(TA[[#This Row],[Fault Acknowledgement Time ]]-TA[[#This Row],[Fault Time]])*24)</f>
        <v>0</v>
      </c>
      <c r="AB119" s="27">
        <f>(TA[[#This Row],[Work Start time on Fault]]-TA[[#This Row],[Fault Time]])*24</f>
        <v>-6.3833333333333329</v>
      </c>
      <c r="AC119" s="26">
        <f>(TA[[#This Row],[Work Completion time on fault]]-TA[[#This Row],[Fault Time]])*24</f>
        <v>11.866666666666665</v>
      </c>
      <c r="AD119" s="27">
        <f>IFERROR((TA[[#This Row],[Work Completion time on fault]]-TA[[#This Row],[Fault Time]])*24,"")</f>
        <v>11.866666666666665</v>
      </c>
      <c r="AE119" t="s">
        <v>300</v>
      </c>
      <c r="AF119" t="s">
        <v>247</v>
      </c>
      <c r="AG119" s="2"/>
      <c r="AH119" s="35">
        <f>1-COS(RADIANS(TA[[#This Row],[Avg. Target Angle during Fault Time (Radians)]]-TA[[#This Row],[Angle of affected equipment ]]))</f>
        <v>0.11705240714107301</v>
      </c>
      <c r="AI119" s="27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43">
        <f t="shared" si="5"/>
        <v>2026</v>
      </c>
      <c r="C120" s="116">
        <f t="shared" si="6"/>
        <v>2025</v>
      </c>
      <c r="D120" s="2" t="s">
        <v>155</v>
      </c>
      <c r="E120" s="2" t="s">
        <v>155</v>
      </c>
      <c r="F120" s="30">
        <v>45748</v>
      </c>
      <c r="G120" s="2">
        <f>DAY(EOMONTH(TA[[#This Row],[Month Year]],0))</f>
        <v>30</v>
      </c>
      <c r="H120" s="21">
        <v>45752</v>
      </c>
      <c r="I120" s="32">
        <f>IFERROR(VLOOKUP(TA[[#This Row],[Date]],Raw_Data[[Date]:[Sunset Time (POA&lt;20 W/m2)]],3,0),"")</f>
        <v>0.26597222222222222</v>
      </c>
      <c r="J120" s="32">
        <f>IFERROR(VLOOKUP(TA[[#This Row],[Date]],Raw_Data[[Date]:[Sunset Time (POA&lt;20 W/m2)]],4,0),"")</f>
        <v>0.76180555555555551</v>
      </c>
      <c r="K120" s="27">
        <f>IFERROR((TA[[#This Row],[Sunset Time (POA&lt;20 W/m2)]]-TA[[#This Row],[Sunrise Time (POA&gt;20 W/m2)]])*24,"")</f>
        <v>11.899999999999999</v>
      </c>
      <c r="L120" s="2" t="s">
        <v>287</v>
      </c>
      <c r="M120" s="33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321</v>
      </c>
      <c r="Q120" s="2" t="s">
        <v>314</v>
      </c>
      <c r="R120">
        <v>30</v>
      </c>
      <c r="S120" s="2">
        <v>57</v>
      </c>
      <c r="T120" t="s">
        <v>288</v>
      </c>
      <c r="U120" t="s">
        <v>317</v>
      </c>
      <c r="V120" t="s">
        <v>292</v>
      </c>
      <c r="W120" s="32">
        <f>IFERROR(VLOOKUP(TA[[#This Row],[Date]],Raw_Data[[Date]:[Sunset Time (POA&lt;20 W/m2)]],3,0),"")</f>
        <v>0.26597222222222222</v>
      </c>
      <c r="X120" s="32">
        <f>IFERROR(VLOOKUP(TA[[#This Row],[Date]],Raw_Data[[Date]:[Sunset Time (POA&lt;20 W/m2)]],3,0),"")</f>
        <v>0.26597222222222222</v>
      </c>
      <c r="Y120" s="26"/>
      <c r="Z120" s="26">
        <v>0.76041666666666663</v>
      </c>
      <c r="AA120" s="27">
        <f>IF(TA[[#This Row],[Work Start time on Fault]]="NA","",(TA[[#This Row],[Fault Acknowledgement Time ]]-TA[[#This Row],[Fault Time]])*24)</f>
        <v>0</v>
      </c>
      <c r="AB120" s="27">
        <f>(TA[[#This Row],[Work Start time on Fault]]-TA[[#This Row],[Fault Time]])*24</f>
        <v>-6.3833333333333329</v>
      </c>
      <c r="AC120" s="26">
        <f>(TA[[#This Row],[Work Completion time on fault]]-TA[[#This Row],[Fault Time]])*24</f>
        <v>11.866666666666665</v>
      </c>
      <c r="AD120" s="27">
        <f>IFERROR((TA[[#This Row],[Work Completion time on fault]]-TA[[#This Row],[Fault Time]])*24,"")</f>
        <v>11.866666666666665</v>
      </c>
      <c r="AE120" t="s">
        <v>300</v>
      </c>
      <c r="AF120" t="s">
        <v>247</v>
      </c>
      <c r="AG120" s="2"/>
      <c r="AH120" s="35">
        <f>1-COS(RADIANS(TA[[#This Row],[Avg. Target Angle during Fault Time (Radians)]]-TA[[#This Row],[Angle of affected equipment ]]))</f>
        <v>0.11705240714107301</v>
      </c>
      <c r="AI120" s="27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43">
        <f t="shared" si="5"/>
        <v>2026</v>
      </c>
      <c r="C121" s="116">
        <f t="shared" si="6"/>
        <v>2025</v>
      </c>
      <c r="D121" s="2" t="s">
        <v>155</v>
      </c>
      <c r="E121" s="2" t="s">
        <v>155</v>
      </c>
      <c r="F121" s="30">
        <v>45748</v>
      </c>
      <c r="G121" s="2">
        <f>DAY(EOMONTH(TA[[#This Row],[Month Year]],0))</f>
        <v>30</v>
      </c>
      <c r="H121" s="21">
        <v>45752</v>
      </c>
      <c r="I121" s="32">
        <f>IFERROR(VLOOKUP(TA[[#This Row],[Date]],Raw_Data[[Date]:[Sunset Time (POA&lt;20 W/m2)]],3,0),"")</f>
        <v>0.26597222222222222</v>
      </c>
      <c r="J121" s="32">
        <f>IFERROR(VLOOKUP(TA[[#This Row],[Date]],Raw_Data[[Date]:[Sunset Time (POA&lt;20 W/m2)]],4,0),"")</f>
        <v>0.76180555555555551</v>
      </c>
      <c r="K121" s="27">
        <f>IFERROR((TA[[#This Row],[Sunset Time (POA&lt;20 W/m2)]]-TA[[#This Row],[Sunrise Time (POA&gt;20 W/m2)]])*24,"")</f>
        <v>11.899999999999999</v>
      </c>
      <c r="L121" s="2" t="s">
        <v>287</v>
      </c>
      <c r="M121" s="33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321</v>
      </c>
      <c r="Q121" s="2" t="s">
        <v>314</v>
      </c>
      <c r="R121">
        <v>31</v>
      </c>
      <c r="S121" s="2">
        <v>61</v>
      </c>
      <c r="T121" t="s">
        <v>288</v>
      </c>
      <c r="U121" t="s">
        <v>317</v>
      </c>
      <c r="V121" t="s">
        <v>292</v>
      </c>
      <c r="W121" s="32">
        <f>IFERROR(VLOOKUP(TA[[#This Row],[Date]],Raw_Data[[Date]:[Sunset Time (POA&lt;20 W/m2)]],3,0),"")</f>
        <v>0.26597222222222222</v>
      </c>
      <c r="X121" s="32">
        <f>IFERROR(VLOOKUP(TA[[#This Row],[Date]],Raw_Data[[Date]:[Sunset Time (POA&lt;20 W/m2)]],3,0),"")</f>
        <v>0.26597222222222222</v>
      </c>
      <c r="Y121" s="26"/>
      <c r="Z121" s="26">
        <v>0.76041666666666663</v>
      </c>
      <c r="AA121" s="27">
        <f>IF(TA[[#This Row],[Work Start time on Fault]]="NA","",(TA[[#This Row],[Fault Acknowledgement Time ]]-TA[[#This Row],[Fault Time]])*24)</f>
        <v>0</v>
      </c>
      <c r="AB121" s="27">
        <f>(TA[[#This Row],[Work Start time on Fault]]-TA[[#This Row],[Fault Time]])*24</f>
        <v>-6.3833333333333329</v>
      </c>
      <c r="AC121" s="26">
        <f>(TA[[#This Row],[Work Completion time on fault]]-TA[[#This Row],[Fault Time]])*24</f>
        <v>11.866666666666665</v>
      </c>
      <c r="AD121" s="27">
        <f>IFERROR((TA[[#This Row],[Work Completion time on fault]]-TA[[#This Row],[Fault Time]])*24,"")</f>
        <v>11.866666666666665</v>
      </c>
      <c r="AE121" t="s">
        <v>300</v>
      </c>
      <c r="AF121" t="s">
        <v>247</v>
      </c>
      <c r="AG121" s="2"/>
      <c r="AH121" s="35">
        <f>1-COS(RADIANS(TA[[#This Row],[Avg. Target Angle during Fault Time (Radians)]]-TA[[#This Row],[Angle of affected equipment ]]))</f>
        <v>0.11705240714107301</v>
      </c>
      <c r="AI121" s="27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43">
        <f t="shared" si="5"/>
        <v>2026</v>
      </c>
      <c r="C122" s="116">
        <f t="shared" si="6"/>
        <v>2025</v>
      </c>
      <c r="D122" s="2" t="s">
        <v>155</v>
      </c>
      <c r="E122" s="2" t="s">
        <v>155</v>
      </c>
      <c r="F122" s="30">
        <v>45748</v>
      </c>
      <c r="G122" s="2">
        <f>DAY(EOMONTH(TA[[#This Row],[Month Year]],0))</f>
        <v>30</v>
      </c>
      <c r="H122" s="21">
        <v>45752</v>
      </c>
      <c r="I122" s="32">
        <f>IFERROR(VLOOKUP(TA[[#This Row],[Date]],Raw_Data[[Date]:[Sunset Time (POA&lt;20 W/m2)]],3,0),"")</f>
        <v>0.26597222222222222</v>
      </c>
      <c r="J122" s="32">
        <f>IFERROR(VLOOKUP(TA[[#This Row],[Date]],Raw_Data[[Date]:[Sunset Time (POA&lt;20 W/m2)]],4,0),"")</f>
        <v>0.76180555555555551</v>
      </c>
      <c r="K122" s="27">
        <f>IFERROR((TA[[#This Row],[Sunset Time (POA&lt;20 W/m2)]]-TA[[#This Row],[Sunrise Time (POA&gt;20 W/m2)]])*24,"")</f>
        <v>11.899999999999999</v>
      </c>
      <c r="L122" s="2" t="s">
        <v>303</v>
      </c>
      <c r="M122" s="33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321</v>
      </c>
      <c r="Q122" s="2" t="s">
        <v>314</v>
      </c>
      <c r="R122">
        <v>26</v>
      </c>
      <c r="S122" s="2">
        <v>37</v>
      </c>
      <c r="T122" t="s">
        <v>288</v>
      </c>
      <c r="U122" t="s">
        <v>317</v>
      </c>
      <c r="V122" t="s">
        <v>292</v>
      </c>
      <c r="W122" s="32">
        <f>IFERROR(VLOOKUP(TA[[#This Row],[Date]],Raw_Data[[Date]:[Sunset Time (POA&lt;20 W/m2)]],3,0),"")</f>
        <v>0.26597222222222222</v>
      </c>
      <c r="X122" s="32">
        <f>IFERROR(VLOOKUP(TA[[#This Row],[Date]],Raw_Data[[Date]:[Sunset Time (POA&lt;20 W/m2)]],3,0),"")</f>
        <v>0.26597222222222222</v>
      </c>
      <c r="Y122" s="26"/>
      <c r="Z122" s="26">
        <v>0.76041666666666663</v>
      </c>
      <c r="AA122" s="27">
        <f>IF(TA[[#This Row],[Work Start time on Fault]]="NA","",(TA[[#This Row],[Fault Acknowledgement Time ]]-TA[[#This Row],[Fault Time]])*24)</f>
        <v>0</v>
      </c>
      <c r="AB122" s="27">
        <f>(TA[[#This Row],[Work Start time on Fault]]-TA[[#This Row],[Fault Time]])*24</f>
        <v>-6.3833333333333329</v>
      </c>
      <c r="AC122" s="26">
        <f>(TA[[#This Row],[Work Completion time on fault]]-TA[[#This Row],[Fault Time]])*24</f>
        <v>11.866666666666665</v>
      </c>
      <c r="AD122" s="27">
        <f>IFERROR((TA[[#This Row],[Work Completion time on fault]]-TA[[#This Row],[Fault Time]])*24,"")</f>
        <v>11.866666666666665</v>
      </c>
      <c r="AE122" t="s">
        <v>300</v>
      </c>
      <c r="AF122" t="s">
        <v>247</v>
      </c>
      <c r="AG122" s="2"/>
      <c r="AH122" s="35">
        <f>1-COS(RADIANS(TA[[#This Row],[Avg. Target Angle during Fault Time (Radians)]]-TA[[#This Row],[Angle of affected equipment ]]))</f>
        <v>0.11705240714107301</v>
      </c>
      <c r="AI122" s="27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43">
        <f t="shared" si="5"/>
        <v>2026</v>
      </c>
      <c r="C123" s="116">
        <f t="shared" si="6"/>
        <v>2025</v>
      </c>
      <c r="D123" s="2" t="s">
        <v>155</v>
      </c>
      <c r="E123" s="2" t="s">
        <v>155</v>
      </c>
      <c r="F123" s="30">
        <v>45748</v>
      </c>
      <c r="G123" s="2">
        <f>DAY(EOMONTH(TA[[#This Row],[Month Year]],0))</f>
        <v>30</v>
      </c>
      <c r="H123" s="21">
        <v>45752</v>
      </c>
      <c r="I123" s="32">
        <f>IFERROR(VLOOKUP(TA[[#This Row],[Date]],Raw_Data[[Date]:[Sunset Time (POA&lt;20 W/m2)]],3,0),"")</f>
        <v>0.26597222222222222</v>
      </c>
      <c r="J123" s="32">
        <f>IFERROR(VLOOKUP(TA[[#This Row],[Date]],Raw_Data[[Date]:[Sunset Time (POA&lt;20 W/m2)]],4,0),"")</f>
        <v>0.76180555555555551</v>
      </c>
      <c r="K123" s="27">
        <f>IFERROR((TA[[#This Row],[Sunset Time (POA&lt;20 W/m2)]]-TA[[#This Row],[Sunrise Time (POA&gt;20 W/m2)]])*24,"")</f>
        <v>11.899999999999999</v>
      </c>
      <c r="L123" s="2" t="s">
        <v>303</v>
      </c>
      <c r="M123" s="33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321</v>
      </c>
      <c r="Q123" s="2" t="s">
        <v>314</v>
      </c>
      <c r="R123">
        <v>27</v>
      </c>
      <c r="S123" s="2">
        <v>42</v>
      </c>
      <c r="T123" t="s">
        <v>288</v>
      </c>
      <c r="U123" t="s">
        <v>317</v>
      </c>
      <c r="V123" t="s">
        <v>292</v>
      </c>
      <c r="W123" s="32">
        <f>IFERROR(VLOOKUP(TA[[#This Row],[Date]],Raw_Data[[Date]:[Sunset Time (POA&lt;20 W/m2)]],3,0),"")</f>
        <v>0.26597222222222222</v>
      </c>
      <c r="X123" s="32">
        <f>IFERROR(VLOOKUP(TA[[#This Row],[Date]],Raw_Data[[Date]:[Sunset Time (POA&lt;20 W/m2)]],3,0),"")</f>
        <v>0.26597222222222222</v>
      </c>
      <c r="Y123" s="26"/>
      <c r="Z123" s="26">
        <v>0.76041666666666663</v>
      </c>
      <c r="AA123" s="27">
        <f>IF(TA[[#This Row],[Work Start time on Fault]]="NA","",(TA[[#This Row],[Fault Acknowledgement Time ]]-TA[[#This Row],[Fault Time]])*24)</f>
        <v>0</v>
      </c>
      <c r="AB123" s="27">
        <f>(TA[[#This Row],[Work Start time on Fault]]-TA[[#This Row],[Fault Time]])*24</f>
        <v>-6.3833333333333329</v>
      </c>
      <c r="AC123" s="26">
        <f>(TA[[#This Row],[Work Completion time on fault]]-TA[[#This Row],[Fault Time]])*24</f>
        <v>11.866666666666665</v>
      </c>
      <c r="AD123" s="27">
        <f>IFERROR((TA[[#This Row],[Work Completion time on fault]]-TA[[#This Row],[Fault Time]])*24,"")</f>
        <v>11.866666666666665</v>
      </c>
      <c r="AE123" t="s">
        <v>300</v>
      </c>
      <c r="AF123" t="s">
        <v>247</v>
      </c>
      <c r="AG123" s="2"/>
      <c r="AH123" s="35">
        <f>1-COS(RADIANS(TA[[#This Row],[Avg. Target Angle during Fault Time (Radians)]]-TA[[#This Row],[Angle of affected equipment ]]))</f>
        <v>0.11705240714107301</v>
      </c>
      <c r="AI123" s="27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43">
        <f t="shared" si="5"/>
        <v>2026</v>
      </c>
      <c r="C124" s="116">
        <f t="shared" si="6"/>
        <v>2025</v>
      </c>
      <c r="D124" s="2" t="s">
        <v>155</v>
      </c>
      <c r="E124" s="2" t="s">
        <v>155</v>
      </c>
      <c r="F124" s="30">
        <v>45748</v>
      </c>
      <c r="G124" s="2">
        <f>DAY(EOMONTH(TA[[#This Row],[Month Year]],0))</f>
        <v>30</v>
      </c>
      <c r="H124" s="21">
        <v>45753</v>
      </c>
      <c r="I124" s="32">
        <f>IFERROR(VLOOKUP(TA[[#This Row],[Date]],Raw_Data[[Date]:[Sunset Time (POA&lt;20 W/m2)]],3,0),"")</f>
        <v>0.27013888888888887</v>
      </c>
      <c r="J124" s="32">
        <f>IFERROR(VLOOKUP(TA[[#This Row],[Date]],Raw_Data[[Date]:[Sunset Time (POA&lt;20 W/m2)]],4,0),"")</f>
        <v>0.76458333333333328</v>
      </c>
      <c r="K124" s="27">
        <f>IFERROR((TA[[#This Row],[Sunset Time (POA&lt;20 W/m2)]]-TA[[#This Row],[Sunrise Time (POA&gt;20 W/m2)]])*24,"")</f>
        <v>11.866666666666665</v>
      </c>
      <c r="L124" s="2" t="s">
        <v>285</v>
      </c>
      <c r="M124" s="33">
        <f>IFERROR(VLOOKUP(TA[[#This Row],[Affected Equipment]],'Basic Data'!$I$2:$K$40,3,0),"")</f>
        <v>1.7241379310344799E-3</v>
      </c>
      <c r="N124">
        <v>-28</v>
      </c>
      <c r="O124" t="s">
        <v>135</v>
      </c>
      <c r="P124" s="114" t="s">
        <v>309</v>
      </c>
      <c r="Q124" s="113" t="s">
        <v>309</v>
      </c>
      <c r="R124">
        <v>130</v>
      </c>
      <c r="S124" s="2">
        <v>36</v>
      </c>
      <c r="T124" t="s">
        <v>286</v>
      </c>
      <c r="U124" t="s">
        <v>291</v>
      </c>
      <c r="V124" t="s">
        <v>289</v>
      </c>
      <c r="W124" s="32"/>
      <c r="X124" s="32"/>
      <c r="Y124" s="26"/>
      <c r="Z124" s="26"/>
      <c r="AA124" s="27">
        <f>IF(TA[[#This Row],[Work Start time on Fault]]="NA","",(TA[[#This Row],[Fault Acknowledgement Time ]]-TA[[#This Row],[Fault Time]])*24)</f>
        <v>0</v>
      </c>
      <c r="AB124" s="27">
        <f>(TA[[#This Row],[Work Start time on Fault]]-TA[[#This Row],[Fault Time]])*24</f>
        <v>0</v>
      </c>
      <c r="AC124" s="26">
        <f>(TA[[#This Row],[Work Completion time on fault]]-TA[[#This Row],[Fault Time]])*24</f>
        <v>0</v>
      </c>
      <c r="AD124" s="27">
        <f>IFERROR((TA[[#This Row],[Work Completion time on fault]]-TA[[#This Row],[Fault Time]])*24,"")</f>
        <v>0</v>
      </c>
      <c r="AE124" t="s">
        <v>319</v>
      </c>
      <c r="AF124" t="s">
        <v>247</v>
      </c>
      <c r="AG124" s="2"/>
      <c r="AH124" s="35">
        <f>1-COS(RADIANS(TA[[#This Row],[Avg. Target Angle during Fault Time (Radians)]]-TA[[#This Row],[Angle of affected equipment ]]))</f>
        <v>0.11705240714107301</v>
      </c>
      <c r="AI124" s="27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43">
        <f t="shared" si="5"/>
        <v>2026</v>
      </c>
      <c r="C125" s="116">
        <f t="shared" si="6"/>
        <v>2025</v>
      </c>
      <c r="D125" s="2" t="s">
        <v>155</v>
      </c>
      <c r="E125" s="2" t="s">
        <v>155</v>
      </c>
      <c r="F125" s="30">
        <v>45748</v>
      </c>
      <c r="G125" s="2">
        <f>DAY(EOMONTH(TA[[#This Row],[Month Year]],0))</f>
        <v>30</v>
      </c>
      <c r="H125" s="21">
        <v>45753</v>
      </c>
      <c r="I125" s="32">
        <f>IFERROR(VLOOKUP(TA[[#This Row],[Date]],Raw_Data[[Date]:[Sunset Time (POA&lt;20 W/m2)]],3,0),"")</f>
        <v>0.27013888888888887</v>
      </c>
      <c r="J125" s="32">
        <f>IFERROR(VLOOKUP(TA[[#This Row],[Date]],Raw_Data[[Date]:[Sunset Time (POA&lt;20 W/m2)]],4,0),"")</f>
        <v>0.76458333333333328</v>
      </c>
      <c r="K125" s="27">
        <f>IFERROR((TA[[#This Row],[Sunset Time (POA&lt;20 W/m2)]]-TA[[#This Row],[Sunrise Time (POA&gt;20 W/m2)]])*24,"")</f>
        <v>11.866666666666665</v>
      </c>
      <c r="L125" s="2" t="s">
        <v>285</v>
      </c>
      <c r="M125" s="33">
        <f>IFERROR(VLOOKUP(TA[[#This Row],[Affected Equipment]],'Basic Data'!$I$2:$K$40,3,0),"")</f>
        <v>1.7241379310344799E-3</v>
      </c>
      <c r="N125">
        <v>-28</v>
      </c>
      <c r="O125" t="s">
        <v>135</v>
      </c>
      <c r="P125" s="114" t="s">
        <v>309</v>
      </c>
      <c r="Q125" s="113" t="s">
        <v>309</v>
      </c>
      <c r="R125">
        <v>130</v>
      </c>
      <c r="S125" s="2">
        <v>37</v>
      </c>
      <c r="T125" t="s">
        <v>286</v>
      </c>
      <c r="U125" t="s">
        <v>291</v>
      </c>
      <c r="V125" t="s">
        <v>289</v>
      </c>
      <c r="W125" s="32"/>
      <c r="X125" s="32"/>
      <c r="Y125" s="26"/>
      <c r="Z125" s="26"/>
      <c r="AA125" s="27">
        <f>IF(TA[[#This Row],[Work Start time on Fault]]="NA","",(TA[[#This Row],[Fault Acknowledgement Time ]]-TA[[#This Row],[Fault Time]])*24)</f>
        <v>0</v>
      </c>
      <c r="AB125" s="27">
        <f>(TA[[#This Row],[Work Start time on Fault]]-TA[[#This Row],[Fault Time]])*24</f>
        <v>0</v>
      </c>
      <c r="AC125" s="26">
        <f>(TA[[#This Row],[Work Completion time on fault]]-TA[[#This Row],[Fault Time]])*24</f>
        <v>0</v>
      </c>
      <c r="AD125" s="27">
        <f>IFERROR((TA[[#This Row],[Work Completion time on fault]]-TA[[#This Row],[Fault Time]])*24,"")</f>
        <v>0</v>
      </c>
      <c r="AE125" t="s">
        <v>319</v>
      </c>
      <c r="AF125" t="s">
        <v>247</v>
      </c>
      <c r="AG125" s="2"/>
      <c r="AH125" s="35">
        <f>1-COS(RADIANS(TA[[#This Row],[Avg. Target Angle during Fault Time (Radians)]]-TA[[#This Row],[Angle of affected equipment ]]))</f>
        <v>0.11705240714107301</v>
      </c>
      <c r="AI125" s="27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43">
        <f t="shared" si="5"/>
        <v>2026</v>
      </c>
      <c r="C126" s="116">
        <f t="shared" si="6"/>
        <v>2025</v>
      </c>
      <c r="D126" s="2" t="s">
        <v>155</v>
      </c>
      <c r="E126" s="2" t="s">
        <v>155</v>
      </c>
      <c r="F126" s="30">
        <v>45748</v>
      </c>
      <c r="G126" s="2">
        <f>DAY(EOMONTH(TA[[#This Row],[Month Year]],0))</f>
        <v>30</v>
      </c>
      <c r="H126" s="21">
        <v>45753</v>
      </c>
      <c r="I126" s="32">
        <f>IFERROR(VLOOKUP(TA[[#This Row],[Date]],Raw_Data[[Date]:[Sunset Time (POA&lt;20 W/m2)]],3,0),"")</f>
        <v>0.27013888888888887</v>
      </c>
      <c r="J126" s="32">
        <f>IFERROR(VLOOKUP(TA[[#This Row],[Date]],Raw_Data[[Date]:[Sunset Time (POA&lt;20 W/m2)]],4,0),"")</f>
        <v>0.76458333333333328</v>
      </c>
      <c r="K126" s="27">
        <f>IFERROR((TA[[#This Row],[Sunset Time (POA&lt;20 W/m2)]]-TA[[#This Row],[Sunrise Time (POA&gt;20 W/m2)]])*24,"")</f>
        <v>11.866666666666665</v>
      </c>
      <c r="L126" s="2" t="s">
        <v>285</v>
      </c>
      <c r="M126" s="33">
        <f>IFERROR(VLOOKUP(TA[[#This Row],[Affected Equipment]],'Basic Data'!$I$2:$K$40,3,0),"")</f>
        <v>1.7241379310344799E-3</v>
      </c>
      <c r="N126">
        <v>-28</v>
      </c>
      <c r="O126" t="s">
        <v>135</v>
      </c>
      <c r="P126" s="114" t="s">
        <v>309</v>
      </c>
      <c r="Q126" s="113" t="s">
        <v>309</v>
      </c>
      <c r="R126">
        <v>131</v>
      </c>
      <c r="S126" s="2">
        <v>38</v>
      </c>
      <c r="T126" t="s">
        <v>286</v>
      </c>
      <c r="U126" t="s">
        <v>291</v>
      </c>
      <c r="V126" t="s">
        <v>289</v>
      </c>
      <c r="W126" s="32"/>
      <c r="X126" s="32"/>
      <c r="Y126" s="26"/>
      <c r="Z126" s="26"/>
      <c r="AA126" s="27">
        <f>IF(TA[[#This Row],[Work Start time on Fault]]="NA","",(TA[[#This Row],[Fault Acknowledgement Time ]]-TA[[#This Row],[Fault Time]])*24)</f>
        <v>0</v>
      </c>
      <c r="AB126" s="27">
        <f>(TA[[#This Row],[Work Start time on Fault]]-TA[[#This Row],[Fault Time]])*24</f>
        <v>0</v>
      </c>
      <c r="AC126" s="26">
        <f>(TA[[#This Row],[Work Completion time on fault]]-TA[[#This Row],[Fault Time]])*24</f>
        <v>0</v>
      </c>
      <c r="AD126" s="27">
        <f>IFERROR((TA[[#This Row],[Work Completion time on fault]]-TA[[#This Row],[Fault Time]])*24,"")</f>
        <v>0</v>
      </c>
      <c r="AE126" t="s">
        <v>319</v>
      </c>
      <c r="AF126" t="s">
        <v>247</v>
      </c>
      <c r="AG126" s="2"/>
      <c r="AH126" s="35">
        <f>1-COS(RADIANS(TA[[#This Row],[Avg. Target Angle during Fault Time (Radians)]]-TA[[#This Row],[Angle of affected equipment ]]))</f>
        <v>0.11705240714107301</v>
      </c>
      <c r="AI126" s="27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43">
        <f t="shared" si="5"/>
        <v>2026</v>
      </c>
      <c r="C127" s="116">
        <f t="shared" si="6"/>
        <v>2025</v>
      </c>
      <c r="D127" s="2" t="s">
        <v>155</v>
      </c>
      <c r="E127" s="2" t="s">
        <v>155</v>
      </c>
      <c r="F127" s="30">
        <v>45748</v>
      </c>
      <c r="G127" s="2">
        <f>DAY(EOMONTH(TA[[#This Row],[Month Year]],0))</f>
        <v>30</v>
      </c>
      <c r="H127" s="21">
        <v>45753</v>
      </c>
      <c r="I127" s="32">
        <f>IFERROR(VLOOKUP(TA[[#This Row],[Date]],Raw_Data[[Date]:[Sunset Time (POA&lt;20 W/m2)]],3,0),"")</f>
        <v>0.27013888888888887</v>
      </c>
      <c r="J127" s="32">
        <f>IFERROR(VLOOKUP(TA[[#This Row],[Date]],Raw_Data[[Date]:[Sunset Time (POA&lt;20 W/m2)]],4,0),"")</f>
        <v>0.76458333333333328</v>
      </c>
      <c r="K127" s="27">
        <f>IFERROR((TA[[#This Row],[Sunset Time (POA&lt;20 W/m2)]]-TA[[#This Row],[Sunrise Time (POA&gt;20 W/m2)]])*24,"")</f>
        <v>11.866666666666665</v>
      </c>
      <c r="L127" s="2" t="s">
        <v>285</v>
      </c>
      <c r="M127" s="33">
        <f>IFERROR(VLOOKUP(TA[[#This Row],[Affected Equipment]],'Basic Data'!$I$2:$K$40,3,0),"")</f>
        <v>1.7241379310344799E-3</v>
      </c>
      <c r="N127">
        <v>-28</v>
      </c>
      <c r="O127" t="s">
        <v>135</v>
      </c>
      <c r="P127" s="114" t="s">
        <v>309</v>
      </c>
      <c r="Q127" s="113" t="s">
        <v>309</v>
      </c>
      <c r="R127">
        <v>131</v>
      </c>
      <c r="S127" s="2">
        <v>39</v>
      </c>
      <c r="T127" t="s">
        <v>286</v>
      </c>
      <c r="U127" t="s">
        <v>291</v>
      </c>
      <c r="V127" t="s">
        <v>289</v>
      </c>
      <c r="W127" s="32"/>
      <c r="X127" s="32"/>
      <c r="Y127" s="26"/>
      <c r="Z127" s="26"/>
      <c r="AA127" s="27">
        <f>IF(TA[[#This Row],[Work Start time on Fault]]="NA","",(TA[[#This Row],[Fault Acknowledgement Time ]]-TA[[#This Row],[Fault Time]])*24)</f>
        <v>0</v>
      </c>
      <c r="AB127" s="27">
        <f>(TA[[#This Row],[Work Start time on Fault]]-TA[[#This Row],[Fault Time]])*24</f>
        <v>0</v>
      </c>
      <c r="AC127" s="26">
        <f>(TA[[#This Row],[Work Completion time on fault]]-TA[[#This Row],[Fault Time]])*24</f>
        <v>0</v>
      </c>
      <c r="AD127" s="27">
        <f>IFERROR((TA[[#This Row],[Work Completion time on fault]]-TA[[#This Row],[Fault Time]])*24,"")</f>
        <v>0</v>
      </c>
      <c r="AE127" t="s">
        <v>319</v>
      </c>
      <c r="AF127" t="s">
        <v>247</v>
      </c>
      <c r="AG127" s="2"/>
      <c r="AH127" s="35">
        <f>1-COS(RADIANS(TA[[#This Row],[Avg. Target Angle during Fault Time (Radians)]]-TA[[#This Row],[Angle of affected equipment ]]))</f>
        <v>0.11705240714107301</v>
      </c>
      <c r="AI127" s="27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43">
        <f t="shared" si="5"/>
        <v>2026</v>
      </c>
      <c r="C128" s="116">
        <f t="shared" si="6"/>
        <v>2025</v>
      </c>
      <c r="D128" s="2" t="s">
        <v>155</v>
      </c>
      <c r="E128" s="2" t="s">
        <v>155</v>
      </c>
      <c r="F128" s="30">
        <v>45748</v>
      </c>
      <c r="G128" s="2">
        <f>DAY(EOMONTH(TA[[#This Row],[Month Year]],0))</f>
        <v>30</v>
      </c>
      <c r="H128" s="21">
        <v>45753</v>
      </c>
      <c r="I128" s="32">
        <f>IFERROR(VLOOKUP(TA[[#This Row],[Date]],Raw_Data[[Date]:[Sunset Time (POA&lt;20 W/m2)]],3,0),"")</f>
        <v>0.27013888888888887</v>
      </c>
      <c r="J128" s="32">
        <f>IFERROR(VLOOKUP(TA[[#This Row],[Date]],Raw_Data[[Date]:[Sunset Time (POA&lt;20 W/m2)]],4,0),"")</f>
        <v>0.76458333333333328</v>
      </c>
      <c r="K128" s="27">
        <f>IFERROR((TA[[#This Row],[Sunset Time (POA&lt;20 W/m2)]]-TA[[#This Row],[Sunrise Time (POA&gt;20 W/m2)]])*24,"")</f>
        <v>11.866666666666665</v>
      </c>
      <c r="L128" s="2" t="s">
        <v>287</v>
      </c>
      <c r="M128" s="33">
        <f>IFERROR(VLOOKUP(TA[[#This Row],[Affected Equipment]],'Basic Data'!$I$2:$K$40,3,0),"")</f>
        <v>8.6206896551724102E-3</v>
      </c>
      <c r="N128">
        <v>-28</v>
      </c>
      <c r="O128" t="s">
        <v>135</v>
      </c>
      <c r="P128" s="114" t="s">
        <v>309</v>
      </c>
      <c r="Q128" s="2" t="s">
        <v>312</v>
      </c>
      <c r="R128">
        <v>133</v>
      </c>
      <c r="S128" s="2">
        <v>26</v>
      </c>
      <c r="T128" t="s">
        <v>288</v>
      </c>
      <c r="U128" t="s">
        <v>291</v>
      </c>
      <c r="V128" t="s">
        <v>305</v>
      </c>
      <c r="W128" s="32"/>
      <c r="X128" s="32"/>
      <c r="Y128" s="26"/>
      <c r="Z128" s="26"/>
      <c r="AA128" s="27">
        <f>IF(TA[[#This Row],[Work Start time on Fault]]="NA","",(TA[[#This Row],[Fault Acknowledgement Time ]]-TA[[#This Row],[Fault Time]])*24)</f>
        <v>0</v>
      </c>
      <c r="AB128" s="27">
        <f>(TA[[#This Row],[Work Start time on Fault]]-TA[[#This Row],[Fault Time]])*24</f>
        <v>0</v>
      </c>
      <c r="AC128" s="26">
        <f>(TA[[#This Row],[Work Completion time on fault]]-TA[[#This Row],[Fault Time]])*24</f>
        <v>0</v>
      </c>
      <c r="AD128" s="27">
        <f>IFERROR((TA[[#This Row],[Work Completion time on fault]]-TA[[#This Row],[Fault Time]])*24,"")</f>
        <v>0</v>
      </c>
      <c r="AE128" t="s">
        <v>319</v>
      </c>
      <c r="AF128" t="s">
        <v>247</v>
      </c>
      <c r="AG128" s="2"/>
      <c r="AH128" s="35">
        <f>1-COS(RADIANS(TA[[#This Row],[Avg. Target Angle during Fault Time (Radians)]]-TA[[#This Row],[Angle of affected equipment ]]))</f>
        <v>0.11705240714107301</v>
      </c>
      <c r="AI128" s="27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43">
        <f t="shared" si="5"/>
        <v>2026</v>
      </c>
      <c r="C129" s="116">
        <f t="shared" si="6"/>
        <v>2025</v>
      </c>
      <c r="D129" s="2" t="s">
        <v>155</v>
      </c>
      <c r="E129" s="2" t="s">
        <v>155</v>
      </c>
      <c r="F129" s="30">
        <v>45748</v>
      </c>
      <c r="G129" s="2">
        <f>DAY(EOMONTH(TA[[#This Row],[Month Year]],0))</f>
        <v>30</v>
      </c>
      <c r="H129" s="21">
        <v>45753</v>
      </c>
      <c r="I129" s="32">
        <f>IFERROR(VLOOKUP(TA[[#This Row],[Date]],Raw_Data[[Date]:[Sunset Time (POA&lt;20 W/m2)]],3,0),"")</f>
        <v>0.27013888888888887</v>
      </c>
      <c r="J129" s="32">
        <f>IFERROR(VLOOKUP(TA[[#This Row],[Date]],Raw_Data[[Date]:[Sunset Time (POA&lt;20 W/m2)]],4,0),"")</f>
        <v>0.76458333333333328</v>
      </c>
      <c r="K129" s="27">
        <f>IFERROR((TA[[#This Row],[Sunset Time (POA&lt;20 W/m2)]]-TA[[#This Row],[Sunrise Time (POA&gt;20 W/m2)]])*24,"")</f>
        <v>11.866666666666665</v>
      </c>
      <c r="L129" s="2" t="s">
        <v>285</v>
      </c>
      <c r="M129" s="33">
        <f>IFERROR(VLOOKUP(TA[[#This Row],[Affected Equipment]],'Basic Data'!$I$2:$K$40,3,0),"")</f>
        <v>1.7241379310344799E-3</v>
      </c>
      <c r="N129">
        <v>-28</v>
      </c>
      <c r="O129" t="s">
        <v>133</v>
      </c>
      <c r="P129" s="114" t="s">
        <v>307</v>
      </c>
      <c r="Q129" s="113" t="s">
        <v>308</v>
      </c>
      <c r="R129">
        <v>7</v>
      </c>
      <c r="S129" s="2">
        <v>32</v>
      </c>
      <c r="T129" t="s">
        <v>286</v>
      </c>
      <c r="U129" t="s">
        <v>291</v>
      </c>
      <c r="V129" t="s">
        <v>289</v>
      </c>
      <c r="W129" s="32"/>
      <c r="X129" s="32"/>
      <c r="Y129" s="26"/>
      <c r="Z129" s="26"/>
      <c r="AA129" s="27">
        <f>IF(TA[[#This Row],[Work Start time on Fault]]="NA","",(TA[[#This Row],[Fault Acknowledgement Time ]]-TA[[#This Row],[Fault Time]])*24)</f>
        <v>0</v>
      </c>
      <c r="AB129" s="27">
        <f>(TA[[#This Row],[Work Start time on Fault]]-TA[[#This Row],[Fault Time]])*24</f>
        <v>0</v>
      </c>
      <c r="AC129" s="26">
        <f>(TA[[#This Row],[Work Completion time on fault]]-TA[[#This Row],[Fault Time]])*24</f>
        <v>0</v>
      </c>
      <c r="AD129" s="27">
        <f>IFERROR((TA[[#This Row],[Work Completion time on fault]]-TA[[#This Row],[Fault Time]])*24,"")</f>
        <v>0</v>
      </c>
      <c r="AE129" t="s">
        <v>319</v>
      </c>
      <c r="AF129" t="s">
        <v>247</v>
      </c>
      <c r="AG129" s="2"/>
      <c r="AH129" s="35">
        <f>1-COS(RADIANS(TA[[#This Row],[Avg. Target Angle during Fault Time (Radians)]]-TA[[#This Row],[Angle of affected equipment ]]))</f>
        <v>0.11705240714107301</v>
      </c>
      <c r="AI129" s="27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43">
        <f t="shared" si="5"/>
        <v>2026</v>
      </c>
      <c r="C130" s="116">
        <f t="shared" si="6"/>
        <v>2025</v>
      </c>
      <c r="D130" s="2" t="s">
        <v>155</v>
      </c>
      <c r="E130" s="2" t="s">
        <v>155</v>
      </c>
      <c r="F130" s="30">
        <v>45748</v>
      </c>
      <c r="G130" s="2">
        <f>DAY(EOMONTH(TA[[#This Row],[Month Year]],0))</f>
        <v>30</v>
      </c>
      <c r="H130" s="21">
        <v>45753</v>
      </c>
      <c r="I130" s="32">
        <f>IFERROR(VLOOKUP(TA[[#This Row],[Date]],Raw_Data[[Date]:[Sunset Time (POA&lt;20 W/m2)]],3,0),"")</f>
        <v>0.27013888888888887</v>
      </c>
      <c r="J130" s="32">
        <f>IFERROR(VLOOKUP(TA[[#This Row],[Date]],Raw_Data[[Date]:[Sunset Time (POA&lt;20 W/m2)]],4,0),"")</f>
        <v>0.76458333333333328</v>
      </c>
      <c r="K130" s="27">
        <f>IFERROR((TA[[#This Row],[Sunset Time (POA&lt;20 W/m2)]]-TA[[#This Row],[Sunrise Time (POA&gt;20 W/m2)]])*24,"")</f>
        <v>11.866666666666665</v>
      </c>
      <c r="L130" s="2" t="s">
        <v>285</v>
      </c>
      <c r="M130" s="33">
        <f>IFERROR(VLOOKUP(TA[[#This Row],[Affected Equipment]],'Basic Data'!$I$2:$K$40,3,0),"")</f>
        <v>1.7241379310344799E-3</v>
      </c>
      <c r="N130">
        <v>-28</v>
      </c>
      <c r="O130" t="s">
        <v>137</v>
      </c>
      <c r="P130" s="114" t="s">
        <v>306</v>
      </c>
      <c r="Q130" s="113" t="s">
        <v>310</v>
      </c>
      <c r="R130">
        <v>166</v>
      </c>
      <c r="S130" s="2">
        <v>91</v>
      </c>
      <c r="T130" t="s">
        <v>286</v>
      </c>
      <c r="U130" t="s">
        <v>291</v>
      </c>
      <c r="V130" t="s">
        <v>289</v>
      </c>
      <c r="W130" s="32"/>
      <c r="X130" s="32"/>
      <c r="Y130" s="26"/>
      <c r="Z130" s="26"/>
      <c r="AA130" s="27">
        <f>IF(TA[[#This Row],[Work Start time on Fault]]="NA","",(TA[[#This Row],[Fault Acknowledgement Time ]]-TA[[#This Row],[Fault Time]])*24)</f>
        <v>0</v>
      </c>
      <c r="AB130" s="27">
        <f>(TA[[#This Row],[Work Start time on Fault]]-TA[[#This Row],[Fault Time]])*24</f>
        <v>0</v>
      </c>
      <c r="AC130" s="26">
        <f>(TA[[#This Row],[Work Completion time on fault]]-TA[[#This Row],[Fault Time]])*24</f>
        <v>0</v>
      </c>
      <c r="AD130" s="27">
        <f>IFERROR((TA[[#This Row],[Work Completion time on fault]]-TA[[#This Row],[Fault Time]])*24,"")</f>
        <v>0</v>
      </c>
      <c r="AE130" t="s">
        <v>319</v>
      </c>
      <c r="AF130" t="s">
        <v>247</v>
      </c>
      <c r="AG130" s="2"/>
      <c r="AH130" s="35">
        <f>1-COS(RADIANS(TA[[#This Row],[Avg. Target Angle during Fault Time (Radians)]]-TA[[#This Row],[Angle of affected equipment ]]))</f>
        <v>0.11705240714107301</v>
      </c>
      <c r="AI130" s="27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43">
        <f t="shared" si="5"/>
        <v>2026</v>
      </c>
      <c r="C131" s="116">
        <f t="shared" si="6"/>
        <v>2025</v>
      </c>
      <c r="D131" s="2" t="s">
        <v>155</v>
      </c>
      <c r="E131" s="2" t="s">
        <v>155</v>
      </c>
      <c r="F131" s="30">
        <v>45748</v>
      </c>
      <c r="G131" s="2">
        <f>DAY(EOMONTH(TA[[#This Row],[Month Year]],0))</f>
        <v>30</v>
      </c>
      <c r="H131" s="21">
        <v>45753</v>
      </c>
      <c r="I131" s="32">
        <f>IFERROR(VLOOKUP(TA[[#This Row],[Date]],Raw_Data[[Date]:[Sunset Time (POA&lt;20 W/m2)]],3,0),"")</f>
        <v>0.27013888888888887</v>
      </c>
      <c r="J131" s="32">
        <f>IFERROR(VLOOKUP(TA[[#This Row],[Date]],Raw_Data[[Date]:[Sunset Time (POA&lt;20 W/m2)]],4,0),"")</f>
        <v>0.76458333333333328</v>
      </c>
      <c r="K131" s="27">
        <f>IFERROR((TA[[#This Row],[Sunset Time (POA&lt;20 W/m2)]]-TA[[#This Row],[Sunrise Time (POA&gt;20 W/m2)]])*24,"")</f>
        <v>11.866666666666665</v>
      </c>
      <c r="L131" s="2" t="s">
        <v>285</v>
      </c>
      <c r="M131" s="33">
        <f>IFERROR(VLOOKUP(TA[[#This Row],[Affected Equipment]],'Basic Data'!$I$2:$K$40,3,0),"")</f>
        <v>1.7241379310344799E-3</v>
      </c>
      <c r="N131">
        <v>-28</v>
      </c>
      <c r="O131" t="s">
        <v>133</v>
      </c>
      <c r="P131" s="114" t="s">
        <v>307</v>
      </c>
      <c r="Q131" s="113" t="s">
        <v>307</v>
      </c>
      <c r="R131">
        <v>117</v>
      </c>
      <c r="S131" s="2">
        <v>20</v>
      </c>
      <c r="T131" t="s">
        <v>286</v>
      </c>
      <c r="U131" t="s">
        <v>291</v>
      </c>
      <c r="V131" t="s">
        <v>289</v>
      </c>
      <c r="W131" s="32"/>
      <c r="X131" s="32"/>
      <c r="Y131" s="26"/>
      <c r="Z131" s="26"/>
      <c r="AA131" s="27">
        <f>IF(TA[[#This Row],[Work Start time on Fault]]="NA","",(TA[[#This Row],[Fault Acknowledgement Time ]]-TA[[#This Row],[Fault Time]])*24)</f>
        <v>0</v>
      </c>
      <c r="AB131" s="27">
        <f>(TA[[#This Row],[Work Start time on Fault]]-TA[[#This Row],[Fault Time]])*24</f>
        <v>0</v>
      </c>
      <c r="AC131" s="26">
        <f>(TA[[#This Row],[Work Completion time on fault]]-TA[[#This Row],[Fault Time]])*24</f>
        <v>0</v>
      </c>
      <c r="AD131" s="27">
        <f>IFERROR((TA[[#This Row],[Work Completion time on fault]]-TA[[#This Row],[Fault Time]])*24,"")</f>
        <v>0</v>
      </c>
      <c r="AE131" t="s">
        <v>319</v>
      </c>
      <c r="AF131" t="s">
        <v>247</v>
      </c>
      <c r="AG131" s="2"/>
      <c r="AH131" s="35">
        <f>1-COS(RADIANS(TA[[#This Row],[Avg. Target Angle during Fault Time (Radians)]]-TA[[#This Row],[Angle of affected equipment ]]))</f>
        <v>0.11705240714107301</v>
      </c>
      <c r="AI131" s="27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43">
        <f t="shared" si="5"/>
        <v>2026</v>
      </c>
      <c r="C132" s="116">
        <f t="shared" si="6"/>
        <v>2025</v>
      </c>
      <c r="D132" s="2" t="s">
        <v>155</v>
      </c>
      <c r="E132" s="2" t="s">
        <v>155</v>
      </c>
      <c r="F132" s="30">
        <v>45748</v>
      </c>
      <c r="G132" s="2">
        <f>DAY(EOMONTH(TA[[#This Row],[Month Year]],0))</f>
        <v>30</v>
      </c>
      <c r="H132" s="21">
        <v>45753</v>
      </c>
      <c r="I132" s="32">
        <f>IFERROR(VLOOKUP(TA[[#This Row],[Date]],Raw_Data[[Date]:[Sunset Time (POA&lt;20 W/m2)]],3,0),"")</f>
        <v>0.27013888888888887</v>
      </c>
      <c r="J132" s="32">
        <f>IFERROR(VLOOKUP(TA[[#This Row],[Date]],Raw_Data[[Date]:[Sunset Time (POA&lt;20 W/m2)]],4,0),"")</f>
        <v>0.76458333333333328</v>
      </c>
      <c r="K132" s="27">
        <f>IFERROR((TA[[#This Row],[Sunset Time (POA&lt;20 W/m2)]]-TA[[#This Row],[Sunrise Time (POA&gt;20 W/m2)]])*24,"")</f>
        <v>11.866666666666665</v>
      </c>
      <c r="L132" s="2" t="s">
        <v>285</v>
      </c>
      <c r="M132" s="33">
        <f>IFERROR(VLOOKUP(TA[[#This Row],[Affected Equipment]],'Basic Data'!$I$2:$K$40,3,0),"")</f>
        <v>1.7241379310344799E-3</v>
      </c>
      <c r="N132">
        <v>-28</v>
      </c>
      <c r="O132" t="s">
        <v>133</v>
      </c>
      <c r="P132" s="114" t="s">
        <v>307</v>
      </c>
      <c r="Q132" s="113" t="s">
        <v>307</v>
      </c>
      <c r="R132">
        <v>118</v>
      </c>
      <c r="S132" s="2">
        <v>22</v>
      </c>
      <c r="T132" t="s">
        <v>286</v>
      </c>
      <c r="U132" t="s">
        <v>291</v>
      </c>
      <c r="V132" t="s">
        <v>289</v>
      </c>
      <c r="W132" s="32"/>
      <c r="X132" s="32"/>
      <c r="Y132" s="26"/>
      <c r="Z132" s="26"/>
      <c r="AA132" s="27">
        <f>IF(TA[[#This Row],[Work Start time on Fault]]="NA","",(TA[[#This Row],[Fault Acknowledgement Time ]]-TA[[#This Row],[Fault Time]])*24)</f>
        <v>0</v>
      </c>
      <c r="AB132" s="27">
        <f>(TA[[#This Row],[Work Start time on Fault]]-TA[[#This Row],[Fault Time]])*24</f>
        <v>0</v>
      </c>
      <c r="AC132" s="26">
        <f>(TA[[#This Row],[Work Completion time on fault]]-TA[[#This Row],[Fault Time]])*24</f>
        <v>0</v>
      </c>
      <c r="AD132" s="27">
        <f>IFERROR((TA[[#This Row],[Work Completion time on fault]]-TA[[#This Row],[Fault Time]])*24,"")</f>
        <v>0</v>
      </c>
      <c r="AE132" t="s">
        <v>319</v>
      </c>
      <c r="AF132" t="s">
        <v>247</v>
      </c>
      <c r="AG132" s="2"/>
      <c r="AH132" s="35">
        <f>1-COS(RADIANS(TA[[#This Row],[Avg. Target Angle during Fault Time (Radians)]]-TA[[#This Row],[Angle of affected equipment ]]))</f>
        <v>0.11705240714107301</v>
      </c>
      <c r="AI132" s="27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43">
        <f t="shared" ref="B133:B196" si="8">YEAR(H133)+IF(MONTH(H133)&gt;=4,1,0)</f>
        <v>2026</v>
      </c>
      <c r="C133" s="116">
        <f t="shared" ref="C133:C196" si="9">YEAR(H133)</f>
        <v>2025</v>
      </c>
      <c r="D133" s="2" t="s">
        <v>155</v>
      </c>
      <c r="E133" s="2" t="s">
        <v>155</v>
      </c>
      <c r="F133" s="30">
        <v>45748</v>
      </c>
      <c r="G133" s="2">
        <f>DAY(EOMONTH(TA[[#This Row],[Month Year]],0))</f>
        <v>30</v>
      </c>
      <c r="H133" s="21">
        <v>45753</v>
      </c>
      <c r="I133" s="32">
        <f>IFERROR(VLOOKUP(TA[[#This Row],[Date]],Raw_Data[[Date]:[Sunset Time (POA&lt;20 W/m2)]],3,0),"")</f>
        <v>0.27013888888888887</v>
      </c>
      <c r="J133" s="32">
        <f>IFERROR(VLOOKUP(TA[[#This Row],[Date]],Raw_Data[[Date]:[Sunset Time (POA&lt;20 W/m2)]],4,0),"")</f>
        <v>0.76458333333333328</v>
      </c>
      <c r="K133" s="27">
        <f>IFERROR((TA[[#This Row],[Sunset Time (POA&lt;20 W/m2)]]-TA[[#This Row],[Sunrise Time (POA&gt;20 W/m2)]])*24,"")</f>
        <v>11.866666666666665</v>
      </c>
      <c r="L133" s="2" t="s">
        <v>287</v>
      </c>
      <c r="M133" s="33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314</v>
      </c>
      <c r="Q133" s="2" t="s">
        <v>320</v>
      </c>
      <c r="R133">
        <v>45</v>
      </c>
      <c r="S133" s="2">
        <v>8</v>
      </c>
      <c r="T133" t="s">
        <v>288</v>
      </c>
      <c r="U133" t="s">
        <v>317</v>
      </c>
      <c r="V133" t="s">
        <v>292</v>
      </c>
      <c r="W133" s="32">
        <f>IFERROR(VLOOKUP(TA[[#This Row],[Date]],Raw_Data[[Date]:[Sunset Time (POA&lt;20 W/m2)]],3,0),"")</f>
        <v>0.27013888888888887</v>
      </c>
      <c r="X133" s="32">
        <f>IFERROR(VLOOKUP(TA[[#This Row],[Date]],Raw_Data[[Date]:[Sunset Time (POA&lt;20 W/m2)]],3,0),"")</f>
        <v>0.27013888888888887</v>
      </c>
      <c r="Y133" s="26"/>
      <c r="Z133" s="26">
        <v>0.76041666666666663</v>
      </c>
      <c r="AA133" s="27">
        <f>IF(TA[[#This Row],[Work Start time on Fault]]="NA","",(TA[[#This Row],[Fault Acknowledgement Time ]]-TA[[#This Row],[Fault Time]])*24)</f>
        <v>0</v>
      </c>
      <c r="AB133" s="27">
        <f>(TA[[#This Row],[Work Start time on Fault]]-TA[[#This Row],[Fault Time]])*24</f>
        <v>-6.4833333333333325</v>
      </c>
      <c r="AC133" s="26">
        <f>(TA[[#This Row],[Work Completion time on fault]]-TA[[#This Row],[Fault Time]])*24</f>
        <v>11.766666666666666</v>
      </c>
      <c r="AD133" s="27">
        <f>IFERROR((TA[[#This Row],[Work Completion time on fault]]-TA[[#This Row],[Fault Time]])*24,"")</f>
        <v>11.766666666666666</v>
      </c>
      <c r="AE133" t="s">
        <v>300</v>
      </c>
      <c r="AF133" t="s">
        <v>247</v>
      </c>
      <c r="AG133" s="2"/>
      <c r="AH133" s="35">
        <f>1-COS(RADIANS(TA[[#This Row],[Avg. Target Angle during Fault Time (Radians)]]-TA[[#This Row],[Angle of affected equipment ]]))</f>
        <v>0.11705240714107301</v>
      </c>
      <c r="AI133" s="27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43">
        <f t="shared" si="8"/>
        <v>2026</v>
      </c>
      <c r="C134" s="116">
        <f t="shared" si="9"/>
        <v>2025</v>
      </c>
      <c r="D134" s="2" t="s">
        <v>155</v>
      </c>
      <c r="E134" s="2" t="s">
        <v>155</v>
      </c>
      <c r="F134" s="30">
        <v>45748</v>
      </c>
      <c r="G134" s="2">
        <f>DAY(EOMONTH(TA[[#This Row],[Month Year]],0))</f>
        <v>30</v>
      </c>
      <c r="H134" s="21">
        <v>45753</v>
      </c>
      <c r="I134" s="32">
        <f>IFERROR(VLOOKUP(TA[[#This Row],[Date]],Raw_Data[[Date]:[Sunset Time (POA&lt;20 W/m2)]],3,0),"")</f>
        <v>0.27013888888888887</v>
      </c>
      <c r="J134" s="32">
        <f>IFERROR(VLOOKUP(TA[[#This Row],[Date]],Raw_Data[[Date]:[Sunset Time (POA&lt;20 W/m2)]],4,0),"")</f>
        <v>0.76458333333333328</v>
      </c>
      <c r="K134" s="27">
        <f>IFERROR((TA[[#This Row],[Sunset Time (POA&lt;20 W/m2)]]-TA[[#This Row],[Sunrise Time (POA&gt;20 W/m2)]])*24,"")</f>
        <v>11.866666666666665</v>
      </c>
      <c r="L134" s="2" t="s">
        <v>287</v>
      </c>
      <c r="M134" s="33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314</v>
      </c>
      <c r="Q134" s="2" t="s">
        <v>320</v>
      </c>
      <c r="R134">
        <v>47</v>
      </c>
      <c r="S134" s="2">
        <v>18</v>
      </c>
      <c r="T134" t="s">
        <v>288</v>
      </c>
      <c r="U134" t="s">
        <v>317</v>
      </c>
      <c r="V134" t="s">
        <v>292</v>
      </c>
      <c r="W134" s="32">
        <f>IFERROR(VLOOKUP(TA[[#This Row],[Date]],Raw_Data[[Date]:[Sunset Time (POA&lt;20 W/m2)]],3,0),"")</f>
        <v>0.27013888888888887</v>
      </c>
      <c r="X134" s="32">
        <f>IFERROR(VLOOKUP(TA[[#This Row],[Date]],Raw_Data[[Date]:[Sunset Time (POA&lt;20 W/m2)]],3,0),"")</f>
        <v>0.27013888888888887</v>
      </c>
      <c r="Y134" s="26"/>
      <c r="Z134" s="26">
        <v>0.76041666666666663</v>
      </c>
      <c r="AA134" s="27">
        <f>IF(TA[[#This Row],[Work Start time on Fault]]="NA","",(TA[[#This Row],[Fault Acknowledgement Time ]]-TA[[#This Row],[Fault Time]])*24)</f>
        <v>0</v>
      </c>
      <c r="AB134" s="27">
        <f>(TA[[#This Row],[Work Start time on Fault]]-TA[[#This Row],[Fault Time]])*24</f>
        <v>-6.4833333333333325</v>
      </c>
      <c r="AC134" s="26">
        <f>(TA[[#This Row],[Work Completion time on fault]]-TA[[#This Row],[Fault Time]])*24</f>
        <v>11.766666666666666</v>
      </c>
      <c r="AD134" s="27">
        <f>IFERROR((TA[[#This Row],[Work Completion time on fault]]-TA[[#This Row],[Fault Time]])*24,"")</f>
        <v>11.766666666666666</v>
      </c>
      <c r="AE134" t="s">
        <v>300</v>
      </c>
      <c r="AF134" t="s">
        <v>247</v>
      </c>
      <c r="AG134" s="2"/>
      <c r="AH134" s="35">
        <f>1-COS(RADIANS(TA[[#This Row],[Avg. Target Angle during Fault Time (Radians)]]-TA[[#This Row],[Angle of affected equipment ]]))</f>
        <v>0.11705240714107301</v>
      </c>
      <c r="AI134" s="27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43">
        <f t="shared" si="8"/>
        <v>2026</v>
      </c>
      <c r="C135" s="116">
        <f t="shared" si="9"/>
        <v>2025</v>
      </c>
      <c r="D135" s="2" t="s">
        <v>155</v>
      </c>
      <c r="E135" s="2" t="s">
        <v>155</v>
      </c>
      <c r="F135" s="30">
        <v>45748</v>
      </c>
      <c r="G135" s="2">
        <f>DAY(EOMONTH(TA[[#This Row],[Month Year]],0))</f>
        <v>30</v>
      </c>
      <c r="H135" s="21">
        <v>45753</v>
      </c>
      <c r="I135" s="32">
        <f>IFERROR(VLOOKUP(TA[[#This Row],[Date]],Raw_Data[[Date]:[Sunset Time (POA&lt;20 W/m2)]],3,0),"")</f>
        <v>0.27013888888888887</v>
      </c>
      <c r="J135" s="32">
        <f>IFERROR(VLOOKUP(TA[[#This Row],[Date]],Raw_Data[[Date]:[Sunset Time (POA&lt;20 W/m2)]],4,0),"")</f>
        <v>0.76458333333333328</v>
      </c>
      <c r="K135" s="27">
        <f>IFERROR((TA[[#This Row],[Sunset Time (POA&lt;20 W/m2)]]-TA[[#This Row],[Sunrise Time (POA&gt;20 W/m2)]])*24,"")</f>
        <v>11.866666666666665</v>
      </c>
      <c r="L135" s="2" t="s">
        <v>287</v>
      </c>
      <c r="M135" s="33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321</v>
      </c>
      <c r="Q135" s="2" t="s">
        <v>314</v>
      </c>
      <c r="R135">
        <v>30</v>
      </c>
      <c r="S135" s="2">
        <v>57</v>
      </c>
      <c r="T135" t="s">
        <v>288</v>
      </c>
      <c r="U135" t="s">
        <v>317</v>
      </c>
      <c r="V135" t="s">
        <v>292</v>
      </c>
      <c r="W135" s="32">
        <f>IFERROR(VLOOKUP(TA[[#This Row],[Date]],Raw_Data[[Date]:[Sunset Time (POA&lt;20 W/m2)]],3,0),"")</f>
        <v>0.27013888888888887</v>
      </c>
      <c r="X135" s="32">
        <f>IFERROR(VLOOKUP(TA[[#This Row],[Date]],Raw_Data[[Date]:[Sunset Time (POA&lt;20 W/m2)]],3,0),"")</f>
        <v>0.27013888888888887</v>
      </c>
      <c r="Y135" s="26"/>
      <c r="Z135" s="26">
        <v>0.76041666666666663</v>
      </c>
      <c r="AA135" s="27">
        <f>IF(TA[[#This Row],[Work Start time on Fault]]="NA","",(TA[[#This Row],[Fault Acknowledgement Time ]]-TA[[#This Row],[Fault Time]])*24)</f>
        <v>0</v>
      </c>
      <c r="AB135" s="27">
        <f>(TA[[#This Row],[Work Start time on Fault]]-TA[[#This Row],[Fault Time]])*24</f>
        <v>-6.4833333333333325</v>
      </c>
      <c r="AC135" s="26">
        <f>(TA[[#This Row],[Work Completion time on fault]]-TA[[#This Row],[Fault Time]])*24</f>
        <v>11.766666666666666</v>
      </c>
      <c r="AD135" s="27">
        <f>IFERROR((TA[[#This Row],[Work Completion time on fault]]-TA[[#This Row],[Fault Time]])*24,"")</f>
        <v>11.766666666666666</v>
      </c>
      <c r="AE135" t="s">
        <v>300</v>
      </c>
      <c r="AF135" t="s">
        <v>247</v>
      </c>
      <c r="AG135" s="2"/>
      <c r="AH135" s="35">
        <f>1-COS(RADIANS(TA[[#This Row],[Avg. Target Angle during Fault Time (Radians)]]-TA[[#This Row],[Angle of affected equipment ]]))</f>
        <v>0.11705240714107301</v>
      </c>
      <c r="AI135" s="27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43">
        <f t="shared" si="8"/>
        <v>2026</v>
      </c>
      <c r="C136" s="116">
        <f t="shared" si="9"/>
        <v>2025</v>
      </c>
      <c r="D136" s="2" t="s">
        <v>155</v>
      </c>
      <c r="E136" s="2" t="s">
        <v>155</v>
      </c>
      <c r="F136" s="30">
        <v>45748</v>
      </c>
      <c r="G136" s="2">
        <f>DAY(EOMONTH(TA[[#This Row],[Month Year]],0))</f>
        <v>30</v>
      </c>
      <c r="H136" s="21">
        <v>45753</v>
      </c>
      <c r="I136" s="32">
        <f>IFERROR(VLOOKUP(TA[[#This Row],[Date]],Raw_Data[[Date]:[Sunset Time (POA&lt;20 W/m2)]],3,0),"")</f>
        <v>0.27013888888888887</v>
      </c>
      <c r="J136" s="32">
        <f>IFERROR(VLOOKUP(TA[[#This Row],[Date]],Raw_Data[[Date]:[Sunset Time (POA&lt;20 W/m2)]],4,0),"")</f>
        <v>0.76458333333333328</v>
      </c>
      <c r="K136" s="27">
        <f>IFERROR((TA[[#This Row],[Sunset Time (POA&lt;20 W/m2)]]-TA[[#This Row],[Sunrise Time (POA&gt;20 W/m2)]])*24,"")</f>
        <v>11.866666666666665</v>
      </c>
      <c r="L136" s="2" t="s">
        <v>287</v>
      </c>
      <c r="M136" s="33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321</v>
      </c>
      <c r="Q136" s="2" t="s">
        <v>314</v>
      </c>
      <c r="R136">
        <v>31</v>
      </c>
      <c r="S136" s="2">
        <v>61</v>
      </c>
      <c r="T136" t="s">
        <v>288</v>
      </c>
      <c r="U136" t="s">
        <v>317</v>
      </c>
      <c r="V136" t="s">
        <v>292</v>
      </c>
      <c r="W136" s="32">
        <f>IFERROR(VLOOKUP(TA[[#This Row],[Date]],Raw_Data[[Date]:[Sunset Time (POA&lt;20 W/m2)]],3,0),"")</f>
        <v>0.27013888888888887</v>
      </c>
      <c r="X136" s="32">
        <f>IFERROR(VLOOKUP(TA[[#This Row],[Date]],Raw_Data[[Date]:[Sunset Time (POA&lt;20 W/m2)]],3,0),"")</f>
        <v>0.27013888888888887</v>
      </c>
      <c r="Y136" s="26"/>
      <c r="Z136" s="26">
        <v>0.76041666666666663</v>
      </c>
      <c r="AA136" s="27">
        <f>IF(TA[[#This Row],[Work Start time on Fault]]="NA","",(TA[[#This Row],[Fault Acknowledgement Time ]]-TA[[#This Row],[Fault Time]])*24)</f>
        <v>0</v>
      </c>
      <c r="AB136" s="27">
        <f>(TA[[#This Row],[Work Start time on Fault]]-TA[[#This Row],[Fault Time]])*24</f>
        <v>-6.4833333333333325</v>
      </c>
      <c r="AC136" s="26">
        <f>(TA[[#This Row],[Work Completion time on fault]]-TA[[#This Row],[Fault Time]])*24</f>
        <v>11.766666666666666</v>
      </c>
      <c r="AD136" s="27">
        <f>IFERROR((TA[[#This Row],[Work Completion time on fault]]-TA[[#This Row],[Fault Time]])*24,"")</f>
        <v>11.766666666666666</v>
      </c>
      <c r="AE136" t="s">
        <v>300</v>
      </c>
      <c r="AF136" t="s">
        <v>247</v>
      </c>
      <c r="AG136" s="2"/>
      <c r="AH136" s="35">
        <f>1-COS(RADIANS(TA[[#This Row],[Avg. Target Angle during Fault Time (Radians)]]-TA[[#This Row],[Angle of affected equipment ]]))</f>
        <v>0.11705240714107301</v>
      </c>
      <c r="AI136" s="27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43">
        <f t="shared" si="8"/>
        <v>2026</v>
      </c>
      <c r="C137" s="116">
        <f t="shared" si="9"/>
        <v>2025</v>
      </c>
      <c r="D137" s="2" t="s">
        <v>155</v>
      </c>
      <c r="E137" s="2" t="s">
        <v>155</v>
      </c>
      <c r="F137" s="30">
        <v>45748</v>
      </c>
      <c r="G137" s="2">
        <f>DAY(EOMONTH(TA[[#This Row],[Month Year]],0))</f>
        <v>30</v>
      </c>
      <c r="H137" s="21">
        <v>45753</v>
      </c>
      <c r="I137" s="32">
        <f>IFERROR(VLOOKUP(TA[[#This Row],[Date]],Raw_Data[[Date]:[Sunset Time (POA&lt;20 W/m2)]],3,0),"")</f>
        <v>0.27013888888888887</v>
      </c>
      <c r="J137" s="32">
        <f>IFERROR(VLOOKUP(TA[[#This Row],[Date]],Raw_Data[[Date]:[Sunset Time (POA&lt;20 W/m2)]],4,0),"")</f>
        <v>0.76458333333333328</v>
      </c>
      <c r="K137" s="27">
        <f>IFERROR((TA[[#This Row],[Sunset Time (POA&lt;20 W/m2)]]-TA[[#This Row],[Sunrise Time (POA&gt;20 W/m2)]])*24,"")</f>
        <v>11.866666666666665</v>
      </c>
      <c r="L137" s="2" t="s">
        <v>303</v>
      </c>
      <c r="M137" s="33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321</v>
      </c>
      <c r="Q137" s="2" t="s">
        <v>314</v>
      </c>
      <c r="R137">
        <v>26</v>
      </c>
      <c r="S137" s="2">
        <v>37</v>
      </c>
      <c r="T137" t="s">
        <v>288</v>
      </c>
      <c r="U137" t="s">
        <v>317</v>
      </c>
      <c r="V137" t="s">
        <v>292</v>
      </c>
      <c r="W137" s="32">
        <f>IFERROR(VLOOKUP(TA[[#This Row],[Date]],Raw_Data[[Date]:[Sunset Time (POA&lt;20 W/m2)]],3,0),"")</f>
        <v>0.27013888888888887</v>
      </c>
      <c r="X137" s="32">
        <f>IFERROR(VLOOKUP(TA[[#This Row],[Date]],Raw_Data[[Date]:[Sunset Time (POA&lt;20 W/m2)]],3,0),"")</f>
        <v>0.27013888888888887</v>
      </c>
      <c r="Y137" s="26"/>
      <c r="Z137" s="26">
        <v>0.76041666666666663</v>
      </c>
      <c r="AA137" s="27">
        <f>IF(TA[[#This Row],[Work Start time on Fault]]="NA","",(TA[[#This Row],[Fault Acknowledgement Time ]]-TA[[#This Row],[Fault Time]])*24)</f>
        <v>0</v>
      </c>
      <c r="AB137" s="27">
        <f>(TA[[#This Row],[Work Start time on Fault]]-TA[[#This Row],[Fault Time]])*24</f>
        <v>-6.4833333333333325</v>
      </c>
      <c r="AC137" s="26">
        <f>(TA[[#This Row],[Work Completion time on fault]]-TA[[#This Row],[Fault Time]])*24</f>
        <v>11.766666666666666</v>
      </c>
      <c r="AD137" s="27">
        <f>IFERROR((TA[[#This Row],[Work Completion time on fault]]-TA[[#This Row],[Fault Time]])*24,"")</f>
        <v>11.766666666666666</v>
      </c>
      <c r="AE137" t="s">
        <v>300</v>
      </c>
      <c r="AF137" t="s">
        <v>247</v>
      </c>
      <c r="AG137" s="2"/>
      <c r="AH137" s="35">
        <f>1-COS(RADIANS(TA[[#This Row],[Avg. Target Angle during Fault Time (Radians)]]-TA[[#This Row],[Angle of affected equipment ]]))</f>
        <v>0.11705240714107301</v>
      </c>
      <c r="AI137" s="27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43">
        <f t="shared" si="8"/>
        <v>2026</v>
      </c>
      <c r="C138" s="116">
        <f t="shared" si="9"/>
        <v>2025</v>
      </c>
      <c r="D138" s="2" t="s">
        <v>155</v>
      </c>
      <c r="E138" s="2" t="s">
        <v>155</v>
      </c>
      <c r="F138" s="30">
        <v>45748</v>
      </c>
      <c r="G138" s="2">
        <f>DAY(EOMONTH(TA[[#This Row],[Month Year]],0))</f>
        <v>30</v>
      </c>
      <c r="H138" s="21">
        <v>45753</v>
      </c>
      <c r="I138" s="32">
        <f>IFERROR(VLOOKUP(TA[[#This Row],[Date]],Raw_Data[[Date]:[Sunset Time (POA&lt;20 W/m2)]],3,0),"")</f>
        <v>0.27013888888888887</v>
      </c>
      <c r="J138" s="32">
        <f>IFERROR(VLOOKUP(TA[[#This Row],[Date]],Raw_Data[[Date]:[Sunset Time (POA&lt;20 W/m2)]],4,0),"")</f>
        <v>0.76458333333333328</v>
      </c>
      <c r="K138" s="27">
        <f>IFERROR((TA[[#This Row],[Sunset Time (POA&lt;20 W/m2)]]-TA[[#This Row],[Sunrise Time (POA&gt;20 W/m2)]])*24,"")</f>
        <v>11.866666666666665</v>
      </c>
      <c r="L138" s="2" t="s">
        <v>303</v>
      </c>
      <c r="M138" s="33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321</v>
      </c>
      <c r="Q138" s="2" t="s">
        <v>314</v>
      </c>
      <c r="R138">
        <v>27</v>
      </c>
      <c r="S138" s="2">
        <v>42</v>
      </c>
      <c r="T138" t="s">
        <v>288</v>
      </c>
      <c r="U138" t="s">
        <v>317</v>
      </c>
      <c r="V138" t="s">
        <v>292</v>
      </c>
      <c r="W138" s="32">
        <f>IFERROR(VLOOKUP(TA[[#This Row],[Date]],Raw_Data[[Date]:[Sunset Time (POA&lt;20 W/m2)]],3,0),"")</f>
        <v>0.27013888888888887</v>
      </c>
      <c r="X138" s="32">
        <f>IFERROR(VLOOKUP(TA[[#This Row],[Date]],Raw_Data[[Date]:[Sunset Time (POA&lt;20 W/m2)]],3,0),"")</f>
        <v>0.27013888888888887</v>
      </c>
      <c r="Y138" s="26"/>
      <c r="Z138" s="26">
        <v>0.76041666666666663</v>
      </c>
      <c r="AA138" s="27">
        <f>IF(TA[[#This Row],[Work Start time on Fault]]="NA","",(TA[[#This Row],[Fault Acknowledgement Time ]]-TA[[#This Row],[Fault Time]])*24)</f>
        <v>0</v>
      </c>
      <c r="AB138" s="27">
        <f>(TA[[#This Row],[Work Start time on Fault]]-TA[[#This Row],[Fault Time]])*24</f>
        <v>-6.4833333333333325</v>
      </c>
      <c r="AC138" s="26">
        <f>(TA[[#This Row],[Work Completion time on fault]]-TA[[#This Row],[Fault Time]])*24</f>
        <v>11.766666666666666</v>
      </c>
      <c r="AD138" s="27">
        <f>IFERROR((TA[[#This Row],[Work Completion time on fault]]-TA[[#This Row],[Fault Time]])*24,"")</f>
        <v>11.766666666666666</v>
      </c>
      <c r="AE138" t="s">
        <v>300</v>
      </c>
      <c r="AF138" t="s">
        <v>247</v>
      </c>
      <c r="AG138" s="2"/>
      <c r="AH138" s="35">
        <f>1-COS(RADIANS(TA[[#This Row],[Avg. Target Angle during Fault Time (Radians)]]-TA[[#This Row],[Angle of affected equipment ]]))</f>
        <v>0.11705240714107301</v>
      </c>
      <c r="AI138" s="27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43">
        <f t="shared" si="8"/>
        <v>2026</v>
      </c>
      <c r="C139" s="116">
        <f t="shared" si="9"/>
        <v>2025</v>
      </c>
      <c r="D139" s="2" t="s">
        <v>155</v>
      </c>
      <c r="E139" s="2" t="s">
        <v>155</v>
      </c>
      <c r="F139" s="30">
        <v>45748</v>
      </c>
      <c r="G139" s="2">
        <f>DAY(EOMONTH(TA[[#This Row],[Month Year]],0))</f>
        <v>30</v>
      </c>
      <c r="H139" s="21">
        <v>45754</v>
      </c>
      <c r="I139" s="32">
        <f>IFERROR(VLOOKUP(TA[[#This Row],[Date]],Raw_Data[[Date]:[Sunset Time (POA&lt;20 W/m2)]],3,0),"")</f>
        <v>0.2638888888888889</v>
      </c>
      <c r="J139" s="32">
        <f>IFERROR(VLOOKUP(TA[[#This Row],[Date]],Raw_Data[[Date]:[Sunset Time (POA&lt;20 W/m2)]],4,0),"")</f>
        <v>0.7631944444444444</v>
      </c>
      <c r="K139" s="27">
        <f>IFERROR((TA[[#This Row],[Sunset Time (POA&lt;20 W/m2)]]-TA[[#This Row],[Sunrise Time (POA&gt;20 W/m2)]])*24,"")</f>
        <v>11.983333333333333</v>
      </c>
      <c r="L139" s="2" t="s">
        <v>285</v>
      </c>
      <c r="M139" s="33">
        <f>IFERROR(VLOOKUP(TA[[#This Row],[Affected Equipment]],'Basic Data'!$I$2:$K$40,3,0),"")</f>
        <v>1.7241379310344799E-3</v>
      </c>
      <c r="N139">
        <v>-28</v>
      </c>
      <c r="O139" t="s">
        <v>135</v>
      </c>
      <c r="P139" s="114" t="s">
        <v>309</v>
      </c>
      <c r="Q139" s="113" t="s">
        <v>309</v>
      </c>
      <c r="R139">
        <v>130</v>
      </c>
      <c r="S139" s="2">
        <v>36</v>
      </c>
      <c r="T139" t="s">
        <v>286</v>
      </c>
      <c r="U139" t="s">
        <v>291</v>
      </c>
      <c r="V139" t="s">
        <v>289</v>
      </c>
      <c r="W139" s="32"/>
      <c r="X139" s="32"/>
      <c r="Y139" s="26"/>
      <c r="Z139" s="26"/>
      <c r="AA139" s="27">
        <f>IF(TA[[#This Row],[Work Start time on Fault]]="NA","",(TA[[#This Row],[Fault Acknowledgement Time ]]-TA[[#This Row],[Fault Time]])*24)</f>
        <v>0</v>
      </c>
      <c r="AB139" s="27">
        <f>(TA[[#This Row],[Work Start time on Fault]]-TA[[#This Row],[Fault Time]])*24</f>
        <v>0</v>
      </c>
      <c r="AC139" s="26">
        <f>(TA[[#This Row],[Work Completion time on fault]]-TA[[#This Row],[Fault Time]])*24</f>
        <v>0</v>
      </c>
      <c r="AD139" s="27">
        <f>IFERROR((TA[[#This Row],[Work Completion time on fault]]-TA[[#This Row],[Fault Time]])*24,"")</f>
        <v>0</v>
      </c>
      <c r="AE139" t="s">
        <v>319</v>
      </c>
      <c r="AF139" t="s">
        <v>247</v>
      </c>
      <c r="AG139" s="2"/>
      <c r="AH139" s="35">
        <f>1-COS(RADIANS(TA[[#This Row],[Avg. Target Angle during Fault Time (Radians)]]-TA[[#This Row],[Angle of affected equipment ]]))</f>
        <v>0.11705240714107301</v>
      </c>
      <c r="AI139" s="27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43">
        <f t="shared" si="8"/>
        <v>2026</v>
      </c>
      <c r="C140" s="116">
        <f t="shared" si="9"/>
        <v>2025</v>
      </c>
      <c r="D140" s="2" t="s">
        <v>155</v>
      </c>
      <c r="E140" s="2" t="s">
        <v>155</v>
      </c>
      <c r="F140" s="30">
        <v>45748</v>
      </c>
      <c r="G140" s="2">
        <f>DAY(EOMONTH(TA[[#This Row],[Month Year]],0))</f>
        <v>30</v>
      </c>
      <c r="H140" s="21">
        <v>45754</v>
      </c>
      <c r="I140" s="32">
        <f>IFERROR(VLOOKUP(TA[[#This Row],[Date]],Raw_Data[[Date]:[Sunset Time (POA&lt;20 W/m2)]],3,0),"")</f>
        <v>0.2638888888888889</v>
      </c>
      <c r="J140" s="32">
        <f>IFERROR(VLOOKUP(TA[[#This Row],[Date]],Raw_Data[[Date]:[Sunset Time (POA&lt;20 W/m2)]],4,0),"")</f>
        <v>0.7631944444444444</v>
      </c>
      <c r="K140" s="27">
        <f>IFERROR((TA[[#This Row],[Sunset Time (POA&lt;20 W/m2)]]-TA[[#This Row],[Sunrise Time (POA&gt;20 W/m2)]])*24,"")</f>
        <v>11.983333333333333</v>
      </c>
      <c r="L140" s="2" t="s">
        <v>285</v>
      </c>
      <c r="M140" s="33">
        <f>IFERROR(VLOOKUP(TA[[#This Row],[Affected Equipment]],'Basic Data'!$I$2:$K$40,3,0),"")</f>
        <v>1.7241379310344799E-3</v>
      </c>
      <c r="N140">
        <v>-28</v>
      </c>
      <c r="O140" t="s">
        <v>135</v>
      </c>
      <c r="P140" s="114" t="s">
        <v>309</v>
      </c>
      <c r="Q140" s="113" t="s">
        <v>309</v>
      </c>
      <c r="R140">
        <v>130</v>
      </c>
      <c r="S140" s="2">
        <v>37</v>
      </c>
      <c r="T140" t="s">
        <v>286</v>
      </c>
      <c r="U140" t="s">
        <v>291</v>
      </c>
      <c r="V140" t="s">
        <v>289</v>
      </c>
      <c r="W140" s="32"/>
      <c r="X140" s="32"/>
      <c r="Y140" s="26"/>
      <c r="Z140" s="26"/>
      <c r="AA140" s="27">
        <f>IF(TA[[#This Row],[Work Start time on Fault]]="NA","",(TA[[#This Row],[Fault Acknowledgement Time ]]-TA[[#This Row],[Fault Time]])*24)</f>
        <v>0</v>
      </c>
      <c r="AB140" s="27">
        <f>(TA[[#This Row],[Work Start time on Fault]]-TA[[#This Row],[Fault Time]])*24</f>
        <v>0</v>
      </c>
      <c r="AC140" s="26">
        <f>(TA[[#This Row],[Work Completion time on fault]]-TA[[#This Row],[Fault Time]])*24</f>
        <v>0</v>
      </c>
      <c r="AD140" s="27">
        <f>IFERROR((TA[[#This Row],[Work Completion time on fault]]-TA[[#This Row],[Fault Time]])*24,"")</f>
        <v>0</v>
      </c>
      <c r="AE140" t="s">
        <v>319</v>
      </c>
      <c r="AF140" t="s">
        <v>247</v>
      </c>
      <c r="AG140" s="2"/>
      <c r="AH140" s="35">
        <f>1-COS(RADIANS(TA[[#This Row],[Avg. Target Angle during Fault Time (Radians)]]-TA[[#This Row],[Angle of affected equipment ]]))</f>
        <v>0.11705240714107301</v>
      </c>
      <c r="AI140" s="27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43">
        <f t="shared" si="8"/>
        <v>2026</v>
      </c>
      <c r="C141" s="116">
        <f t="shared" si="9"/>
        <v>2025</v>
      </c>
      <c r="D141" s="2" t="s">
        <v>155</v>
      </c>
      <c r="E141" s="2" t="s">
        <v>155</v>
      </c>
      <c r="F141" s="30">
        <v>45748</v>
      </c>
      <c r="G141" s="2">
        <f>DAY(EOMONTH(TA[[#This Row],[Month Year]],0))</f>
        <v>30</v>
      </c>
      <c r="H141" s="21">
        <v>45754</v>
      </c>
      <c r="I141" s="32">
        <f>IFERROR(VLOOKUP(TA[[#This Row],[Date]],Raw_Data[[Date]:[Sunset Time (POA&lt;20 W/m2)]],3,0),"")</f>
        <v>0.2638888888888889</v>
      </c>
      <c r="J141" s="32">
        <f>IFERROR(VLOOKUP(TA[[#This Row],[Date]],Raw_Data[[Date]:[Sunset Time (POA&lt;20 W/m2)]],4,0),"")</f>
        <v>0.7631944444444444</v>
      </c>
      <c r="K141" s="27">
        <f>IFERROR((TA[[#This Row],[Sunset Time (POA&lt;20 W/m2)]]-TA[[#This Row],[Sunrise Time (POA&gt;20 W/m2)]])*24,"")</f>
        <v>11.983333333333333</v>
      </c>
      <c r="L141" s="2" t="s">
        <v>285</v>
      </c>
      <c r="M141" s="33">
        <f>IFERROR(VLOOKUP(TA[[#This Row],[Affected Equipment]],'Basic Data'!$I$2:$K$40,3,0),"")</f>
        <v>1.7241379310344799E-3</v>
      </c>
      <c r="N141">
        <v>-28</v>
      </c>
      <c r="O141" t="s">
        <v>135</v>
      </c>
      <c r="P141" s="114" t="s">
        <v>309</v>
      </c>
      <c r="Q141" s="113" t="s">
        <v>309</v>
      </c>
      <c r="R141">
        <v>131</v>
      </c>
      <c r="S141" s="2">
        <v>38</v>
      </c>
      <c r="T141" t="s">
        <v>286</v>
      </c>
      <c r="U141" t="s">
        <v>291</v>
      </c>
      <c r="V141" t="s">
        <v>289</v>
      </c>
      <c r="W141" s="32"/>
      <c r="X141" s="32"/>
      <c r="Y141" s="26"/>
      <c r="Z141" s="26"/>
      <c r="AA141" s="27">
        <f>IF(TA[[#This Row],[Work Start time on Fault]]="NA","",(TA[[#This Row],[Fault Acknowledgement Time ]]-TA[[#This Row],[Fault Time]])*24)</f>
        <v>0</v>
      </c>
      <c r="AB141" s="27">
        <f>(TA[[#This Row],[Work Start time on Fault]]-TA[[#This Row],[Fault Time]])*24</f>
        <v>0</v>
      </c>
      <c r="AC141" s="26">
        <f>(TA[[#This Row],[Work Completion time on fault]]-TA[[#This Row],[Fault Time]])*24</f>
        <v>0</v>
      </c>
      <c r="AD141" s="27">
        <f>IFERROR((TA[[#This Row],[Work Completion time on fault]]-TA[[#This Row],[Fault Time]])*24,"")</f>
        <v>0</v>
      </c>
      <c r="AE141" t="s">
        <v>319</v>
      </c>
      <c r="AF141" t="s">
        <v>247</v>
      </c>
      <c r="AG141" s="2"/>
      <c r="AH141" s="35">
        <f>1-COS(RADIANS(TA[[#This Row],[Avg. Target Angle during Fault Time (Radians)]]-TA[[#This Row],[Angle of affected equipment ]]))</f>
        <v>0.11705240714107301</v>
      </c>
      <c r="AI141" s="27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43">
        <f t="shared" si="8"/>
        <v>2026</v>
      </c>
      <c r="C142" s="116">
        <f t="shared" si="9"/>
        <v>2025</v>
      </c>
      <c r="D142" s="2" t="s">
        <v>155</v>
      </c>
      <c r="E142" s="2" t="s">
        <v>155</v>
      </c>
      <c r="F142" s="30">
        <v>45748</v>
      </c>
      <c r="G142" s="2">
        <f>DAY(EOMONTH(TA[[#This Row],[Month Year]],0))</f>
        <v>30</v>
      </c>
      <c r="H142" s="21">
        <v>45754</v>
      </c>
      <c r="I142" s="32">
        <f>IFERROR(VLOOKUP(TA[[#This Row],[Date]],Raw_Data[[Date]:[Sunset Time (POA&lt;20 W/m2)]],3,0),"")</f>
        <v>0.2638888888888889</v>
      </c>
      <c r="J142" s="32">
        <f>IFERROR(VLOOKUP(TA[[#This Row],[Date]],Raw_Data[[Date]:[Sunset Time (POA&lt;20 W/m2)]],4,0),"")</f>
        <v>0.7631944444444444</v>
      </c>
      <c r="K142" s="27">
        <f>IFERROR((TA[[#This Row],[Sunset Time (POA&lt;20 W/m2)]]-TA[[#This Row],[Sunrise Time (POA&gt;20 W/m2)]])*24,"")</f>
        <v>11.983333333333333</v>
      </c>
      <c r="L142" s="2" t="s">
        <v>285</v>
      </c>
      <c r="M142" s="33">
        <f>IFERROR(VLOOKUP(TA[[#This Row],[Affected Equipment]],'Basic Data'!$I$2:$K$40,3,0),"")</f>
        <v>1.7241379310344799E-3</v>
      </c>
      <c r="N142">
        <v>-28</v>
      </c>
      <c r="O142" t="s">
        <v>135</v>
      </c>
      <c r="P142" s="114" t="s">
        <v>309</v>
      </c>
      <c r="Q142" s="113" t="s">
        <v>309</v>
      </c>
      <c r="R142">
        <v>131</v>
      </c>
      <c r="S142" s="2">
        <v>39</v>
      </c>
      <c r="T142" t="s">
        <v>286</v>
      </c>
      <c r="U142" t="s">
        <v>291</v>
      </c>
      <c r="V142" t="s">
        <v>289</v>
      </c>
      <c r="W142" s="32"/>
      <c r="X142" s="32"/>
      <c r="Y142" s="26"/>
      <c r="Z142" s="26"/>
      <c r="AA142" s="27">
        <f>IF(TA[[#This Row],[Work Start time on Fault]]="NA","",(TA[[#This Row],[Fault Acknowledgement Time ]]-TA[[#This Row],[Fault Time]])*24)</f>
        <v>0</v>
      </c>
      <c r="AB142" s="27">
        <f>(TA[[#This Row],[Work Start time on Fault]]-TA[[#This Row],[Fault Time]])*24</f>
        <v>0</v>
      </c>
      <c r="AC142" s="26">
        <f>(TA[[#This Row],[Work Completion time on fault]]-TA[[#This Row],[Fault Time]])*24</f>
        <v>0</v>
      </c>
      <c r="AD142" s="27">
        <f>IFERROR((TA[[#This Row],[Work Completion time on fault]]-TA[[#This Row],[Fault Time]])*24,"")</f>
        <v>0</v>
      </c>
      <c r="AE142" t="s">
        <v>319</v>
      </c>
      <c r="AF142" t="s">
        <v>247</v>
      </c>
      <c r="AG142" s="2"/>
      <c r="AH142" s="35">
        <f>1-COS(RADIANS(TA[[#This Row],[Avg. Target Angle during Fault Time (Radians)]]-TA[[#This Row],[Angle of affected equipment ]]))</f>
        <v>0.11705240714107301</v>
      </c>
      <c r="AI142" s="27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43">
        <f t="shared" si="8"/>
        <v>2026</v>
      </c>
      <c r="C143" s="116">
        <f t="shared" si="9"/>
        <v>2025</v>
      </c>
      <c r="D143" s="2" t="s">
        <v>155</v>
      </c>
      <c r="E143" s="2" t="s">
        <v>155</v>
      </c>
      <c r="F143" s="30">
        <v>45748</v>
      </c>
      <c r="G143" s="2">
        <f>DAY(EOMONTH(TA[[#This Row],[Month Year]],0))</f>
        <v>30</v>
      </c>
      <c r="H143" s="21">
        <v>45754</v>
      </c>
      <c r="I143" s="32">
        <f>IFERROR(VLOOKUP(TA[[#This Row],[Date]],Raw_Data[[Date]:[Sunset Time (POA&lt;20 W/m2)]],3,0),"")</f>
        <v>0.2638888888888889</v>
      </c>
      <c r="J143" s="32">
        <f>IFERROR(VLOOKUP(TA[[#This Row],[Date]],Raw_Data[[Date]:[Sunset Time (POA&lt;20 W/m2)]],4,0),"")</f>
        <v>0.7631944444444444</v>
      </c>
      <c r="K143" s="27">
        <f>IFERROR((TA[[#This Row],[Sunset Time (POA&lt;20 W/m2)]]-TA[[#This Row],[Sunrise Time (POA&gt;20 W/m2)]])*24,"")</f>
        <v>11.983333333333333</v>
      </c>
      <c r="L143" s="2" t="s">
        <v>287</v>
      </c>
      <c r="M143" s="33">
        <f>IFERROR(VLOOKUP(TA[[#This Row],[Affected Equipment]],'Basic Data'!$I$2:$K$40,3,0),"")</f>
        <v>8.6206896551724102E-3</v>
      </c>
      <c r="N143">
        <v>-28</v>
      </c>
      <c r="O143" t="s">
        <v>135</v>
      </c>
      <c r="P143" s="114" t="s">
        <v>309</v>
      </c>
      <c r="Q143" s="2" t="s">
        <v>312</v>
      </c>
      <c r="R143">
        <v>133</v>
      </c>
      <c r="S143" s="2">
        <v>26</v>
      </c>
      <c r="T143" t="s">
        <v>288</v>
      </c>
      <c r="U143" t="s">
        <v>291</v>
      </c>
      <c r="V143" t="s">
        <v>305</v>
      </c>
      <c r="W143" s="32"/>
      <c r="X143" s="32"/>
      <c r="Y143" s="26"/>
      <c r="Z143" s="26"/>
      <c r="AA143" s="27">
        <f>IF(TA[[#This Row],[Work Start time on Fault]]="NA","",(TA[[#This Row],[Fault Acknowledgement Time ]]-TA[[#This Row],[Fault Time]])*24)</f>
        <v>0</v>
      </c>
      <c r="AB143" s="27">
        <f>(TA[[#This Row],[Work Start time on Fault]]-TA[[#This Row],[Fault Time]])*24</f>
        <v>0</v>
      </c>
      <c r="AC143" s="26">
        <f>(TA[[#This Row],[Work Completion time on fault]]-TA[[#This Row],[Fault Time]])*24</f>
        <v>0</v>
      </c>
      <c r="AD143" s="27">
        <f>IFERROR((TA[[#This Row],[Work Completion time on fault]]-TA[[#This Row],[Fault Time]])*24,"")</f>
        <v>0</v>
      </c>
      <c r="AE143" t="s">
        <v>319</v>
      </c>
      <c r="AF143" t="s">
        <v>247</v>
      </c>
      <c r="AG143" s="2"/>
      <c r="AH143" s="35">
        <f>1-COS(RADIANS(TA[[#This Row],[Avg. Target Angle during Fault Time (Radians)]]-TA[[#This Row],[Angle of affected equipment ]]))</f>
        <v>0.11705240714107301</v>
      </c>
      <c r="AI143" s="27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43">
        <f t="shared" si="8"/>
        <v>2026</v>
      </c>
      <c r="C144" s="116">
        <f t="shared" si="9"/>
        <v>2025</v>
      </c>
      <c r="D144" s="2" t="s">
        <v>155</v>
      </c>
      <c r="E144" s="2" t="s">
        <v>155</v>
      </c>
      <c r="F144" s="30">
        <v>45748</v>
      </c>
      <c r="G144" s="2">
        <f>DAY(EOMONTH(TA[[#This Row],[Month Year]],0))</f>
        <v>30</v>
      </c>
      <c r="H144" s="21">
        <v>45754</v>
      </c>
      <c r="I144" s="32">
        <f>IFERROR(VLOOKUP(TA[[#This Row],[Date]],Raw_Data[[Date]:[Sunset Time (POA&lt;20 W/m2)]],3,0),"")</f>
        <v>0.2638888888888889</v>
      </c>
      <c r="J144" s="32">
        <f>IFERROR(VLOOKUP(TA[[#This Row],[Date]],Raw_Data[[Date]:[Sunset Time (POA&lt;20 W/m2)]],4,0),"")</f>
        <v>0.7631944444444444</v>
      </c>
      <c r="K144" s="27">
        <f>IFERROR((TA[[#This Row],[Sunset Time (POA&lt;20 W/m2)]]-TA[[#This Row],[Sunrise Time (POA&gt;20 W/m2)]])*24,"")</f>
        <v>11.983333333333333</v>
      </c>
      <c r="L144" s="2" t="s">
        <v>285</v>
      </c>
      <c r="M144" s="33">
        <f>IFERROR(VLOOKUP(TA[[#This Row],[Affected Equipment]],'Basic Data'!$I$2:$K$40,3,0),"")</f>
        <v>1.7241379310344799E-3</v>
      </c>
      <c r="N144">
        <v>-28</v>
      </c>
      <c r="O144" t="s">
        <v>133</v>
      </c>
      <c r="P144" s="114" t="s">
        <v>307</v>
      </c>
      <c r="Q144" s="113" t="s">
        <v>308</v>
      </c>
      <c r="R144">
        <v>7</v>
      </c>
      <c r="S144" s="2">
        <v>32</v>
      </c>
      <c r="T144" t="s">
        <v>286</v>
      </c>
      <c r="U144" t="s">
        <v>291</v>
      </c>
      <c r="V144" t="s">
        <v>289</v>
      </c>
      <c r="W144" s="32"/>
      <c r="X144" s="32"/>
      <c r="Y144" s="26"/>
      <c r="Z144" s="26"/>
      <c r="AA144" s="27">
        <f>IF(TA[[#This Row],[Work Start time on Fault]]="NA","",(TA[[#This Row],[Fault Acknowledgement Time ]]-TA[[#This Row],[Fault Time]])*24)</f>
        <v>0</v>
      </c>
      <c r="AB144" s="27">
        <f>(TA[[#This Row],[Work Start time on Fault]]-TA[[#This Row],[Fault Time]])*24</f>
        <v>0</v>
      </c>
      <c r="AC144" s="26">
        <f>(TA[[#This Row],[Work Completion time on fault]]-TA[[#This Row],[Fault Time]])*24</f>
        <v>0</v>
      </c>
      <c r="AD144" s="27">
        <f>IFERROR((TA[[#This Row],[Work Completion time on fault]]-TA[[#This Row],[Fault Time]])*24,"")</f>
        <v>0</v>
      </c>
      <c r="AE144" t="s">
        <v>319</v>
      </c>
      <c r="AF144" t="s">
        <v>247</v>
      </c>
      <c r="AG144" s="2"/>
      <c r="AH144" s="35">
        <f>1-COS(RADIANS(TA[[#This Row],[Avg. Target Angle during Fault Time (Radians)]]-TA[[#This Row],[Angle of affected equipment ]]))</f>
        <v>0.11705240714107301</v>
      </c>
      <c r="AI144" s="27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43">
        <f t="shared" si="8"/>
        <v>2026</v>
      </c>
      <c r="C145" s="116">
        <f t="shared" si="9"/>
        <v>2025</v>
      </c>
      <c r="D145" s="2" t="s">
        <v>155</v>
      </c>
      <c r="E145" s="2" t="s">
        <v>155</v>
      </c>
      <c r="F145" s="30">
        <v>45748</v>
      </c>
      <c r="G145" s="2">
        <f>DAY(EOMONTH(TA[[#This Row],[Month Year]],0))</f>
        <v>30</v>
      </c>
      <c r="H145" s="21">
        <v>45754</v>
      </c>
      <c r="I145" s="32">
        <f>IFERROR(VLOOKUP(TA[[#This Row],[Date]],Raw_Data[[Date]:[Sunset Time (POA&lt;20 W/m2)]],3,0),"")</f>
        <v>0.2638888888888889</v>
      </c>
      <c r="J145" s="32">
        <f>IFERROR(VLOOKUP(TA[[#This Row],[Date]],Raw_Data[[Date]:[Sunset Time (POA&lt;20 W/m2)]],4,0),"")</f>
        <v>0.7631944444444444</v>
      </c>
      <c r="K145" s="27">
        <f>IFERROR((TA[[#This Row],[Sunset Time (POA&lt;20 W/m2)]]-TA[[#This Row],[Sunrise Time (POA&gt;20 W/m2)]])*24,"")</f>
        <v>11.983333333333333</v>
      </c>
      <c r="L145" s="2" t="s">
        <v>285</v>
      </c>
      <c r="M145" s="33">
        <f>IFERROR(VLOOKUP(TA[[#This Row],[Affected Equipment]],'Basic Data'!$I$2:$K$40,3,0),"")</f>
        <v>1.7241379310344799E-3</v>
      </c>
      <c r="N145">
        <v>-28</v>
      </c>
      <c r="O145" t="s">
        <v>137</v>
      </c>
      <c r="P145" s="114" t="s">
        <v>306</v>
      </c>
      <c r="Q145" s="113" t="s">
        <v>310</v>
      </c>
      <c r="R145">
        <v>166</v>
      </c>
      <c r="S145" s="2">
        <v>91</v>
      </c>
      <c r="T145" t="s">
        <v>286</v>
      </c>
      <c r="U145" t="s">
        <v>291</v>
      </c>
      <c r="V145" t="s">
        <v>289</v>
      </c>
      <c r="W145" s="32"/>
      <c r="X145" s="32"/>
      <c r="Y145" s="26"/>
      <c r="Z145" s="26"/>
      <c r="AA145" s="27">
        <f>IF(TA[[#This Row],[Work Start time on Fault]]="NA","",(TA[[#This Row],[Fault Acknowledgement Time ]]-TA[[#This Row],[Fault Time]])*24)</f>
        <v>0</v>
      </c>
      <c r="AB145" s="27">
        <f>(TA[[#This Row],[Work Start time on Fault]]-TA[[#This Row],[Fault Time]])*24</f>
        <v>0</v>
      </c>
      <c r="AC145" s="26">
        <f>(TA[[#This Row],[Work Completion time on fault]]-TA[[#This Row],[Fault Time]])*24</f>
        <v>0</v>
      </c>
      <c r="AD145" s="27">
        <f>IFERROR((TA[[#This Row],[Work Completion time on fault]]-TA[[#This Row],[Fault Time]])*24,"")</f>
        <v>0</v>
      </c>
      <c r="AE145" t="s">
        <v>319</v>
      </c>
      <c r="AF145" t="s">
        <v>247</v>
      </c>
      <c r="AG145" s="2"/>
      <c r="AH145" s="35">
        <f>1-COS(RADIANS(TA[[#This Row],[Avg. Target Angle during Fault Time (Radians)]]-TA[[#This Row],[Angle of affected equipment ]]))</f>
        <v>0.11705240714107301</v>
      </c>
      <c r="AI145" s="27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43">
        <f t="shared" si="8"/>
        <v>2026</v>
      </c>
      <c r="C146" s="116">
        <f t="shared" si="9"/>
        <v>2025</v>
      </c>
      <c r="D146" s="2" t="s">
        <v>155</v>
      </c>
      <c r="E146" s="2" t="s">
        <v>155</v>
      </c>
      <c r="F146" s="30">
        <v>45748</v>
      </c>
      <c r="G146" s="2">
        <f>DAY(EOMONTH(TA[[#This Row],[Month Year]],0))</f>
        <v>30</v>
      </c>
      <c r="H146" s="21">
        <v>45754</v>
      </c>
      <c r="I146" s="32">
        <f>IFERROR(VLOOKUP(TA[[#This Row],[Date]],Raw_Data[[Date]:[Sunset Time (POA&lt;20 W/m2)]],3,0),"")</f>
        <v>0.2638888888888889</v>
      </c>
      <c r="J146" s="32">
        <f>IFERROR(VLOOKUP(TA[[#This Row],[Date]],Raw_Data[[Date]:[Sunset Time (POA&lt;20 W/m2)]],4,0),"")</f>
        <v>0.7631944444444444</v>
      </c>
      <c r="K146" s="27">
        <f>IFERROR((TA[[#This Row],[Sunset Time (POA&lt;20 W/m2)]]-TA[[#This Row],[Sunrise Time (POA&gt;20 W/m2)]])*24,"")</f>
        <v>11.983333333333333</v>
      </c>
      <c r="L146" s="2" t="s">
        <v>285</v>
      </c>
      <c r="M146" s="33">
        <f>IFERROR(VLOOKUP(TA[[#This Row],[Affected Equipment]],'Basic Data'!$I$2:$K$40,3,0),"")</f>
        <v>1.7241379310344799E-3</v>
      </c>
      <c r="N146">
        <v>-28</v>
      </c>
      <c r="O146" t="s">
        <v>133</v>
      </c>
      <c r="P146" s="114" t="s">
        <v>307</v>
      </c>
      <c r="Q146" s="113" t="s">
        <v>307</v>
      </c>
      <c r="R146">
        <v>117</v>
      </c>
      <c r="S146" s="2">
        <v>20</v>
      </c>
      <c r="T146" t="s">
        <v>286</v>
      </c>
      <c r="U146" t="s">
        <v>291</v>
      </c>
      <c r="V146" t="s">
        <v>289</v>
      </c>
      <c r="W146" s="32"/>
      <c r="X146" s="32"/>
      <c r="Y146" s="26"/>
      <c r="Z146" s="26"/>
      <c r="AA146" s="27">
        <f>IF(TA[[#This Row],[Work Start time on Fault]]="NA","",(TA[[#This Row],[Fault Acknowledgement Time ]]-TA[[#This Row],[Fault Time]])*24)</f>
        <v>0</v>
      </c>
      <c r="AB146" s="27">
        <f>(TA[[#This Row],[Work Start time on Fault]]-TA[[#This Row],[Fault Time]])*24</f>
        <v>0</v>
      </c>
      <c r="AC146" s="26">
        <f>(TA[[#This Row],[Work Completion time on fault]]-TA[[#This Row],[Fault Time]])*24</f>
        <v>0</v>
      </c>
      <c r="AD146" s="27">
        <f>IFERROR((TA[[#This Row],[Work Completion time on fault]]-TA[[#This Row],[Fault Time]])*24,"")</f>
        <v>0</v>
      </c>
      <c r="AE146" t="s">
        <v>319</v>
      </c>
      <c r="AF146" t="s">
        <v>247</v>
      </c>
      <c r="AG146" s="2"/>
      <c r="AH146" s="35">
        <f>1-COS(RADIANS(TA[[#This Row],[Avg. Target Angle during Fault Time (Radians)]]-TA[[#This Row],[Angle of affected equipment ]]))</f>
        <v>0.11705240714107301</v>
      </c>
      <c r="AI146" s="27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43">
        <f t="shared" si="8"/>
        <v>2026</v>
      </c>
      <c r="C147" s="116">
        <f t="shared" si="9"/>
        <v>2025</v>
      </c>
      <c r="D147" s="2" t="s">
        <v>155</v>
      </c>
      <c r="E147" s="2" t="s">
        <v>155</v>
      </c>
      <c r="F147" s="30">
        <v>45748</v>
      </c>
      <c r="G147" s="2">
        <f>DAY(EOMONTH(TA[[#This Row],[Month Year]],0))</f>
        <v>30</v>
      </c>
      <c r="H147" s="21">
        <v>45754</v>
      </c>
      <c r="I147" s="32">
        <f>IFERROR(VLOOKUP(TA[[#This Row],[Date]],Raw_Data[[Date]:[Sunset Time (POA&lt;20 W/m2)]],3,0),"")</f>
        <v>0.2638888888888889</v>
      </c>
      <c r="J147" s="32">
        <f>IFERROR(VLOOKUP(TA[[#This Row],[Date]],Raw_Data[[Date]:[Sunset Time (POA&lt;20 W/m2)]],4,0),"")</f>
        <v>0.7631944444444444</v>
      </c>
      <c r="K147" s="27">
        <f>IFERROR((TA[[#This Row],[Sunset Time (POA&lt;20 W/m2)]]-TA[[#This Row],[Sunrise Time (POA&gt;20 W/m2)]])*24,"")</f>
        <v>11.983333333333333</v>
      </c>
      <c r="L147" s="2" t="s">
        <v>285</v>
      </c>
      <c r="M147" s="33">
        <f>IFERROR(VLOOKUP(TA[[#This Row],[Affected Equipment]],'Basic Data'!$I$2:$K$40,3,0),"")</f>
        <v>1.7241379310344799E-3</v>
      </c>
      <c r="N147">
        <v>-28</v>
      </c>
      <c r="O147" t="s">
        <v>133</v>
      </c>
      <c r="P147" s="114" t="s">
        <v>307</v>
      </c>
      <c r="Q147" s="113" t="s">
        <v>307</v>
      </c>
      <c r="R147">
        <v>118</v>
      </c>
      <c r="S147" s="2">
        <v>22</v>
      </c>
      <c r="T147" t="s">
        <v>286</v>
      </c>
      <c r="U147" t="s">
        <v>291</v>
      </c>
      <c r="V147" t="s">
        <v>289</v>
      </c>
      <c r="W147" s="32"/>
      <c r="X147" s="32"/>
      <c r="Y147" s="26"/>
      <c r="Z147" s="26"/>
      <c r="AA147" s="27">
        <f>IF(TA[[#This Row],[Work Start time on Fault]]="NA","",(TA[[#This Row],[Fault Acknowledgement Time ]]-TA[[#This Row],[Fault Time]])*24)</f>
        <v>0</v>
      </c>
      <c r="AB147" s="27">
        <f>(TA[[#This Row],[Work Start time on Fault]]-TA[[#This Row],[Fault Time]])*24</f>
        <v>0</v>
      </c>
      <c r="AC147" s="26">
        <f>(TA[[#This Row],[Work Completion time on fault]]-TA[[#This Row],[Fault Time]])*24</f>
        <v>0</v>
      </c>
      <c r="AD147" s="27">
        <f>IFERROR((TA[[#This Row],[Work Completion time on fault]]-TA[[#This Row],[Fault Time]])*24,"")</f>
        <v>0</v>
      </c>
      <c r="AE147" t="s">
        <v>319</v>
      </c>
      <c r="AF147" t="s">
        <v>247</v>
      </c>
      <c r="AG147" s="2"/>
      <c r="AH147" s="35">
        <f>1-COS(RADIANS(TA[[#This Row],[Avg. Target Angle during Fault Time (Radians)]]-TA[[#This Row],[Angle of affected equipment ]]))</f>
        <v>0.11705240714107301</v>
      </c>
      <c r="AI147" s="27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43">
        <f t="shared" si="8"/>
        <v>2026</v>
      </c>
      <c r="C148" s="116">
        <f t="shared" si="9"/>
        <v>2025</v>
      </c>
      <c r="D148" s="2" t="s">
        <v>155</v>
      </c>
      <c r="E148" s="2" t="s">
        <v>155</v>
      </c>
      <c r="F148" s="30">
        <v>45748</v>
      </c>
      <c r="G148" s="2">
        <f>DAY(EOMONTH(TA[[#This Row],[Month Year]],0))</f>
        <v>30</v>
      </c>
      <c r="H148" s="21">
        <v>45754</v>
      </c>
      <c r="I148" s="32">
        <f>IFERROR(VLOOKUP(TA[[#This Row],[Date]],Raw_Data[[Date]:[Sunset Time (POA&lt;20 W/m2)]],3,0),"")</f>
        <v>0.2638888888888889</v>
      </c>
      <c r="J148" s="32">
        <f>IFERROR(VLOOKUP(TA[[#This Row],[Date]],Raw_Data[[Date]:[Sunset Time (POA&lt;20 W/m2)]],4,0),"")</f>
        <v>0.7631944444444444</v>
      </c>
      <c r="K148" s="27">
        <f>IFERROR((TA[[#This Row],[Sunset Time (POA&lt;20 W/m2)]]-TA[[#This Row],[Sunrise Time (POA&gt;20 W/m2)]])*24,"")</f>
        <v>11.983333333333333</v>
      </c>
      <c r="L148" s="2" t="s">
        <v>287</v>
      </c>
      <c r="M148" s="33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314</v>
      </c>
      <c r="Q148" s="2" t="s">
        <v>320</v>
      </c>
      <c r="R148">
        <v>45</v>
      </c>
      <c r="S148" s="2">
        <v>8</v>
      </c>
      <c r="T148" t="s">
        <v>288</v>
      </c>
      <c r="U148" t="s">
        <v>317</v>
      </c>
      <c r="V148" t="s">
        <v>292</v>
      </c>
      <c r="W148" s="32">
        <f>IFERROR(VLOOKUP(TA[[#This Row],[Date]],Raw_Data[[Date]:[Sunset Time (POA&lt;20 W/m2)]],3,0),"")</f>
        <v>0.2638888888888889</v>
      </c>
      <c r="X148" s="32">
        <f>IFERROR(VLOOKUP(TA[[#This Row],[Date]],Raw_Data[[Date]:[Sunset Time (POA&lt;20 W/m2)]],3,0),"")</f>
        <v>0.2638888888888889</v>
      </c>
      <c r="Y148" s="26"/>
      <c r="Z148" s="26">
        <v>0.76041666666666663</v>
      </c>
      <c r="AA148" s="27">
        <f>IF(TA[[#This Row],[Work Start time on Fault]]="NA","",(TA[[#This Row],[Fault Acknowledgement Time ]]-TA[[#This Row],[Fault Time]])*24)</f>
        <v>0</v>
      </c>
      <c r="AB148" s="27">
        <f>(TA[[#This Row],[Work Start time on Fault]]-TA[[#This Row],[Fault Time]])*24</f>
        <v>-6.3333333333333339</v>
      </c>
      <c r="AC148" s="26">
        <f>(TA[[#This Row],[Work Completion time on fault]]-TA[[#This Row],[Fault Time]])*24</f>
        <v>11.916666666666666</v>
      </c>
      <c r="AD148" s="27">
        <f>IFERROR((TA[[#This Row],[Work Completion time on fault]]-TA[[#This Row],[Fault Time]])*24,"")</f>
        <v>11.916666666666666</v>
      </c>
      <c r="AE148" t="s">
        <v>300</v>
      </c>
      <c r="AF148" t="s">
        <v>247</v>
      </c>
      <c r="AG148" s="2"/>
      <c r="AH148" s="35">
        <f>1-COS(RADIANS(TA[[#This Row],[Avg. Target Angle during Fault Time (Radians)]]-TA[[#This Row],[Angle of affected equipment ]]))</f>
        <v>0.11705240714107301</v>
      </c>
      <c r="AI148" s="27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43">
        <f t="shared" si="8"/>
        <v>2026</v>
      </c>
      <c r="C149" s="116">
        <f t="shared" si="9"/>
        <v>2025</v>
      </c>
      <c r="D149" s="2" t="s">
        <v>155</v>
      </c>
      <c r="E149" s="2" t="s">
        <v>155</v>
      </c>
      <c r="F149" s="30">
        <v>45748</v>
      </c>
      <c r="G149" s="2">
        <f>DAY(EOMONTH(TA[[#This Row],[Month Year]],0))</f>
        <v>30</v>
      </c>
      <c r="H149" s="21">
        <v>45754</v>
      </c>
      <c r="I149" s="32">
        <f>IFERROR(VLOOKUP(TA[[#This Row],[Date]],Raw_Data[[Date]:[Sunset Time (POA&lt;20 W/m2)]],3,0),"")</f>
        <v>0.2638888888888889</v>
      </c>
      <c r="J149" s="32">
        <f>IFERROR(VLOOKUP(TA[[#This Row],[Date]],Raw_Data[[Date]:[Sunset Time (POA&lt;20 W/m2)]],4,0),"")</f>
        <v>0.7631944444444444</v>
      </c>
      <c r="K149" s="27">
        <f>IFERROR((TA[[#This Row],[Sunset Time (POA&lt;20 W/m2)]]-TA[[#This Row],[Sunrise Time (POA&gt;20 W/m2)]])*24,"")</f>
        <v>11.983333333333333</v>
      </c>
      <c r="L149" s="2" t="s">
        <v>287</v>
      </c>
      <c r="M149" s="33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314</v>
      </c>
      <c r="Q149" s="2" t="s">
        <v>320</v>
      </c>
      <c r="R149">
        <v>47</v>
      </c>
      <c r="S149" s="2">
        <v>18</v>
      </c>
      <c r="T149" t="s">
        <v>288</v>
      </c>
      <c r="U149" t="s">
        <v>317</v>
      </c>
      <c r="V149" t="s">
        <v>292</v>
      </c>
      <c r="W149" s="32">
        <f>IFERROR(VLOOKUP(TA[[#This Row],[Date]],Raw_Data[[Date]:[Sunset Time (POA&lt;20 W/m2)]],3,0),"")</f>
        <v>0.2638888888888889</v>
      </c>
      <c r="X149" s="32">
        <f>IFERROR(VLOOKUP(TA[[#This Row],[Date]],Raw_Data[[Date]:[Sunset Time (POA&lt;20 W/m2)]],3,0),"")</f>
        <v>0.2638888888888889</v>
      </c>
      <c r="Y149" s="26"/>
      <c r="Z149" s="26">
        <v>0.76041666666666663</v>
      </c>
      <c r="AA149" s="27">
        <f>IF(TA[[#This Row],[Work Start time on Fault]]="NA","",(TA[[#This Row],[Fault Acknowledgement Time ]]-TA[[#This Row],[Fault Time]])*24)</f>
        <v>0</v>
      </c>
      <c r="AB149" s="27">
        <f>(TA[[#This Row],[Work Start time on Fault]]-TA[[#This Row],[Fault Time]])*24</f>
        <v>-6.3333333333333339</v>
      </c>
      <c r="AC149" s="26">
        <f>(TA[[#This Row],[Work Completion time on fault]]-TA[[#This Row],[Fault Time]])*24</f>
        <v>11.916666666666666</v>
      </c>
      <c r="AD149" s="27">
        <f>IFERROR((TA[[#This Row],[Work Completion time on fault]]-TA[[#This Row],[Fault Time]])*24,"")</f>
        <v>11.916666666666666</v>
      </c>
      <c r="AE149" t="s">
        <v>300</v>
      </c>
      <c r="AF149" t="s">
        <v>247</v>
      </c>
      <c r="AG149" s="2"/>
      <c r="AH149" s="35">
        <f>1-COS(RADIANS(TA[[#This Row],[Avg. Target Angle during Fault Time (Radians)]]-TA[[#This Row],[Angle of affected equipment ]]))</f>
        <v>0.11705240714107301</v>
      </c>
      <c r="AI149" s="27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43">
        <f t="shared" si="8"/>
        <v>2026</v>
      </c>
      <c r="C150" s="116">
        <f t="shared" si="9"/>
        <v>2025</v>
      </c>
      <c r="D150" s="2" t="s">
        <v>155</v>
      </c>
      <c r="E150" s="2" t="s">
        <v>155</v>
      </c>
      <c r="F150" s="30">
        <v>45748</v>
      </c>
      <c r="G150" s="2">
        <f>DAY(EOMONTH(TA[[#This Row],[Month Year]],0))</f>
        <v>30</v>
      </c>
      <c r="H150" s="21">
        <v>45754</v>
      </c>
      <c r="I150" s="32">
        <f>IFERROR(VLOOKUP(TA[[#This Row],[Date]],Raw_Data[[Date]:[Sunset Time (POA&lt;20 W/m2)]],3,0),"")</f>
        <v>0.2638888888888889</v>
      </c>
      <c r="J150" s="32">
        <f>IFERROR(VLOOKUP(TA[[#This Row],[Date]],Raw_Data[[Date]:[Sunset Time (POA&lt;20 W/m2)]],4,0),"")</f>
        <v>0.7631944444444444</v>
      </c>
      <c r="K150" s="27">
        <f>IFERROR((TA[[#This Row],[Sunset Time (POA&lt;20 W/m2)]]-TA[[#This Row],[Sunrise Time (POA&gt;20 W/m2)]])*24,"")</f>
        <v>11.983333333333333</v>
      </c>
      <c r="L150" s="2" t="s">
        <v>287</v>
      </c>
      <c r="M150" s="33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321</v>
      </c>
      <c r="Q150" s="2" t="s">
        <v>314</v>
      </c>
      <c r="R150">
        <v>30</v>
      </c>
      <c r="S150" s="2">
        <v>57</v>
      </c>
      <c r="T150" t="s">
        <v>288</v>
      </c>
      <c r="U150" t="s">
        <v>317</v>
      </c>
      <c r="V150" t="s">
        <v>292</v>
      </c>
      <c r="W150" s="32">
        <f>IFERROR(VLOOKUP(TA[[#This Row],[Date]],Raw_Data[[Date]:[Sunset Time (POA&lt;20 W/m2)]],3,0),"")</f>
        <v>0.2638888888888889</v>
      </c>
      <c r="X150" s="32">
        <f>IFERROR(VLOOKUP(TA[[#This Row],[Date]],Raw_Data[[Date]:[Sunset Time (POA&lt;20 W/m2)]],3,0),"")</f>
        <v>0.2638888888888889</v>
      </c>
      <c r="Y150" s="26"/>
      <c r="Z150" s="26">
        <v>0.76041666666666663</v>
      </c>
      <c r="AA150" s="27">
        <f>IF(TA[[#This Row],[Work Start time on Fault]]="NA","",(TA[[#This Row],[Fault Acknowledgement Time ]]-TA[[#This Row],[Fault Time]])*24)</f>
        <v>0</v>
      </c>
      <c r="AB150" s="27">
        <f>(TA[[#This Row],[Work Start time on Fault]]-TA[[#This Row],[Fault Time]])*24</f>
        <v>-6.3333333333333339</v>
      </c>
      <c r="AC150" s="26">
        <f>(TA[[#This Row],[Work Completion time on fault]]-TA[[#This Row],[Fault Time]])*24</f>
        <v>11.916666666666666</v>
      </c>
      <c r="AD150" s="27">
        <f>IFERROR((TA[[#This Row],[Work Completion time on fault]]-TA[[#This Row],[Fault Time]])*24,"")</f>
        <v>11.916666666666666</v>
      </c>
      <c r="AE150" t="s">
        <v>300</v>
      </c>
      <c r="AF150" t="s">
        <v>247</v>
      </c>
      <c r="AG150" s="2"/>
      <c r="AH150" s="35">
        <f>1-COS(RADIANS(TA[[#This Row],[Avg. Target Angle during Fault Time (Radians)]]-TA[[#This Row],[Angle of affected equipment ]]))</f>
        <v>0.11705240714107301</v>
      </c>
      <c r="AI150" s="27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43">
        <f t="shared" si="8"/>
        <v>2026</v>
      </c>
      <c r="C151" s="116">
        <f t="shared" si="9"/>
        <v>2025</v>
      </c>
      <c r="D151" s="2" t="s">
        <v>155</v>
      </c>
      <c r="E151" s="2" t="s">
        <v>155</v>
      </c>
      <c r="F151" s="30">
        <v>45748</v>
      </c>
      <c r="G151" s="2">
        <f>DAY(EOMONTH(TA[[#This Row],[Month Year]],0))</f>
        <v>30</v>
      </c>
      <c r="H151" s="21">
        <v>45754</v>
      </c>
      <c r="I151" s="32">
        <f>IFERROR(VLOOKUP(TA[[#This Row],[Date]],Raw_Data[[Date]:[Sunset Time (POA&lt;20 W/m2)]],3,0),"")</f>
        <v>0.2638888888888889</v>
      </c>
      <c r="J151" s="32">
        <f>IFERROR(VLOOKUP(TA[[#This Row],[Date]],Raw_Data[[Date]:[Sunset Time (POA&lt;20 W/m2)]],4,0),"")</f>
        <v>0.7631944444444444</v>
      </c>
      <c r="K151" s="27">
        <f>IFERROR((TA[[#This Row],[Sunset Time (POA&lt;20 W/m2)]]-TA[[#This Row],[Sunrise Time (POA&gt;20 W/m2)]])*24,"")</f>
        <v>11.983333333333333</v>
      </c>
      <c r="L151" s="2" t="s">
        <v>287</v>
      </c>
      <c r="M151" s="33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321</v>
      </c>
      <c r="Q151" s="2" t="s">
        <v>314</v>
      </c>
      <c r="R151">
        <v>31</v>
      </c>
      <c r="S151" s="2">
        <v>61</v>
      </c>
      <c r="T151" t="s">
        <v>288</v>
      </c>
      <c r="U151" t="s">
        <v>317</v>
      </c>
      <c r="V151" t="s">
        <v>292</v>
      </c>
      <c r="W151" s="32">
        <f>IFERROR(VLOOKUP(TA[[#This Row],[Date]],Raw_Data[[Date]:[Sunset Time (POA&lt;20 W/m2)]],3,0),"")</f>
        <v>0.2638888888888889</v>
      </c>
      <c r="X151" s="32">
        <f>IFERROR(VLOOKUP(TA[[#This Row],[Date]],Raw_Data[[Date]:[Sunset Time (POA&lt;20 W/m2)]],3,0),"")</f>
        <v>0.2638888888888889</v>
      </c>
      <c r="Y151" s="26"/>
      <c r="Z151" s="26">
        <v>0.76041666666666663</v>
      </c>
      <c r="AA151" s="27">
        <f>IF(TA[[#This Row],[Work Start time on Fault]]="NA","",(TA[[#This Row],[Fault Acknowledgement Time ]]-TA[[#This Row],[Fault Time]])*24)</f>
        <v>0</v>
      </c>
      <c r="AB151" s="27">
        <f>(TA[[#This Row],[Work Start time on Fault]]-TA[[#This Row],[Fault Time]])*24</f>
        <v>-6.3333333333333339</v>
      </c>
      <c r="AC151" s="26">
        <f>(TA[[#This Row],[Work Completion time on fault]]-TA[[#This Row],[Fault Time]])*24</f>
        <v>11.916666666666666</v>
      </c>
      <c r="AD151" s="27">
        <f>IFERROR((TA[[#This Row],[Work Completion time on fault]]-TA[[#This Row],[Fault Time]])*24,"")</f>
        <v>11.916666666666666</v>
      </c>
      <c r="AE151" t="s">
        <v>300</v>
      </c>
      <c r="AF151" t="s">
        <v>247</v>
      </c>
      <c r="AG151" s="2"/>
      <c r="AH151" s="35">
        <f>1-COS(RADIANS(TA[[#This Row],[Avg. Target Angle during Fault Time (Radians)]]-TA[[#This Row],[Angle of affected equipment ]]))</f>
        <v>0.11705240714107301</v>
      </c>
      <c r="AI151" s="27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43">
        <f t="shared" si="8"/>
        <v>2026</v>
      </c>
      <c r="C152" s="116">
        <f t="shared" si="9"/>
        <v>2025</v>
      </c>
      <c r="D152" s="2" t="s">
        <v>155</v>
      </c>
      <c r="E152" s="2" t="s">
        <v>155</v>
      </c>
      <c r="F152" s="30">
        <v>45748</v>
      </c>
      <c r="G152" s="2">
        <f>DAY(EOMONTH(TA[[#This Row],[Month Year]],0))</f>
        <v>30</v>
      </c>
      <c r="H152" s="21">
        <v>45754</v>
      </c>
      <c r="I152" s="32">
        <f>IFERROR(VLOOKUP(TA[[#This Row],[Date]],Raw_Data[[Date]:[Sunset Time (POA&lt;20 W/m2)]],3,0),"")</f>
        <v>0.2638888888888889</v>
      </c>
      <c r="J152" s="32">
        <f>IFERROR(VLOOKUP(TA[[#This Row],[Date]],Raw_Data[[Date]:[Sunset Time (POA&lt;20 W/m2)]],4,0),"")</f>
        <v>0.7631944444444444</v>
      </c>
      <c r="K152" s="27">
        <f>IFERROR((TA[[#This Row],[Sunset Time (POA&lt;20 W/m2)]]-TA[[#This Row],[Sunrise Time (POA&gt;20 W/m2)]])*24,"")</f>
        <v>11.983333333333333</v>
      </c>
      <c r="L152" s="2" t="s">
        <v>303</v>
      </c>
      <c r="M152" s="33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321</v>
      </c>
      <c r="Q152" s="2" t="s">
        <v>314</v>
      </c>
      <c r="R152">
        <v>26</v>
      </c>
      <c r="S152" s="2">
        <v>37</v>
      </c>
      <c r="T152" t="s">
        <v>288</v>
      </c>
      <c r="U152" t="s">
        <v>317</v>
      </c>
      <c r="V152" t="s">
        <v>292</v>
      </c>
      <c r="W152" s="32">
        <f>IFERROR(VLOOKUP(TA[[#This Row],[Date]],Raw_Data[[Date]:[Sunset Time (POA&lt;20 W/m2)]],3,0),"")</f>
        <v>0.2638888888888889</v>
      </c>
      <c r="X152" s="32">
        <f>IFERROR(VLOOKUP(TA[[#This Row],[Date]],Raw_Data[[Date]:[Sunset Time (POA&lt;20 W/m2)]],3,0),"")</f>
        <v>0.2638888888888889</v>
      </c>
      <c r="Y152" s="26"/>
      <c r="Z152" s="26">
        <v>0.76041666666666663</v>
      </c>
      <c r="AA152" s="27">
        <f>IF(TA[[#This Row],[Work Start time on Fault]]="NA","",(TA[[#This Row],[Fault Acknowledgement Time ]]-TA[[#This Row],[Fault Time]])*24)</f>
        <v>0</v>
      </c>
      <c r="AB152" s="27">
        <f>(TA[[#This Row],[Work Start time on Fault]]-TA[[#This Row],[Fault Time]])*24</f>
        <v>-6.3333333333333339</v>
      </c>
      <c r="AC152" s="26">
        <f>(TA[[#This Row],[Work Completion time on fault]]-TA[[#This Row],[Fault Time]])*24</f>
        <v>11.916666666666666</v>
      </c>
      <c r="AD152" s="27">
        <f>IFERROR((TA[[#This Row],[Work Completion time on fault]]-TA[[#This Row],[Fault Time]])*24,"")</f>
        <v>11.916666666666666</v>
      </c>
      <c r="AE152" t="s">
        <v>300</v>
      </c>
      <c r="AF152" t="s">
        <v>247</v>
      </c>
      <c r="AG152" s="2"/>
      <c r="AH152" s="35">
        <f>1-COS(RADIANS(TA[[#This Row],[Avg. Target Angle during Fault Time (Radians)]]-TA[[#This Row],[Angle of affected equipment ]]))</f>
        <v>0.11705240714107301</v>
      </c>
      <c r="AI152" s="27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43">
        <f t="shared" si="8"/>
        <v>2026</v>
      </c>
      <c r="C153" s="116">
        <f t="shared" si="9"/>
        <v>2025</v>
      </c>
      <c r="D153" s="2" t="s">
        <v>155</v>
      </c>
      <c r="E153" s="2" t="s">
        <v>155</v>
      </c>
      <c r="F153" s="30">
        <v>45748</v>
      </c>
      <c r="G153" s="2">
        <f>DAY(EOMONTH(TA[[#This Row],[Month Year]],0))</f>
        <v>30</v>
      </c>
      <c r="H153" s="21">
        <v>45754</v>
      </c>
      <c r="I153" s="32">
        <f>IFERROR(VLOOKUP(TA[[#This Row],[Date]],Raw_Data[[Date]:[Sunset Time (POA&lt;20 W/m2)]],3,0),"")</f>
        <v>0.2638888888888889</v>
      </c>
      <c r="J153" s="32">
        <f>IFERROR(VLOOKUP(TA[[#This Row],[Date]],Raw_Data[[Date]:[Sunset Time (POA&lt;20 W/m2)]],4,0),"")</f>
        <v>0.7631944444444444</v>
      </c>
      <c r="K153" s="27">
        <f>IFERROR((TA[[#This Row],[Sunset Time (POA&lt;20 W/m2)]]-TA[[#This Row],[Sunrise Time (POA&gt;20 W/m2)]])*24,"")</f>
        <v>11.983333333333333</v>
      </c>
      <c r="L153" s="2" t="s">
        <v>303</v>
      </c>
      <c r="M153" s="33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321</v>
      </c>
      <c r="Q153" s="2" t="s">
        <v>314</v>
      </c>
      <c r="R153">
        <v>27</v>
      </c>
      <c r="S153" s="2">
        <v>42</v>
      </c>
      <c r="T153" t="s">
        <v>288</v>
      </c>
      <c r="U153" t="s">
        <v>317</v>
      </c>
      <c r="V153" t="s">
        <v>292</v>
      </c>
      <c r="W153" s="32">
        <f>IFERROR(VLOOKUP(TA[[#This Row],[Date]],Raw_Data[[Date]:[Sunset Time (POA&lt;20 W/m2)]],3,0),"")</f>
        <v>0.2638888888888889</v>
      </c>
      <c r="X153" s="32">
        <f>IFERROR(VLOOKUP(TA[[#This Row],[Date]],Raw_Data[[Date]:[Sunset Time (POA&lt;20 W/m2)]],3,0),"")</f>
        <v>0.2638888888888889</v>
      </c>
      <c r="Y153" s="26"/>
      <c r="Z153" s="26">
        <v>0.76041666666666663</v>
      </c>
      <c r="AA153" s="27">
        <f>IF(TA[[#This Row],[Work Start time on Fault]]="NA","",(TA[[#This Row],[Fault Acknowledgement Time ]]-TA[[#This Row],[Fault Time]])*24)</f>
        <v>0</v>
      </c>
      <c r="AB153" s="27">
        <f>(TA[[#This Row],[Work Start time on Fault]]-TA[[#This Row],[Fault Time]])*24</f>
        <v>-6.3333333333333339</v>
      </c>
      <c r="AC153" s="26">
        <f>(TA[[#This Row],[Work Completion time on fault]]-TA[[#This Row],[Fault Time]])*24</f>
        <v>11.916666666666666</v>
      </c>
      <c r="AD153" s="27">
        <f>IFERROR((TA[[#This Row],[Work Completion time on fault]]-TA[[#This Row],[Fault Time]])*24,"")</f>
        <v>11.916666666666666</v>
      </c>
      <c r="AE153" t="s">
        <v>300</v>
      </c>
      <c r="AF153" t="s">
        <v>247</v>
      </c>
      <c r="AG153" s="2"/>
      <c r="AH153" s="35">
        <f>1-COS(RADIANS(TA[[#This Row],[Avg. Target Angle during Fault Time (Radians)]]-TA[[#This Row],[Angle of affected equipment ]]))</f>
        <v>0.11705240714107301</v>
      </c>
      <c r="AI153" s="27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43">
        <f t="shared" si="8"/>
        <v>2026</v>
      </c>
      <c r="C154" s="116">
        <f t="shared" si="9"/>
        <v>2025</v>
      </c>
      <c r="D154" s="2" t="s">
        <v>155</v>
      </c>
      <c r="E154" s="2" t="s">
        <v>155</v>
      </c>
      <c r="F154" s="30">
        <v>45748</v>
      </c>
      <c r="G154" s="2">
        <f>DAY(EOMONTH(TA[[#This Row],[Month Year]],0))</f>
        <v>30</v>
      </c>
      <c r="H154" s="21">
        <v>45755</v>
      </c>
      <c r="I154" s="32">
        <f>IFERROR(VLOOKUP(TA[[#This Row],[Date]],Raw_Data[[Date]:[Sunset Time (POA&lt;20 W/m2)]],3,0),"")</f>
        <v>0.2638888888888889</v>
      </c>
      <c r="J154" s="32">
        <f>IFERROR(VLOOKUP(TA[[#This Row],[Date]],Raw_Data[[Date]:[Sunset Time (POA&lt;20 W/m2)]],4,0),"")</f>
        <v>0.76111111111111107</v>
      </c>
      <c r="K154" s="27">
        <f>IFERROR((TA[[#This Row],[Sunset Time (POA&lt;20 W/m2)]]-TA[[#This Row],[Sunrise Time (POA&gt;20 W/m2)]])*24,"")</f>
        <v>11.933333333333332</v>
      </c>
      <c r="L154" s="2" t="s">
        <v>285</v>
      </c>
      <c r="M154" s="33">
        <f>IFERROR(VLOOKUP(TA[[#This Row],[Affected Equipment]],'Basic Data'!$I$2:$K$40,3,0),"")</f>
        <v>1.7241379310344799E-3</v>
      </c>
      <c r="N154">
        <v>-28</v>
      </c>
      <c r="O154" t="s">
        <v>135</v>
      </c>
      <c r="P154" s="114" t="s">
        <v>309</v>
      </c>
      <c r="Q154" s="113" t="s">
        <v>309</v>
      </c>
      <c r="R154">
        <v>130</v>
      </c>
      <c r="S154" s="2">
        <v>36</v>
      </c>
      <c r="T154" t="s">
        <v>286</v>
      </c>
      <c r="U154" t="s">
        <v>291</v>
      </c>
      <c r="V154" t="s">
        <v>289</v>
      </c>
      <c r="W154" s="32"/>
      <c r="X154" s="32"/>
      <c r="Y154" s="26"/>
      <c r="Z154" s="26"/>
      <c r="AA154" s="27">
        <f>IF(TA[[#This Row],[Work Start time on Fault]]="NA","",(TA[[#This Row],[Fault Acknowledgement Time ]]-TA[[#This Row],[Fault Time]])*24)</f>
        <v>0</v>
      </c>
      <c r="AB154" s="27">
        <f>(TA[[#This Row],[Work Start time on Fault]]-TA[[#This Row],[Fault Time]])*24</f>
        <v>0</v>
      </c>
      <c r="AC154" s="26">
        <f>(TA[[#This Row],[Work Completion time on fault]]-TA[[#This Row],[Fault Time]])*24</f>
        <v>0</v>
      </c>
      <c r="AD154" s="27">
        <f>IFERROR((TA[[#This Row],[Work Completion time on fault]]-TA[[#This Row],[Fault Time]])*24,"")</f>
        <v>0</v>
      </c>
      <c r="AE154" t="s">
        <v>319</v>
      </c>
      <c r="AF154" t="s">
        <v>247</v>
      </c>
      <c r="AG154" s="2"/>
      <c r="AH154" s="35">
        <f>1-COS(RADIANS(TA[[#This Row],[Avg. Target Angle during Fault Time (Radians)]]-TA[[#This Row],[Angle of affected equipment ]]))</f>
        <v>0.11705240714107301</v>
      </c>
      <c r="AI154" s="27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43">
        <f t="shared" si="8"/>
        <v>2026</v>
      </c>
      <c r="C155" s="116">
        <f t="shared" si="9"/>
        <v>2025</v>
      </c>
      <c r="D155" s="2" t="s">
        <v>155</v>
      </c>
      <c r="E155" s="2" t="s">
        <v>155</v>
      </c>
      <c r="F155" s="30">
        <v>45748</v>
      </c>
      <c r="G155" s="2">
        <f>DAY(EOMONTH(TA[[#This Row],[Month Year]],0))</f>
        <v>30</v>
      </c>
      <c r="H155" s="21">
        <v>45755</v>
      </c>
      <c r="I155" s="32">
        <f>IFERROR(VLOOKUP(TA[[#This Row],[Date]],Raw_Data[[Date]:[Sunset Time (POA&lt;20 W/m2)]],3,0),"")</f>
        <v>0.2638888888888889</v>
      </c>
      <c r="J155" s="32">
        <f>IFERROR(VLOOKUP(TA[[#This Row],[Date]],Raw_Data[[Date]:[Sunset Time (POA&lt;20 W/m2)]],4,0),"")</f>
        <v>0.76111111111111107</v>
      </c>
      <c r="K155" s="27">
        <f>IFERROR((TA[[#This Row],[Sunset Time (POA&lt;20 W/m2)]]-TA[[#This Row],[Sunrise Time (POA&gt;20 W/m2)]])*24,"")</f>
        <v>11.933333333333332</v>
      </c>
      <c r="L155" s="2" t="s">
        <v>285</v>
      </c>
      <c r="M155" s="33">
        <f>IFERROR(VLOOKUP(TA[[#This Row],[Affected Equipment]],'Basic Data'!$I$2:$K$40,3,0),"")</f>
        <v>1.7241379310344799E-3</v>
      </c>
      <c r="N155">
        <v>-28</v>
      </c>
      <c r="O155" t="s">
        <v>135</v>
      </c>
      <c r="P155" s="114" t="s">
        <v>309</v>
      </c>
      <c r="Q155" s="113" t="s">
        <v>309</v>
      </c>
      <c r="R155">
        <v>130</v>
      </c>
      <c r="S155" s="2">
        <v>37</v>
      </c>
      <c r="T155" t="s">
        <v>286</v>
      </c>
      <c r="U155" t="s">
        <v>291</v>
      </c>
      <c r="V155" t="s">
        <v>289</v>
      </c>
      <c r="W155" s="32"/>
      <c r="X155" s="32"/>
      <c r="Y155" s="26"/>
      <c r="Z155" s="26"/>
      <c r="AA155" s="27">
        <f>IF(TA[[#This Row],[Work Start time on Fault]]="NA","",(TA[[#This Row],[Fault Acknowledgement Time ]]-TA[[#This Row],[Fault Time]])*24)</f>
        <v>0</v>
      </c>
      <c r="AB155" s="27">
        <f>(TA[[#This Row],[Work Start time on Fault]]-TA[[#This Row],[Fault Time]])*24</f>
        <v>0</v>
      </c>
      <c r="AC155" s="26">
        <f>(TA[[#This Row],[Work Completion time on fault]]-TA[[#This Row],[Fault Time]])*24</f>
        <v>0</v>
      </c>
      <c r="AD155" s="27">
        <f>IFERROR((TA[[#This Row],[Work Completion time on fault]]-TA[[#This Row],[Fault Time]])*24,"")</f>
        <v>0</v>
      </c>
      <c r="AE155" t="s">
        <v>319</v>
      </c>
      <c r="AF155" t="s">
        <v>247</v>
      </c>
      <c r="AG155" s="2"/>
      <c r="AH155" s="35">
        <f>1-COS(RADIANS(TA[[#This Row],[Avg. Target Angle during Fault Time (Radians)]]-TA[[#This Row],[Angle of affected equipment ]]))</f>
        <v>0.11705240714107301</v>
      </c>
      <c r="AI155" s="27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43">
        <f t="shared" si="8"/>
        <v>2026</v>
      </c>
      <c r="C156" s="116">
        <f t="shared" si="9"/>
        <v>2025</v>
      </c>
      <c r="D156" s="2" t="s">
        <v>155</v>
      </c>
      <c r="E156" s="2" t="s">
        <v>155</v>
      </c>
      <c r="F156" s="30">
        <v>45748</v>
      </c>
      <c r="G156" s="2">
        <f>DAY(EOMONTH(TA[[#This Row],[Month Year]],0))</f>
        <v>30</v>
      </c>
      <c r="H156" s="21">
        <v>45755</v>
      </c>
      <c r="I156" s="32">
        <f>IFERROR(VLOOKUP(TA[[#This Row],[Date]],Raw_Data[[Date]:[Sunset Time (POA&lt;20 W/m2)]],3,0),"")</f>
        <v>0.2638888888888889</v>
      </c>
      <c r="J156" s="32">
        <f>IFERROR(VLOOKUP(TA[[#This Row],[Date]],Raw_Data[[Date]:[Sunset Time (POA&lt;20 W/m2)]],4,0),"")</f>
        <v>0.76111111111111107</v>
      </c>
      <c r="K156" s="27">
        <f>IFERROR((TA[[#This Row],[Sunset Time (POA&lt;20 W/m2)]]-TA[[#This Row],[Sunrise Time (POA&gt;20 W/m2)]])*24,"")</f>
        <v>11.933333333333332</v>
      </c>
      <c r="L156" s="2" t="s">
        <v>285</v>
      </c>
      <c r="M156" s="33">
        <f>IFERROR(VLOOKUP(TA[[#This Row],[Affected Equipment]],'Basic Data'!$I$2:$K$40,3,0),"")</f>
        <v>1.7241379310344799E-3</v>
      </c>
      <c r="N156">
        <v>-28</v>
      </c>
      <c r="O156" t="s">
        <v>135</v>
      </c>
      <c r="P156" s="114" t="s">
        <v>309</v>
      </c>
      <c r="Q156" s="113" t="s">
        <v>309</v>
      </c>
      <c r="R156">
        <v>131</v>
      </c>
      <c r="S156" s="2">
        <v>38</v>
      </c>
      <c r="T156" t="s">
        <v>286</v>
      </c>
      <c r="U156" t="s">
        <v>291</v>
      </c>
      <c r="V156" t="s">
        <v>289</v>
      </c>
      <c r="W156" s="32"/>
      <c r="X156" s="32"/>
      <c r="Y156" s="26"/>
      <c r="Z156" s="26"/>
      <c r="AA156" s="27">
        <f>IF(TA[[#This Row],[Work Start time on Fault]]="NA","",(TA[[#This Row],[Fault Acknowledgement Time ]]-TA[[#This Row],[Fault Time]])*24)</f>
        <v>0</v>
      </c>
      <c r="AB156" s="27">
        <f>(TA[[#This Row],[Work Start time on Fault]]-TA[[#This Row],[Fault Time]])*24</f>
        <v>0</v>
      </c>
      <c r="AC156" s="26">
        <f>(TA[[#This Row],[Work Completion time on fault]]-TA[[#This Row],[Fault Time]])*24</f>
        <v>0</v>
      </c>
      <c r="AD156" s="27">
        <f>IFERROR((TA[[#This Row],[Work Completion time on fault]]-TA[[#This Row],[Fault Time]])*24,"")</f>
        <v>0</v>
      </c>
      <c r="AE156" t="s">
        <v>319</v>
      </c>
      <c r="AF156" t="s">
        <v>247</v>
      </c>
      <c r="AG156" s="2"/>
      <c r="AH156" s="35">
        <f>1-COS(RADIANS(TA[[#This Row],[Avg. Target Angle during Fault Time (Radians)]]-TA[[#This Row],[Angle of affected equipment ]]))</f>
        <v>0.11705240714107301</v>
      </c>
      <c r="AI156" s="27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43">
        <f t="shared" si="8"/>
        <v>2026</v>
      </c>
      <c r="C157" s="116">
        <f t="shared" si="9"/>
        <v>2025</v>
      </c>
      <c r="D157" s="2" t="s">
        <v>155</v>
      </c>
      <c r="E157" s="2" t="s">
        <v>155</v>
      </c>
      <c r="F157" s="30">
        <v>45748</v>
      </c>
      <c r="G157" s="2">
        <f>DAY(EOMONTH(TA[[#This Row],[Month Year]],0))</f>
        <v>30</v>
      </c>
      <c r="H157" s="21">
        <v>45755</v>
      </c>
      <c r="I157" s="32">
        <f>IFERROR(VLOOKUP(TA[[#This Row],[Date]],Raw_Data[[Date]:[Sunset Time (POA&lt;20 W/m2)]],3,0),"")</f>
        <v>0.2638888888888889</v>
      </c>
      <c r="J157" s="32">
        <f>IFERROR(VLOOKUP(TA[[#This Row],[Date]],Raw_Data[[Date]:[Sunset Time (POA&lt;20 W/m2)]],4,0),"")</f>
        <v>0.76111111111111107</v>
      </c>
      <c r="K157" s="27">
        <f>IFERROR((TA[[#This Row],[Sunset Time (POA&lt;20 W/m2)]]-TA[[#This Row],[Sunrise Time (POA&gt;20 W/m2)]])*24,"")</f>
        <v>11.933333333333332</v>
      </c>
      <c r="L157" s="2" t="s">
        <v>285</v>
      </c>
      <c r="M157" s="33">
        <f>IFERROR(VLOOKUP(TA[[#This Row],[Affected Equipment]],'Basic Data'!$I$2:$K$40,3,0),"")</f>
        <v>1.7241379310344799E-3</v>
      </c>
      <c r="N157">
        <v>-28</v>
      </c>
      <c r="O157" t="s">
        <v>135</v>
      </c>
      <c r="P157" s="114" t="s">
        <v>309</v>
      </c>
      <c r="Q157" s="113" t="s">
        <v>309</v>
      </c>
      <c r="R157">
        <v>131</v>
      </c>
      <c r="S157" s="2">
        <v>39</v>
      </c>
      <c r="T157" t="s">
        <v>286</v>
      </c>
      <c r="U157" t="s">
        <v>291</v>
      </c>
      <c r="V157" t="s">
        <v>289</v>
      </c>
      <c r="W157" s="32"/>
      <c r="X157" s="32"/>
      <c r="Y157" s="26"/>
      <c r="Z157" s="26"/>
      <c r="AA157" s="27">
        <f>IF(TA[[#This Row],[Work Start time on Fault]]="NA","",(TA[[#This Row],[Fault Acknowledgement Time ]]-TA[[#This Row],[Fault Time]])*24)</f>
        <v>0</v>
      </c>
      <c r="AB157" s="27">
        <f>(TA[[#This Row],[Work Start time on Fault]]-TA[[#This Row],[Fault Time]])*24</f>
        <v>0</v>
      </c>
      <c r="AC157" s="26">
        <f>(TA[[#This Row],[Work Completion time on fault]]-TA[[#This Row],[Fault Time]])*24</f>
        <v>0</v>
      </c>
      <c r="AD157" s="27">
        <f>IFERROR((TA[[#This Row],[Work Completion time on fault]]-TA[[#This Row],[Fault Time]])*24,"")</f>
        <v>0</v>
      </c>
      <c r="AE157" t="s">
        <v>319</v>
      </c>
      <c r="AF157" t="s">
        <v>247</v>
      </c>
      <c r="AG157" s="2"/>
      <c r="AH157" s="35">
        <f>1-COS(RADIANS(TA[[#This Row],[Avg. Target Angle during Fault Time (Radians)]]-TA[[#This Row],[Angle of affected equipment ]]))</f>
        <v>0.11705240714107301</v>
      </c>
      <c r="AI157" s="27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43">
        <f t="shared" si="8"/>
        <v>2026</v>
      </c>
      <c r="C158" s="116">
        <f t="shared" si="9"/>
        <v>2025</v>
      </c>
      <c r="D158" s="2" t="s">
        <v>155</v>
      </c>
      <c r="E158" s="2" t="s">
        <v>155</v>
      </c>
      <c r="F158" s="30">
        <v>45748</v>
      </c>
      <c r="G158" s="2">
        <f>DAY(EOMONTH(TA[[#This Row],[Month Year]],0))</f>
        <v>30</v>
      </c>
      <c r="H158" s="21">
        <v>45755</v>
      </c>
      <c r="I158" s="32">
        <f>IFERROR(VLOOKUP(TA[[#This Row],[Date]],Raw_Data[[Date]:[Sunset Time (POA&lt;20 W/m2)]],3,0),"")</f>
        <v>0.2638888888888889</v>
      </c>
      <c r="J158" s="32">
        <f>IFERROR(VLOOKUP(TA[[#This Row],[Date]],Raw_Data[[Date]:[Sunset Time (POA&lt;20 W/m2)]],4,0),"")</f>
        <v>0.76111111111111107</v>
      </c>
      <c r="K158" s="27">
        <f>IFERROR((TA[[#This Row],[Sunset Time (POA&lt;20 W/m2)]]-TA[[#This Row],[Sunrise Time (POA&gt;20 W/m2)]])*24,"")</f>
        <v>11.933333333333332</v>
      </c>
      <c r="L158" s="2" t="s">
        <v>287</v>
      </c>
      <c r="M158" s="33">
        <f>IFERROR(VLOOKUP(TA[[#This Row],[Affected Equipment]],'Basic Data'!$I$2:$K$40,3,0),"")</f>
        <v>8.6206896551724102E-3</v>
      </c>
      <c r="N158">
        <v>-28</v>
      </c>
      <c r="O158" t="s">
        <v>135</v>
      </c>
      <c r="P158" s="114" t="s">
        <v>309</v>
      </c>
      <c r="Q158" s="2" t="s">
        <v>312</v>
      </c>
      <c r="R158">
        <v>133</v>
      </c>
      <c r="S158" s="2">
        <v>26</v>
      </c>
      <c r="T158" t="s">
        <v>288</v>
      </c>
      <c r="U158" t="s">
        <v>291</v>
      </c>
      <c r="V158" t="s">
        <v>305</v>
      </c>
      <c r="W158" s="32"/>
      <c r="X158" s="32"/>
      <c r="Y158" s="26"/>
      <c r="Z158" s="26"/>
      <c r="AA158" s="27">
        <f>IF(TA[[#This Row],[Work Start time on Fault]]="NA","",(TA[[#This Row],[Fault Acknowledgement Time ]]-TA[[#This Row],[Fault Time]])*24)</f>
        <v>0</v>
      </c>
      <c r="AB158" s="27">
        <f>(TA[[#This Row],[Work Start time on Fault]]-TA[[#This Row],[Fault Time]])*24</f>
        <v>0</v>
      </c>
      <c r="AC158" s="26">
        <f>(TA[[#This Row],[Work Completion time on fault]]-TA[[#This Row],[Fault Time]])*24</f>
        <v>0</v>
      </c>
      <c r="AD158" s="27">
        <f>IFERROR((TA[[#This Row],[Work Completion time on fault]]-TA[[#This Row],[Fault Time]])*24,"")</f>
        <v>0</v>
      </c>
      <c r="AE158" t="s">
        <v>319</v>
      </c>
      <c r="AF158" t="s">
        <v>247</v>
      </c>
      <c r="AG158" s="2"/>
      <c r="AH158" s="35">
        <f>1-COS(RADIANS(TA[[#This Row],[Avg. Target Angle during Fault Time (Radians)]]-TA[[#This Row],[Angle of affected equipment ]]))</f>
        <v>0.11705240714107301</v>
      </c>
      <c r="AI158" s="27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43">
        <f t="shared" si="8"/>
        <v>2026</v>
      </c>
      <c r="C159" s="116">
        <f t="shared" si="9"/>
        <v>2025</v>
      </c>
      <c r="D159" s="2" t="s">
        <v>155</v>
      </c>
      <c r="E159" s="2" t="s">
        <v>155</v>
      </c>
      <c r="F159" s="30">
        <v>45748</v>
      </c>
      <c r="G159" s="2">
        <f>DAY(EOMONTH(TA[[#This Row],[Month Year]],0))</f>
        <v>30</v>
      </c>
      <c r="H159" s="21">
        <v>45755</v>
      </c>
      <c r="I159" s="32">
        <f>IFERROR(VLOOKUP(TA[[#This Row],[Date]],Raw_Data[[Date]:[Sunset Time (POA&lt;20 W/m2)]],3,0),"")</f>
        <v>0.2638888888888889</v>
      </c>
      <c r="J159" s="32">
        <f>IFERROR(VLOOKUP(TA[[#This Row],[Date]],Raw_Data[[Date]:[Sunset Time (POA&lt;20 W/m2)]],4,0),"")</f>
        <v>0.76111111111111107</v>
      </c>
      <c r="K159" s="27">
        <f>IFERROR((TA[[#This Row],[Sunset Time (POA&lt;20 W/m2)]]-TA[[#This Row],[Sunrise Time (POA&gt;20 W/m2)]])*24,"")</f>
        <v>11.933333333333332</v>
      </c>
      <c r="L159" s="2" t="s">
        <v>285</v>
      </c>
      <c r="M159" s="33">
        <f>IFERROR(VLOOKUP(TA[[#This Row],[Affected Equipment]],'Basic Data'!$I$2:$K$40,3,0),"")</f>
        <v>1.7241379310344799E-3</v>
      </c>
      <c r="N159">
        <v>-28</v>
      </c>
      <c r="O159" t="s">
        <v>133</v>
      </c>
      <c r="P159" s="114" t="s">
        <v>307</v>
      </c>
      <c r="Q159" s="113" t="s">
        <v>308</v>
      </c>
      <c r="R159">
        <v>7</v>
      </c>
      <c r="S159" s="2">
        <v>32</v>
      </c>
      <c r="T159" t="s">
        <v>286</v>
      </c>
      <c r="U159" t="s">
        <v>291</v>
      </c>
      <c r="V159" t="s">
        <v>289</v>
      </c>
      <c r="W159" s="32"/>
      <c r="X159" s="32"/>
      <c r="Y159" s="26"/>
      <c r="Z159" s="26"/>
      <c r="AA159" s="27">
        <f>IF(TA[[#This Row],[Work Start time on Fault]]="NA","",(TA[[#This Row],[Fault Acknowledgement Time ]]-TA[[#This Row],[Fault Time]])*24)</f>
        <v>0</v>
      </c>
      <c r="AB159" s="27">
        <f>(TA[[#This Row],[Work Start time on Fault]]-TA[[#This Row],[Fault Time]])*24</f>
        <v>0</v>
      </c>
      <c r="AC159" s="26">
        <f>(TA[[#This Row],[Work Completion time on fault]]-TA[[#This Row],[Fault Time]])*24</f>
        <v>0</v>
      </c>
      <c r="AD159" s="27">
        <f>IFERROR((TA[[#This Row],[Work Completion time on fault]]-TA[[#This Row],[Fault Time]])*24,"")</f>
        <v>0</v>
      </c>
      <c r="AE159" t="s">
        <v>319</v>
      </c>
      <c r="AF159" t="s">
        <v>247</v>
      </c>
      <c r="AG159" s="2"/>
      <c r="AH159" s="35">
        <f>1-COS(RADIANS(TA[[#This Row],[Avg. Target Angle during Fault Time (Radians)]]-TA[[#This Row],[Angle of affected equipment ]]))</f>
        <v>0.11705240714107301</v>
      </c>
      <c r="AI159" s="27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43">
        <f t="shared" si="8"/>
        <v>2026</v>
      </c>
      <c r="C160" s="116">
        <f t="shared" si="9"/>
        <v>2025</v>
      </c>
      <c r="D160" s="2" t="s">
        <v>155</v>
      </c>
      <c r="E160" s="2" t="s">
        <v>155</v>
      </c>
      <c r="F160" s="30">
        <v>45748</v>
      </c>
      <c r="G160" s="2">
        <f>DAY(EOMONTH(TA[[#This Row],[Month Year]],0))</f>
        <v>30</v>
      </c>
      <c r="H160" s="21">
        <v>45755</v>
      </c>
      <c r="I160" s="32">
        <f>IFERROR(VLOOKUP(TA[[#This Row],[Date]],Raw_Data[[Date]:[Sunset Time (POA&lt;20 W/m2)]],3,0),"")</f>
        <v>0.2638888888888889</v>
      </c>
      <c r="J160" s="32">
        <f>IFERROR(VLOOKUP(TA[[#This Row],[Date]],Raw_Data[[Date]:[Sunset Time (POA&lt;20 W/m2)]],4,0),"")</f>
        <v>0.76111111111111107</v>
      </c>
      <c r="K160" s="27">
        <f>IFERROR((TA[[#This Row],[Sunset Time (POA&lt;20 W/m2)]]-TA[[#This Row],[Sunrise Time (POA&gt;20 W/m2)]])*24,"")</f>
        <v>11.933333333333332</v>
      </c>
      <c r="L160" s="2" t="s">
        <v>285</v>
      </c>
      <c r="M160" s="33">
        <f>IFERROR(VLOOKUP(TA[[#This Row],[Affected Equipment]],'Basic Data'!$I$2:$K$40,3,0),"")</f>
        <v>1.7241379310344799E-3</v>
      </c>
      <c r="N160">
        <v>-28</v>
      </c>
      <c r="O160" t="s">
        <v>137</v>
      </c>
      <c r="P160" s="114" t="s">
        <v>306</v>
      </c>
      <c r="Q160" s="113" t="s">
        <v>310</v>
      </c>
      <c r="R160">
        <v>166</v>
      </c>
      <c r="S160" s="2">
        <v>91</v>
      </c>
      <c r="T160" t="s">
        <v>286</v>
      </c>
      <c r="U160" t="s">
        <v>291</v>
      </c>
      <c r="V160" t="s">
        <v>289</v>
      </c>
      <c r="W160" s="32"/>
      <c r="X160" s="32"/>
      <c r="Y160" s="26"/>
      <c r="Z160" s="26"/>
      <c r="AA160" s="27">
        <f>IF(TA[[#This Row],[Work Start time on Fault]]="NA","",(TA[[#This Row],[Fault Acknowledgement Time ]]-TA[[#This Row],[Fault Time]])*24)</f>
        <v>0</v>
      </c>
      <c r="AB160" s="27">
        <f>(TA[[#This Row],[Work Start time on Fault]]-TA[[#This Row],[Fault Time]])*24</f>
        <v>0</v>
      </c>
      <c r="AC160" s="26">
        <f>(TA[[#This Row],[Work Completion time on fault]]-TA[[#This Row],[Fault Time]])*24</f>
        <v>0</v>
      </c>
      <c r="AD160" s="27">
        <f>IFERROR((TA[[#This Row],[Work Completion time on fault]]-TA[[#This Row],[Fault Time]])*24,"")</f>
        <v>0</v>
      </c>
      <c r="AE160" t="s">
        <v>319</v>
      </c>
      <c r="AF160" t="s">
        <v>247</v>
      </c>
      <c r="AG160" s="2"/>
      <c r="AH160" s="35">
        <f>1-COS(RADIANS(TA[[#This Row],[Avg. Target Angle during Fault Time (Radians)]]-TA[[#This Row],[Angle of affected equipment ]]))</f>
        <v>0.11705240714107301</v>
      </c>
      <c r="AI160" s="27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43">
        <f t="shared" si="8"/>
        <v>2026</v>
      </c>
      <c r="C161" s="116">
        <f t="shared" si="9"/>
        <v>2025</v>
      </c>
      <c r="D161" s="2" t="s">
        <v>155</v>
      </c>
      <c r="E161" s="2" t="s">
        <v>155</v>
      </c>
      <c r="F161" s="30">
        <v>45748</v>
      </c>
      <c r="G161" s="2">
        <f>DAY(EOMONTH(TA[[#This Row],[Month Year]],0))</f>
        <v>30</v>
      </c>
      <c r="H161" s="21">
        <v>45755</v>
      </c>
      <c r="I161" s="32">
        <f>IFERROR(VLOOKUP(TA[[#This Row],[Date]],Raw_Data[[Date]:[Sunset Time (POA&lt;20 W/m2)]],3,0),"")</f>
        <v>0.2638888888888889</v>
      </c>
      <c r="J161" s="32">
        <f>IFERROR(VLOOKUP(TA[[#This Row],[Date]],Raw_Data[[Date]:[Sunset Time (POA&lt;20 W/m2)]],4,0),"")</f>
        <v>0.76111111111111107</v>
      </c>
      <c r="K161" s="27">
        <f>IFERROR((TA[[#This Row],[Sunset Time (POA&lt;20 W/m2)]]-TA[[#This Row],[Sunrise Time (POA&gt;20 W/m2)]])*24,"")</f>
        <v>11.933333333333332</v>
      </c>
      <c r="L161" s="2" t="s">
        <v>285</v>
      </c>
      <c r="M161" s="33">
        <f>IFERROR(VLOOKUP(TA[[#This Row],[Affected Equipment]],'Basic Data'!$I$2:$K$40,3,0),"")</f>
        <v>1.7241379310344799E-3</v>
      </c>
      <c r="N161">
        <v>-28</v>
      </c>
      <c r="O161" t="s">
        <v>133</v>
      </c>
      <c r="P161" s="114" t="s">
        <v>307</v>
      </c>
      <c r="Q161" s="113" t="s">
        <v>307</v>
      </c>
      <c r="R161">
        <v>117</v>
      </c>
      <c r="S161" s="2">
        <v>20</v>
      </c>
      <c r="T161" t="s">
        <v>286</v>
      </c>
      <c r="U161" t="s">
        <v>291</v>
      </c>
      <c r="V161" t="s">
        <v>289</v>
      </c>
      <c r="W161" s="32"/>
      <c r="X161" s="32"/>
      <c r="Y161" s="26"/>
      <c r="Z161" s="26"/>
      <c r="AA161" s="27">
        <f>IF(TA[[#This Row],[Work Start time on Fault]]="NA","",(TA[[#This Row],[Fault Acknowledgement Time ]]-TA[[#This Row],[Fault Time]])*24)</f>
        <v>0</v>
      </c>
      <c r="AB161" s="27">
        <f>(TA[[#This Row],[Work Start time on Fault]]-TA[[#This Row],[Fault Time]])*24</f>
        <v>0</v>
      </c>
      <c r="AC161" s="26">
        <f>(TA[[#This Row],[Work Completion time on fault]]-TA[[#This Row],[Fault Time]])*24</f>
        <v>0</v>
      </c>
      <c r="AD161" s="27">
        <f>IFERROR((TA[[#This Row],[Work Completion time on fault]]-TA[[#This Row],[Fault Time]])*24,"")</f>
        <v>0</v>
      </c>
      <c r="AE161" t="s">
        <v>319</v>
      </c>
      <c r="AF161" t="s">
        <v>247</v>
      </c>
      <c r="AG161" s="2"/>
      <c r="AH161" s="35">
        <f>1-COS(RADIANS(TA[[#This Row],[Avg. Target Angle during Fault Time (Radians)]]-TA[[#This Row],[Angle of affected equipment ]]))</f>
        <v>0.11705240714107301</v>
      </c>
      <c r="AI161" s="27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43">
        <f t="shared" si="8"/>
        <v>2026</v>
      </c>
      <c r="C162" s="116">
        <f t="shared" si="9"/>
        <v>2025</v>
      </c>
      <c r="D162" s="2" t="s">
        <v>155</v>
      </c>
      <c r="E162" s="2" t="s">
        <v>155</v>
      </c>
      <c r="F162" s="30">
        <v>45748</v>
      </c>
      <c r="G162" s="2">
        <f>DAY(EOMONTH(TA[[#This Row],[Month Year]],0))</f>
        <v>30</v>
      </c>
      <c r="H162" s="21">
        <v>45755</v>
      </c>
      <c r="I162" s="32">
        <f>IFERROR(VLOOKUP(TA[[#This Row],[Date]],Raw_Data[[Date]:[Sunset Time (POA&lt;20 W/m2)]],3,0),"")</f>
        <v>0.2638888888888889</v>
      </c>
      <c r="J162" s="32">
        <f>IFERROR(VLOOKUP(TA[[#This Row],[Date]],Raw_Data[[Date]:[Sunset Time (POA&lt;20 W/m2)]],4,0),"")</f>
        <v>0.76111111111111107</v>
      </c>
      <c r="K162" s="27">
        <f>IFERROR((TA[[#This Row],[Sunset Time (POA&lt;20 W/m2)]]-TA[[#This Row],[Sunrise Time (POA&gt;20 W/m2)]])*24,"")</f>
        <v>11.933333333333332</v>
      </c>
      <c r="L162" s="2" t="s">
        <v>285</v>
      </c>
      <c r="M162" s="33">
        <f>IFERROR(VLOOKUP(TA[[#This Row],[Affected Equipment]],'Basic Data'!$I$2:$K$40,3,0),"")</f>
        <v>1.7241379310344799E-3</v>
      </c>
      <c r="N162">
        <v>-28</v>
      </c>
      <c r="O162" t="s">
        <v>133</v>
      </c>
      <c r="P162" s="114" t="s">
        <v>307</v>
      </c>
      <c r="Q162" s="113" t="s">
        <v>307</v>
      </c>
      <c r="R162">
        <v>118</v>
      </c>
      <c r="S162" s="2">
        <v>22</v>
      </c>
      <c r="T162" t="s">
        <v>286</v>
      </c>
      <c r="U162" t="s">
        <v>291</v>
      </c>
      <c r="V162" t="s">
        <v>289</v>
      </c>
      <c r="W162" s="32"/>
      <c r="X162" s="32"/>
      <c r="Y162" s="26"/>
      <c r="Z162" s="26"/>
      <c r="AA162" s="27">
        <f>IF(TA[[#This Row],[Work Start time on Fault]]="NA","",(TA[[#This Row],[Fault Acknowledgement Time ]]-TA[[#This Row],[Fault Time]])*24)</f>
        <v>0</v>
      </c>
      <c r="AB162" s="27">
        <f>(TA[[#This Row],[Work Start time on Fault]]-TA[[#This Row],[Fault Time]])*24</f>
        <v>0</v>
      </c>
      <c r="AC162" s="26">
        <f>(TA[[#This Row],[Work Completion time on fault]]-TA[[#This Row],[Fault Time]])*24</f>
        <v>0</v>
      </c>
      <c r="AD162" s="27">
        <f>IFERROR((TA[[#This Row],[Work Completion time on fault]]-TA[[#This Row],[Fault Time]])*24,"")</f>
        <v>0</v>
      </c>
      <c r="AE162" t="s">
        <v>319</v>
      </c>
      <c r="AF162" t="s">
        <v>247</v>
      </c>
      <c r="AG162" s="2"/>
      <c r="AH162" s="35">
        <f>1-COS(RADIANS(TA[[#This Row],[Avg. Target Angle during Fault Time (Radians)]]-TA[[#This Row],[Angle of affected equipment ]]))</f>
        <v>0.11705240714107301</v>
      </c>
      <c r="AI162" s="27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43">
        <f t="shared" si="8"/>
        <v>2026</v>
      </c>
      <c r="C163" s="116">
        <f t="shared" si="9"/>
        <v>2025</v>
      </c>
      <c r="D163" s="2" t="s">
        <v>155</v>
      </c>
      <c r="E163" s="2" t="s">
        <v>155</v>
      </c>
      <c r="F163" s="30">
        <v>45748</v>
      </c>
      <c r="G163" s="2">
        <f>DAY(EOMONTH(TA[[#This Row],[Month Year]],0))</f>
        <v>30</v>
      </c>
      <c r="H163" s="21">
        <v>45755</v>
      </c>
      <c r="I163" s="32">
        <f>IFERROR(VLOOKUP(TA[[#This Row],[Date]],Raw_Data[[Date]:[Sunset Time (POA&lt;20 W/m2)]],3,0),"")</f>
        <v>0.2638888888888889</v>
      </c>
      <c r="J163" s="32">
        <f>IFERROR(VLOOKUP(TA[[#This Row],[Date]],Raw_Data[[Date]:[Sunset Time (POA&lt;20 W/m2)]],4,0),"")</f>
        <v>0.76111111111111107</v>
      </c>
      <c r="K163" s="27">
        <f>IFERROR((TA[[#This Row],[Sunset Time (POA&lt;20 W/m2)]]-TA[[#This Row],[Sunrise Time (POA&gt;20 W/m2)]])*24,"")</f>
        <v>11.933333333333332</v>
      </c>
      <c r="L163" s="2" t="s">
        <v>287</v>
      </c>
      <c r="M163" s="33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314</v>
      </c>
      <c r="Q163" s="2" t="s">
        <v>320</v>
      </c>
      <c r="R163">
        <v>45</v>
      </c>
      <c r="S163" s="2">
        <v>8</v>
      </c>
      <c r="T163" t="s">
        <v>288</v>
      </c>
      <c r="U163" t="s">
        <v>317</v>
      </c>
      <c r="V163" t="s">
        <v>292</v>
      </c>
      <c r="W163" s="32">
        <f>IFERROR(VLOOKUP(TA[[#This Row],[Date]],Raw_Data[[Date]:[Sunset Time (POA&lt;20 W/m2)]],3,0),"")</f>
        <v>0.2638888888888889</v>
      </c>
      <c r="X163" s="32">
        <f>IFERROR(VLOOKUP(TA[[#This Row],[Date]],Raw_Data[[Date]:[Sunset Time (POA&lt;20 W/m2)]],3,0),"")</f>
        <v>0.2638888888888889</v>
      </c>
      <c r="Y163" s="26"/>
      <c r="Z163" s="26">
        <v>0.76041666666666663</v>
      </c>
      <c r="AA163" s="27">
        <f>IF(TA[[#This Row],[Work Start time on Fault]]="NA","",(TA[[#This Row],[Fault Acknowledgement Time ]]-TA[[#This Row],[Fault Time]])*24)</f>
        <v>0</v>
      </c>
      <c r="AB163" s="27">
        <f>(TA[[#This Row],[Work Start time on Fault]]-TA[[#This Row],[Fault Time]])*24</f>
        <v>-6.3333333333333339</v>
      </c>
      <c r="AC163" s="26">
        <f>(TA[[#This Row],[Work Completion time on fault]]-TA[[#This Row],[Fault Time]])*24</f>
        <v>11.916666666666666</v>
      </c>
      <c r="AD163" s="27">
        <f>IFERROR((TA[[#This Row],[Work Completion time on fault]]-TA[[#This Row],[Fault Time]])*24,"")</f>
        <v>11.916666666666666</v>
      </c>
      <c r="AE163" t="s">
        <v>300</v>
      </c>
      <c r="AF163" t="s">
        <v>247</v>
      </c>
      <c r="AG163" s="2"/>
      <c r="AH163" s="35">
        <f>1-COS(RADIANS(TA[[#This Row],[Avg. Target Angle during Fault Time (Radians)]]-TA[[#This Row],[Angle of affected equipment ]]))</f>
        <v>0.11705240714107301</v>
      </c>
      <c r="AI163" s="27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43">
        <f t="shared" si="8"/>
        <v>2026</v>
      </c>
      <c r="C164" s="116">
        <f t="shared" si="9"/>
        <v>2025</v>
      </c>
      <c r="D164" s="2" t="s">
        <v>155</v>
      </c>
      <c r="E164" s="2" t="s">
        <v>155</v>
      </c>
      <c r="F164" s="30">
        <v>45748</v>
      </c>
      <c r="G164" s="2">
        <f>DAY(EOMONTH(TA[[#This Row],[Month Year]],0))</f>
        <v>30</v>
      </c>
      <c r="H164" s="21">
        <v>45755</v>
      </c>
      <c r="I164" s="32">
        <f>IFERROR(VLOOKUP(TA[[#This Row],[Date]],Raw_Data[[Date]:[Sunset Time (POA&lt;20 W/m2)]],3,0),"")</f>
        <v>0.2638888888888889</v>
      </c>
      <c r="J164" s="32">
        <f>IFERROR(VLOOKUP(TA[[#This Row],[Date]],Raw_Data[[Date]:[Sunset Time (POA&lt;20 W/m2)]],4,0),"")</f>
        <v>0.76111111111111107</v>
      </c>
      <c r="K164" s="27">
        <f>IFERROR((TA[[#This Row],[Sunset Time (POA&lt;20 W/m2)]]-TA[[#This Row],[Sunrise Time (POA&gt;20 W/m2)]])*24,"")</f>
        <v>11.933333333333332</v>
      </c>
      <c r="L164" s="2" t="s">
        <v>287</v>
      </c>
      <c r="M164" s="33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314</v>
      </c>
      <c r="Q164" s="2" t="s">
        <v>320</v>
      </c>
      <c r="R164">
        <v>47</v>
      </c>
      <c r="S164" s="2">
        <v>18</v>
      </c>
      <c r="T164" t="s">
        <v>288</v>
      </c>
      <c r="U164" t="s">
        <v>317</v>
      </c>
      <c r="V164" t="s">
        <v>292</v>
      </c>
      <c r="W164" s="32">
        <f>IFERROR(VLOOKUP(TA[[#This Row],[Date]],Raw_Data[[Date]:[Sunset Time (POA&lt;20 W/m2)]],3,0),"")</f>
        <v>0.2638888888888889</v>
      </c>
      <c r="X164" s="32">
        <f>IFERROR(VLOOKUP(TA[[#This Row],[Date]],Raw_Data[[Date]:[Sunset Time (POA&lt;20 W/m2)]],3,0),"")</f>
        <v>0.2638888888888889</v>
      </c>
      <c r="Y164" s="26"/>
      <c r="Z164" s="26">
        <v>0.76041666666666663</v>
      </c>
      <c r="AA164" s="27">
        <f>IF(TA[[#This Row],[Work Start time on Fault]]="NA","",(TA[[#This Row],[Fault Acknowledgement Time ]]-TA[[#This Row],[Fault Time]])*24)</f>
        <v>0</v>
      </c>
      <c r="AB164" s="27">
        <f>(TA[[#This Row],[Work Start time on Fault]]-TA[[#This Row],[Fault Time]])*24</f>
        <v>-6.3333333333333339</v>
      </c>
      <c r="AC164" s="26">
        <f>(TA[[#This Row],[Work Completion time on fault]]-TA[[#This Row],[Fault Time]])*24</f>
        <v>11.916666666666666</v>
      </c>
      <c r="AD164" s="27">
        <f>IFERROR((TA[[#This Row],[Work Completion time on fault]]-TA[[#This Row],[Fault Time]])*24,"")</f>
        <v>11.916666666666666</v>
      </c>
      <c r="AE164" t="s">
        <v>300</v>
      </c>
      <c r="AF164" t="s">
        <v>247</v>
      </c>
      <c r="AG164" s="2"/>
      <c r="AH164" s="35">
        <f>1-COS(RADIANS(TA[[#This Row],[Avg. Target Angle during Fault Time (Radians)]]-TA[[#This Row],[Angle of affected equipment ]]))</f>
        <v>0.11705240714107301</v>
      </c>
      <c r="AI164" s="27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43">
        <f t="shared" si="8"/>
        <v>2026</v>
      </c>
      <c r="C165" s="116">
        <f t="shared" si="9"/>
        <v>2025</v>
      </c>
      <c r="D165" s="2" t="s">
        <v>155</v>
      </c>
      <c r="E165" s="2" t="s">
        <v>155</v>
      </c>
      <c r="F165" s="30">
        <v>45748</v>
      </c>
      <c r="G165" s="2">
        <f>DAY(EOMONTH(TA[[#This Row],[Month Year]],0))</f>
        <v>30</v>
      </c>
      <c r="H165" s="21">
        <v>45755</v>
      </c>
      <c r="I165" s="32">
        <f>IFERROR(VLOOKUP(TA[[#This Row],[Date]],Raw_Data[[Date]:[Sunset Time (POA&lt;20 W/m2)]],3,0),"")</f>
        <v>0.2638888888888889</v>
      </c>
      <c r="J165" s="32">
        <f>IFERROR(VLOOKUP(TA[[#This Row],[Date]],Raw_Data[[Date]:[Sunset Time (POA&lt;20 W/m2)]],4,0),"")</f>
        <v>0.76111111111111107</v>
      </c>
      <c r="K165" s="27">
        <f>IFERROR((TA[[#This Row],[Sunset Time (POA&lt;20 W/m2)]]-TA[[#This Row],[Sunrise Time (POA&gt;20 W/m2)]])*24,"")</f>
        <v>11.933333333333332</v>
      </c>
      <c r="L165" s="2" t="s">
        <v>287</v>
      </c>
      <c r="M165" s="33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321</v>
      </c>
      <c r="Q165" s="2" t="s">
        <v>314</v>
      </c>
      <c r="R165">
        <v>30</v>
      </c>
      <c r="S165" s="2">
        <v>57</v>
      </c>
      <c r="T165" t="s">
        <v>288</v>
      </c>
      <c r="U165" t="s">
        <v>317</v>
      </c>
      <c r="V165" t="s">
        <v>292</v>
      </c>
      <c r="W165" s="32">
        <f>IFERROR(VLOOKUP(TA[[#This Row],[Date]],Raw_Data[[Date]:[Sunset Time (POA&lt;20 W/m2)]],3,0),"")</f>
        <v>0.2638888888888889</v>
      </c>
      <c r="X165" s="32">
        <f>IFERROR(VLOOKUP(TA[[#This Row],[Date]],Raw_Data[[Date]:[Sunset Time (POA&lt;20 W/m2)]],3,0),"")</f>
        <v>0.2638888888888889</v>
      </c>
      <c r="Y165" s="26"/>
      <c r="Z165" s="26">
        <v>0.76041666666666663</v>
      </c>
      <c r="AA165" s="27">
        <f>IF(TA[[#This Row],[Work Start time on Fault]]="NA","",(TA[[#This Row],[Fault Acknowledgement Time ]]-TA[[#This Row],[Fault Time]])*24)</f>
        <v>0</v>
      </c>
      <c r="AB165" s="27">
        <f>(TA[[#This Row],[Work Start time on Fault]]-TA[[#This Row],[Fault Time]])*24</f>
        <v>-6.3333333333333339</v>
      </c>
      <c r="AC165" s="26">
        <f>(TA[[#This Row],[Work Completion time on fault]]-TA[[#This Row],[Fault Time]])*24</f>
        <v>11.916666666666666</v>
      </c>
      <c r="AD165" s="27">
        <f>IFERROR((TA[[#This Row],[Work Completion time on fault]]-TA[[#This Row],[Fault Time]])*24,"")</f>
        <v>11.916666666666666</v>
      </c>
      <c r="AE165" t="s">
        <v>300</v>
      </c>
      <c r="AF165" t="s">
        <v>247</v>
      </c>
      <c r="AG165" s="2"/>
      <c r="AH165" s="35">
        <f>1-COS(RADIANS(TA[[#This Row],[Avg. Target Angle during Fault Time (Radians)]]-TA[[#This Row],[Angle of affected equipment ]]))</f>
        <v>0.11705240714107301</v>
      </c>
      <c r="AI165" s="27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43">
        <f t="shared" si="8"/>
        <v>2026</v>
      </c>
      <c r="C166" s="116">
        <f t="shared" si="9"/>
        <v>2025</v>
      </c>
      <c r="D166" s="2" t="s">
        <v>155</v>
      </c>
      <c r="E166" s="2" t="s">
        <v>155</v>
      </c>
      <c r="F166" s="30">
        <v>45748</v>
      </c>
      <c r="G166" s="2">
        <f>DAY(EOMONTH(TA[[#This Row],[Month Year]],0))</f>
        <v>30</v>
      </c>
      <c r="H166" s="21">
        <v>45755</v>
      </c>
      <c r="I166" s="32">
        <f>IFERROR(VLOOKUP(TA[[#This Row],[Date]],Raw_Data[[Date]:[Sunset Time (POA&lt;20 W/m2)]],3,0),"")</f>
        <v>0.2638888888888889</v>
      </c>
      <c r="J166" s="32">
        <f>IFERROR(VLOOKUP(TA[[#This Row],[Date]],Raw_Data[[Date]:[Sunset Time (POA&lt;20 W/m2)]],4,0),"")</f>
        <v>0.76111111111111107</v>
      </c>
      <c r="K166" s="27">
        <f>IFERROR((TA[[#This Row],[Sunset Time (POA&lt;20 W/m2)]]-TA[[#This Row],[Sunrise Time (POA&gt;20 W/m2)]])*24,"")</f>
        <v>11.933333333333332</v>
      </c>
      <c r="L166" s="2" t="s">
        <v>287</v>
      </c>
      <c r="M166" s="33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321</v>
      </c>
      <c r="Q166" s="2" t="s">
        <v>314</v>
      </c>
      <c r="R166">
        <v>31</v>
      </c>
      <c r="S166" s="2">
        <v>61</v>
      </c>
      <c r="T166" t="s">
        <v>288</v>
      </c>
      <c r="U166" t="s">
        <v>317</v>
      </c>
      <c r="V166" t="s">
        <v>292</v>
      </c>
      <c r="W166" s="32">
        <f>IFERROR(VLOOKUP(TA[[#This Row],[Date]],Raw_Data[[Date]:[Sunset Time (POA&lt;20 W/m2)]],3,0),"")</f>
        <v>0.2638888888888889</v>
      </c>
      <c r="X166" s="32">
        <f>IFERROR(VLOOKUP(TA[[#This Row],[Date]],Raw_Data[[Date]:[Sunset Time (POA&lt;20 W/m2)]],3,0),"")</f>
        <v>0.2638888888888889</v>
      </c>
      <c r="Y166" s="26"/>
      <c r="Z166" s="26">
        <v>0.76041666666666663</v>
      </c>
      <c r="AA166" s="27">
        <f>IF(TA[[#This Row],[Work Start time on Fault]]="NA","",(TA[[#This Row],[Fault Acknowledgement Time ]]-TA[[#This Row],[Fault Time]])*24)</f>
        <v>0</v>
      </c>
      <c r="AB166" s="27">
        <f>(TA[[#This Row],[Work Start time on Fault]]-TA[[#This Row],[Fault Time]])*24</f>
        <v>-6.3333333333333339</v>
      </c>
      <c r="AC166" s="26">
        <f>(TA[[#This Row],[Work Completion time on fault]]-TA[[#This Row],[Fault Time]])*24</f>
        <v>11.916666666666666</v>
      </c>
      <c r="AD166" s="27">
        <f>IFERROR((TA[[#This Row],[Work Completion time on fault]]-TA[[#This Row],[Fault Time]])*24,"")</f>
        <v>11.916666666666666</v>
      </c>
      <c r="AE166" t="s">
        <v>300</v>
      </c>
      <c r="AF166" t="s">
        <v>247</v>
      </c>
      <c r="AG166" s="2"/>
      <c r="AH166" s="35">
        <f>1-COS(RADIANS(TA[[#This Row],[Avg. Target Angle during Fault Time (Radians)]]-TA[[#This Row],[Angle of affected equipment ]]))</f>
        <v>0.11705240714107301</v>
      </c>
      <c r="AI166" s="27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43">
        <f t="shared" si="8"/>
        <v>2026</v>
      </c>
      <c r="C167" s="116">
        <f t="shared" si="9"/>
        <v>2025</v>
      </c>
      <c r="D167" s="2" t="s">
        <v>155</v>
      </c>
      <c r="E167" s="2" t="s">
        <v>155</v>
      </c>
      <c r="F167" s="30">
        <v>45748</v>
      </c>
      <c r="G167" s="2">
        <f>DAY(EOMONTH(TA[[#This Row],[Month Year]],0))</f>
        <v>30</v>
      </c>
      <c r="H167" s="21">
        <v>45755</v>
      </c>
      <c r="I167" s="32">
        <f>IFERROR(VLOOKUP(TA[[#This Row],[Date]],Raw_Data[[Date]:[Sunset Time (POA&lt;20 W/m2)]],3,0),"")</f>
        <v>0.2638888888888889</v>
      </c>
      <c r="J167" s="32">
        <f>IFERROR(VLOOKUP(TA[[#This Row],[Date]],Raw_Data[[Date]:[Sunset Time (POA&lt;20 W/m2)]],4,0),"")</f>
        <v>0.76111111111111107</v>
      </c>
      <c r="K167" s="27">
        <f>IFERROR((TA[[#This Row],[Sunset Time (POA&lt;20 W/m2)]]-TA[[#This Row],[Sunrise Time (POA&gt;20 W/m2)]])*24,"")</f>
        <v>11.933333333333332</v>
      </c>
      <c r="L167" s="2" t="s">
        <v>303</v>
      </c>
      <c r="M167" s="33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321</v>
      </c>
      <c r="Q167" s="2" t="s">
        <v>314</v>
      </c>
      <c r="R167">
        <v>26</v>
      </c>
      <c r="S167" s="2">
        <v>37</v>
      </c>
      <c r="T167" t="s">
        <v>288</v>
      </c>
      <c r="U167" t="s">
        <v>317</v>
      </c>
      <c r="V167" t="s">
        <v>292</v>
      </c>
      <c r="W167" s="32">
        <f>IFERROR(VLOOKUP(TA[[#This Row],[Date]],Raw_Data[[Date]:[Sunset Time (POA&lt;20 W/m2)]],3,0),"")</f>
        <v>0.2638888888888889</v>
      </c>
      <c r="X167" s="32">
        <f>IFERROR(VLOOKUP(TA[[#This Row],[Date]],Raw_Data[[Date]:[Sunset Time (POA&lt;20 W/m2)]],3,0),"")</f>
        <v>0.2638888888888889</v>
      </c>
      <c r="Y167" s="26"/>
      <c r="Z167" s="26">
        <v>0.76041666666666663</v>
      </c>
      <c r="AA167" s="27">
        <f>IF(TA[[#This Row],[Work Start time on Fault]]="NA","",(TA[[#This Row],[Fault Acknowledgement Time ]]-TA[[#This Row],[Fault Time]])*24)</f>
        <v>0</v>
      </c>
      <c r="AB167" s="27">
        <f>(TA[[#This Row],[Work Start time on Fault]]-TA[[#This Row],[Fault Time]])*24</f>
        <v>-6.3333333333333339</v>
      </c>
      <c r="AC167" s="26">
        <f>(TA[[#This Row],[Work Completion time on fault]]-TA[[#This Row],[Fault Time]])*24</f>
        <v>11.916666666666666</v>
      </c>
      <c r="AD167" s="27">
        <f>IFERROR((TA[[#This Row],[Work Completion time on fault]]-TA[[#This Row],[Fault Time]])*24,"")</f>
        <v>11.916666666666666</v>
      </c>
      <c r="AE167" t="s">
        <v>300</v>
      </c>
      <c r="AF167" t="s">
        <v>247</v>
      </c>
      <c r="AG167" s="2"/>
      <c r="AH167" s="35">
        <f>1-COS(RADIANS(TA[[#This Row],[Avg. Target Angle during Fault Time (Radians)]]-TA[[#This Row],[Angle of affected equipment ]]))</f>
        <v>0.11705240714107301</v>
      </c>
      <c r="AI167" s="27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43">
        <f t="shared" si="8"/>
        <v>2026</v>
      </c>
      <c r="C168" s="116">
        <f t="shared" si="9"/>
        <v>2025</v>
      </c>
      <c r="D168" s="2" t="s">
        <v>155</v>
      </c>
      <c r="E168" s="2" t="s">
        <v>155</v>
      </c>
      <c r="F168" s="30">
        <v>45748</v>
      </c>
      <c r="G168" s="2">
        <f>DAY(EOMONTH(TA[[#This Row],[Month Year]],0))</f>
        <v>30</v>
      </c>
      <c r="H168" s="21">
        <v>45755</v>
      </c>
      <c r="I168" s="32">
        <f>IFERROR(VLOOKUP(TA[[#This Row],[Date]],Raw_Data[[Date]:[Sunset Time (POA&lt;20 W/m2)]],3,0),"")</f>
        <v>0.2638888888888889</v>
      </c>
      <c r="J168" s="32">
        <f>IFERROR(VLOOKUP(TA[[#This Row],[Date]],Raw_Data[[Date]:[Sunset Time (POA&lt;20 W/m2)]],4,0),"")</f>
        <v>0.76111111111111107</v>
      </c>
      <c r="K168" s="27">
        <f>IFERROR((TA[[#This Row],[Sunset Time (POA&lt;20 W/m2)]]-TA[[#This Row],[Sunrise Time (POA&gt;20 W/m2)]])*24,"")</f>
        <v>11.933333333333332</v>
      </c>
      <c r="L168" s="2" t="s">
        <v>303</v>
      </c>
      <c r="M168" s="33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321</v>
      </c>
      <c r="Q168" s="2" t="s">
        <v>314</v>
      </c>
      <c r="R168">
        <v>27</v>
      </c>
      <c r="S168" s="2">
        <v>42</v>
      </c>
      <c r="T168" t="s">
        <v>288</v>
      </c>
      <c r="U168" t="s">
        <v>317</v>
      </c>
      <c r="V168" t="s">
        <v>292</v>
      </c>
      <c r="W168" s="32">
        <f>IFERROR(VLOOKUP(TA[[#This Row],[Date]],Raw_Data[[Date]:[Sunset Time (POA&lt;20 W/m2)]],3,0),"")</f>
        <v>0.2638888888888889</v>
      </c>
      <c r="X168" s="32">
        <f>IFERROR(VLOOKUP(TA[[#This Row],[Date]],Raw_Data[[Date]:[Sunset Time (POA&lt;20 W/m2)]],3,0),"")</f>
        <v>0.2638888888888889</v>
      </c>
      <c r="Y168" s="26"/>
      <c r="Z168" s="26">
        <v>0.76041666666666663</v>
      </c>
      <c r="AA168" s="27">
        <f>IF(TA[[#This Row],[Work Start time on Fault]]="NA","",(TA[[#This Row],[Fault Acknowledgement Time ]]-TA[[#This Row],[Fault Time]])*24)</f>
        <v>0</v>
      </c>
      <c r="AB168" s="27">
        <f>(TA[[#This Row],[Work Start time on Fault]]-TA[[#This Row],[Fault Time]])*24</f>
        <v>-6.3333333333333339</v>
      </c>
      <c r="AC168" s="26">
        <f>(TA[[#This Row],[Work Completion time on fault]]-TA[[#This Row],[Fault Time]])*24</f>
        <v>11.916666666666666</v>
      </c>
      <c r="AD168" s="27">
        <f>IFERROR((TA[[#This Row],[Work Completion time on fault]]-TA[[#This Row],[Fault Time]])*24,"")</f>
        <v>11.916666666666666</v>
      </c>
      <c r="AE168" t="s">
        <v>300</v>
      </c>
      <c r="AF168" t="s">
        <v>247</v>
      </c>
      <c r="AG168" s="2"/>
      <c r="AH168" s="35">
        <f>1-COS(RADIANS(TA[[#This Row],[Avg. Target Angle during Fault Time (Radians)]]-TA[[#This Row],[Angle of affected equipment ]]))</f>
        <v>0.11705240714107301</v>
      </c>
      <c r="AI168" s="27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43">
        <f t="shared" si="8"/>
        <v>2026</v>
      </c>
      <c r="C169" s="116">
        <f t="shared" si="9"/>
        <v>2025</v>
      </c>
      <c r="D169" s="2" t="s">
        <v>155</v>
      </c>
      <c r="E169" s="2" t="s">
        <v>155</v>
      </c>
      <c r="F169" s="30">
        <v>45748</v>
      </c>
      <c r="G169" s="2">
        <f>DAY(EOMONTH(TA[[#This Row],[Month Year]],0))</f>
        <v>30</v>
      </c>
      <c r="H169" s="21">
        <v>45756</v>
      </c>
      <c r="I169" s="32">
        <f>IFERROR(VLOOKUP(TA[[#This Row],[Date]],Raw_Data[[Date]:[Sunset Time (POA&lt;20 W/m2)]],3,0),"")</f>
        <v>0.26527777777777778</v>
      </c>
      <c r="J169" s="32">
        <f>IFERROR(VLOOKUP(TA[[#This Row],[Date]],Raw_Data[[Date]:[Sunset Time (POA&lt;20 W/m2)]],4,0),"")</f>
        <v>0.7680555555555556</v>
      </c>
      <c r="K169" s="27">
        <f>IFERROR((TA[[#This Row],[Sunset Time (POA&lt;20 W/m2)]]-TA[[#This Row],[Sunrise Time (POA&gt;20 W/m2)]])*24,"")</f>
        <v>12.066666666666666</v>
      </c>
      <c r="L169" s="2" t="s">
        <v>285</v>
      </c>
      <c r="M169" s="33">
        <f>IFERROR(VLOOKUP(TA[[#This Row],[Affected Equipment]],'Basic Data'!$I$2:$K$40,3,0),"")</f>
        <v>1.7241379310344799E-3</v>
      </c>
      <c r="N169">
        <v>-28</v>
      </c>
      <c r="O169" t="s">
        <v>135</v>
      </c>
      <c r="P169" s="114" t="s">
        <v>309</v>
      </c>
      <c r="Q169" s="113" t="s">
        <v>309</v>
      </c>
      <c r="R169">
        <v>130</v>
      </c>
      <c r="S169" s="2">
        <v>36</v>
      </c>
      <c r="T169" t="s">
        <v>286</v>
      </c>
      <c r="U169" t="s">
        <v>291</v>
      </c>
      <c r="V169" t="s">
        <v>289</v>
      </c>
      <c r="W169" s="32"/>
      <c r="X169" s="32"/>
      <c r="Y169" s="26"/>
      <c r="Z169" s="26"/>
      <c r="AA169" s="27">
        <f>IF(TA[[#This Row],[Work Start time on Fault]]="NA","",(TA[[#This Row],[Fault Acknowledgement Time ]]-TA[[#This Row],[Fault Time]])*24)</f>
        <v>0</v>
      </c>
      <c r="AB169" s="27">
        <f>(TA[[#This Row],[Work Start time on Fault]]-TA[[#This Row],[Fault Time]])*24</f>
        <v>0</v>
      </c>
      <c r="AC169" s="26">
        <f>(TA[[#This Row],[Work Completion time on fault]]-TA[[#This Row],[Fault Time]])*24</f>
        <v>0</v>
      </c>
      <c r="AD169" s="27">
        <f>IFERROR((TA[[#This Row],[Work Completion time on fault]]-TA[[#This Row],[Fault Time]])*24,"")</f>
        <v>0</v>
      </c>
      <c r="AE169" t="s">
        <v>319</v>
      </c>
      <c r="AF169" t="s">
        <v>247</v>
      </c>
      <c r="AG169" s="2"/>
      <c r="AH169" s="35">
        <f>1-COS(RADIANS(TA[[#This Row],[Avg. Target Angle during Fault Time (Radians)]]-TA[[#This Row],[Angle of affected equipment ]]))</f>
        <v>0.11705240714107301</v>
      </c>
      <c r="AI169" s="27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43">
        <f t="shared" si="8"/>
        <v>2026</v>
      </c>
      <c r="C170" s="116">
        <f t="shared" si="9"/>
        <v>2025</v>
      </c>
      <c r="D170" s="2" t="s">
        <v>155</v>
      </c>
      <c r="E170" s="2" t="s">
        <v>155</v>
      </c>
      <c r="F170" s="30">
        <v>45748</v>
      </c>
      <c r="G170" s="2">
        <f>DAY(EOMONTH(TA[[#This Row],[Month Year]],0))</f>
        <v>30</v>
      </c>
      <c r="H170" s="21">
        <v>45756</v>
      </c>
      <c r="I170" s="32">
        <f>IFERROR(VLOOKUP(TA[[#This Row],[Date]],Raw_Data[[Date]:[Sunset Time (POA&lt;20 W/m2)]],3,0),"")</f>
        <v>0.26527777777777778</v>
      </c>
      <c r="J170" s="32">
        <f>IFERROR(VLOOKUP(TA[[#This Row],[Date]],Raw_Data[[Date]:[Sunset Time (POA&lt;20 W/m2)]],4,0),"")</f>
        <v>0.7680555555555556</v>
      </c>
      <c r="K170" s="27">
        <f>IFERROR((TA[[#This Row],[Sunset Time (POA&lt;20 W/m2)]]-TA[[#This Row],[Sunrise Time (POA&gt;20 W/m2)]])*24,"")</f>
        <v>12.066666666666666</v>
      </c>
      <c r="L170" s="2" t="s">
        <v>285</v>
      </c>
      <c r="M170" s="33">
        <f>IFERROR(VLOOKUP(TA[[#This Row],[Affected Equipment]],'Basic Data'!$I$2:$K$40,3,0),"")</f>
        <v>1.7241379310344799E-3</v>
      </c>
      <c r="N170">
        <v>-28</v>
      </c>
      <c r="O170" t="s">
        <v>135</v>
      </c>
      <c r="P170" s="114" t="s">
        <v>309</v>
      </c>
      <c r="Q170" s="113" t="s">
        <v>309</v>
      </c>
      <c r="R170">
        <v>130</v>
      </c>
      <c r="S170" s="2">
        <v>37</v>
      </c>
      <c r="T170" t="s">
        <v>286</v>
      </c>
      <c r="U170" t="s">
        <v>291</v>
      </c>
      <c r="V170" t="s">
        <v>289</v>
      </c>
      <c r="W170" s="32"/>
      <c r="X170" s="32"/>
      <c r="Y170" s="26"/>
      <c r="Z170" s="26"/>
      <c r="AA170" s="27">
        <f>IF(TA[[#This Row],[Work Start time on Fault]]="NA","",(TA[[#This Row],[Fault Acknowledgement Time ]]-TA[[#This Row],[Fault Time]])*24)</f>
        <v>0</v>
      </c>
      <c r="AB170" s="27">
        <f>(TA[[#This Row],[Work Start time on Fault]]-TA[[#This Row],[Fault Time]])*24</f>
        <v>0</v>
      </c>
      <c r="AC170" s="26">
        <f>(TA[[#This Row],[Work Completion time on fault]]-TA[[#This Row],[Fault Time]])*24</f>
        <v>0</v>
      </c>
      <c r="AD170" s="27">
        <f>IFERROR((TA[[#This Row],[Work Completion time on fault]]-TA[[#This Row],[Fault Time]])*24,"")</f>
        <v>0</v>
      </c>
      <c r="AE170" t="s">
        <v>319</v>
      </c>
      <c r="AF170" t="s">
        <v>247</v>
      </c>
      <c r="AG170" s="2"/>
      <c r="AH170" s="35">
        <f>1-COS(RADIANS(TA[[#This Row],[Avg. Target Angle during Fault Time (Radians)]]-TA[[#This Row],[Angle of affected equipment ]]))</f>
        <v>0.11705240714107301</v>
      </c>
      <c r="AI170" s="27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43">
        <f t="shared" si="8"/>
        <v>2026</v>
      </c>
      <c r="C171" s="116">
        <f t="shared" si="9"/>
        <v>2025</v>
      </c>
      <c r="D171" s="2" t="s">
        <v>155</v>
      </c>
      <c r="E171" s="2" t="s">
        <v>155</v>
      </c>
      <c r="F171" s="30">
        <v>45748</v>
      </c>
      <c r="G171" s="2">
        <f>DAY(EOMONTH(TA[[#This Row],[Month Year]],0))</f>
        <v>30</v>
      </c>
      <c r="H171" s="21">
        <v>45756</v>
      </c>
      <c r="I171" s="32">
        <f>IFERROR(VLOOKUP(TA[[#This Row],[Date]],Raw_Data[[Date]:[Sunset Time (POA&lt;20 W/m2)]],3,0),"")</f>
        <v>0.26527777777777778</v>
      </c>
      <c r="J171" s="32">
        <f>IFERROR(VLOOKUP(TA[[#This Row],[Date]],Raw_Data[[Date]:[Sunset Time (POA&lt;20 W/m2)]],4,0),"")</f>
        <v>0.7680555555555556</v>
      </c>
      <c r="K171" s="27">
        <f>IFERROR((TA[[#This Row],[Sunset Time (POA&lt;20 W/m2)]]-TA[[#This Row],[Sunrise Time (POA&gt;20 W/m2)]])*24,"")</f>
        <v>12.066666666666666</v>
      </c>
      <c r="L171" s="2" t="s">
        <v>285</v>
      </c>
      <c r="M171" s="33">
        <f>IFERROR(VLOOKUP(TA[[#This Row],[Affected Equipment]],'Basic Data'!$I$2:$K$40,3,0),"")</f>
        <v>1.7241379310344799E-3</v>
      </c>
      <c r="N171">
        <v>-28</v>
      </c>
      <c r="O171" t="s">
        <v>135</v>
      </c>
      <c r="P171" s="114" t="s">
        <v>309</v>
      </c>
      <c r="Q171" s="113" t="s">
        <v>309</v>
      </c>
      <c r="R171">
        <v>131</v>
      </c>
      <c r="S171" s="2">
        <v>38</v>
      </c>
      <c r="T171" t="s">
        <v>286</v>
      </c>
      <c r="U171" t="s">
        <v>291</v>
      </c>
      <c r="V171" t="s">
        <v>289</v>
      </c>
      <c r="W171" s="32"/>
      <c r="X171" s="32"/>
      <c r="Y171" s="26"/>
      <c r="Z171" s="26"/>
      <c r="AA171" s="27">
        <f>IF(TA[[#This Row],[Work Start time on Fault]]="NA","",(TA[[#This Row],[Fault Acknowledgement Time ]]-TA[[#This Row],[Fault Time]])*24)</f>
        <v>0</v>
      </c>
      <c r="AB171" s="27">
        <f>(TA[[#This Row],[Work Start time on Fault]]-TA[[#This Row],[Fault Time]])*24</f>
        <v>0</v>
      </c>
      <c r="AC171" s="26">
        <f>(TA[[#This Row],[Work Completion time on fault]]-TA[[#This Row],[Fault Time]])*24</f>
        <v>0</v>
      </c>
      <c r="AD171" s="27">
        <f>IFERROR((TA[[#This Row],[Work Completion time on fault]]-TA[[#This Row],[Fault Time]])*24,"")</f>
        <v>0</v>
      </c>
      <c r="AE171" t="s">
        <v>319</v>
      </c>
      <c r="AF171" t="s">
        <v>247</v>
      </c>
      <c r="AG171" s="2"/>
      <c r="AH171" s="35">
        <f>1-COS(RADIANS(TA[[#This Row],[Avg. Target Angle during Fault Time (Radians)]]-TA[[#This Row],[Angle of affected equipment ]]))</f>
        <v>0.11705240714107301</v>
      </c>
      <c r="AI171" s="27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43">
        <f t="shared" si="8"/>
        <v>2026</v>
      </c>
      <c r="C172" s="116">
        <f t="shared" si="9"/>
        <v>2025</v>
      </c>
      <c r="D172" s="2" t="s">
        <v>155</v>
      </c>
      <c r="E172" s="2" t="s">
        <v>155</v>
      </c>
      <c r="F172" s="30">
        <v>45748</v>
      </c>
      <c r="G172" s="2">
        <f>DAY(EOMONTH(TA[[#This Row],[Month Year]],0))</f>
        <v>30</v>
      </c>
      <c r="H172" s="21">
        <v>45756</v>
      </c>
      <c r="I172" s="32">
        <f>IFERROR(VLOOKUP(TA[[#This Row],[Date]],Raw_Data[[Date]:[Sunset Time (POA&lt;20 W/m2)]],3,0),"")</f>
        <v>0.26527777777777778</v>
      </c>
      <c r="J172" s="32">
        <f>IFERROR(VLOOKUP(TA[[#This Row],[Date]],Raw_Data[[Date]:[Sunset Time (POA&lt;20 W/m2)]],4,0),"")</f>
        <v>0.7680555555555556</v>
      </c>
      <c r="K172" s="27">
        <f>IFERROR((TA[[#This Row],[Sunset Time (POA&lt;20 W/m2)]]-TA[[#This Row],[Sunrise Time (POA&gt;20 W/m2)]])*24,"")</f>
        <v>12.066666666666666</v>
      </c>
      <c r="L172" s="2" t="s">
        <v>285</v>
      </c>
      <c r="M172" s="33">
        <f>IFERROR(VLOOKUP(TA[[#This Row],[Affected Equipment]],'Basic Data'!$I$2:$K$40,3,0),"")</f>
        <v>1.7241379310344799E-3</v>
      </c>
      <c r="N172">
        <v>-28</v>
      </c>
      <c r="O172" t="s">
        <v>135</v>
      </c>
      <c r="P172" s="114" t="s">
        <v>309</v>
      </c>
      <c r="Q172" s="113" t="s">
        <v>309</v>
      </c>
      <c r="R172">
        <v>131</v>
      </c>
      <c r="S172" s="2">
        <v>39</v>
      </c>
      <c r="T172" t="s">
        <v>286</v>
      </c>
      <c r="U172" t="s">
        <v>291</v>
      </c>
      <c r="V172" t="s">
        <v>289</v>
      </c>
      <c r="W172" s="32"/>
      <c r="X172" s="32"/>
      <c r="Y172" s="26"/>
      <c r="Z172" s="26"/>
      <c r="AA172" s="27">
        <f>IF(TA[[#This Row],[Work Start time on Fault]]="NA","",(TA[[#This Row],[Fault Acknowledgement Time ]]-TA[[#This Row],[Fault Time]])*24)</f>
        <v>0</v>
      </c>
      <c r="AB172" s="27">
        <f>(TA[[#This Row],[Work Start time on Fault]]-TA[[#This Row],[Fault Time]])*24</f>
        <v>0</v>
      </c>
      <c r="AC172" s="26">
        <f>(TA[[#This Row],[Work Completion time on fault]]-TA[[#This Row],[Fault Time]])*24</f>
        <v>0</v>
      </c>
      <c r="AD172" s="27">
        <f>IFERROR((TA[[#This Row],[Work Completion time on fault]]-TA[[#This Row],[Fault Time]])*24,"")</f>
        <v>0</v>
      </c>
      <c r="AE172" t="s">
        <v>319</v>
      </c>
      <c r="AF172" t="s">
        <v>247</v>
      </c>
      <c r="AG172" s="2"/>
      <c r="AH172" s="35">
        <f>1-COS(RADIANS(TA[[#This Row],[Avg. Target Angle during Fault Time (Radians)]]-TA[[#This Row],[Angle of affected equipment ]]))</f>
        <v>0.11705240714107301</v>
      </c>
      <c r="AI172" s="27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43">
        <f t="shared" si="8"/>
        <v>2026</v>
      </c>
      <c r="C173" s="116">
        <f t="shared" si="9"/>
        <v>2025</v>
      </c>
      <c r="D173" s="2" t="s">
        <v>155</v>
      </c>
      <c r="E173" s="2" t="s">
        <v>155</v>
      </c>
      <c r="F173" s="30">
        <v>45748</v>
      </c>
      <c r="G173" s="2">
        <f>DAY(EOMONTH(TA[[#This Row],[Month Year]],0))</f>
        <v>30</v>
      </c>
      <c r="H173" s="21">
        <v>45756</v>
      </c>
      <c r="I173" s="32">
        <f>IFERROR(VLOOKUP(TA[[#This Row],[Date]],Raw_Data[[Date]:[Sunset Time (POA&lt;20 W/m2)]],3,0),"")</f>
        <v>0.26527777777777778</v>
      </c>
      <c r="J173" s="32">
        <f>IFERROR(VLOOKUP(TA[[#This Row],[Date]],Raw_Data[[Date]:[Sunset Time (POA&lt;20 W/m2)]],4,0),"")</f>
        <v>0.7680555555555556</v>
      </c>
      <c r="K173" s="27">
        <f>IFERROR((TA[[#This Row],[Sunset Time (POA&lt;20 W/m2)]]-TA[[#This Row],[Sunrise Time (POA&gt;20 W/m2)]])*24,"")</f>
        <v>12.066666666666666</v>
      </c>
      <c r="L173" s="2" t="s">
        <v>287</v>
      </c>
      <c r="M173" s="33">
        <f>IFERROR(VLOOKUP(TA[[#This Row],[Affected Equipment]],'Basic Data'!$I$2:$K$40,3,0),"")</f>
        <v>8.6206896551724102E-3</v>
      </c>
      <c r="N173">
        <v>-28</v>
      </c>
      <c r="O173" t="s">
        <v>135</v>
      </c>
      <c r="P173" s="114" t="s">
        <v>309</v>
      </c>
      <c r="Q173" s="2" t="s">
        <v>312</v>
      </c>
      <c r="R173">
        <v>133</v>
      </c>
      <c r="S173" s="2">
        <v>26</v>
      </c>
      <c r="T173" t="s">
        <v>288</v>
      </c>
      <c r="U173" t="s">
        <v>291</v>
      </c>
      <c r="V173" t="s">
        <v>305</v>
      </c>
      <c r="W173" s="32"/>
      <c r="X173" s="32"/>
      <c r="Y173" s="26"/>
      <c r="Z173" s="26"/>
      <c r="AA173" s="27">
        <f>IF(TA[[#This Row],[Work Start time on Fault]]="NA","",(TA[[#This Row],[Fault Acknowledgement Time ]]-TA[[#This Row],[Fault Time]])*24)</f>
        <v>0</v>
      </c>
      <c r="AB173" s="27">
        <f>(TA[[#This Row],[Work Start time on Fault]]-TA[[#This Row],[Fault Time]])*24</f>
        <v>0</v>
      </c>
      <c r="AC173" s="26">
        <f>(TA[[#This Row],[Work Completion time on fault]]-TA[[#This Row],[Fault Time]])*24</f>
        <v>0</v>
      </c>
      <c r="AD173" s="27">
        <f>IFERROR((TA[[#This Row],[Work Completion time on fault]]-TA[[#This Row],[Fault Time]])*24,"")</f>
        <v>0</v>
      </c>
      <c r="AE173" t="s">
        <v>319</v>
      </c>
      <c r="AF173" t="s">
        <v>247</v>
      </c>
      <c r="AG173" s="2"/>
      <c r="AH173" s="35">
        <f>1-COS(RADIANS(TA[[#This Row],[Avg. Target Angle during Fault Time (Radians)]]-TA[[#This Row],[Angle of affected equipment ]]))</f>
        <v>0.11705240714107301</v>
      </c>
      <c r="AI173" s="27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43">
        <f t="shared" si="8"/>
        <v>2026</v>
      </c>
      <c r="C174" s="116">
        <f t="shared" si="9"/>
        <v>2025</v>
      </c>
      <c r="D174" s="2" t="s">
        <v>155</v>
      </c>
      <c r="E174" s="2" t="s">
        <v>155</v>
      </c>
      <c r="F174" s="30">
        <v>45748</v>
      </c>
      <c r="G174" s="2">
        <f>DAY(EOMONTH(TA[[#This Row],[Month Year]],0))</f>
        <v>30</v>
      </c>
      <c r="H174" s="21">
        <v>45756</v>
      </c>
      <c r="I174" s="32">
        <f>IFERROR(VLOOKUP(TA[[#This Row],[Date]],Raw_Data[[Date]:[Sunset Time (POA&lt;20 W/m2)]],3,0),"")</f>
        <v>0.26527777777777778</v>
      </c>
      <c r="J174" s="32">
        <f>IFERROR(VLOOKUP(TA[[#This Row],[Date]],Raw_Data[[Date]:[Sunset Time (POA&lt;20 W/m2)]],4,0),"")</f>
        <v>0.7680555555555556</v>
      </c>
      <c r="K174" s="27">
        <f>IFERROR((TA[[#This Row],[Sunset Time (POA&lt;20 W/m2)]]-TA[[#This Row],[Sunrise Time (POA&gt;20 W/m2)]])*24,"")</f>
        <v>12.066666666666666</v>
      </c>
      <c r="L174" s="2" t="s">
        <v>285</v>
      </c>
      <c r="M174" s="33">
        <f>IFERROR(VLOOKUP(TA[[#This Row],[Affected Equipment]],'Basic Data'!$I$2:$K$40,3,0),"")</f>
        <v>1.7241379310344799E-3</v>
      </c>
      <c r="N174">
        <v>-28</v>
      </c>
      <c r="O174" t="s">
        <v>133</v>
      </c>
      <c r="P174" s="114" t="s">
        <v>307</v>
      </c>
      <c r="Q174" s="113" t="s">
        <v>308</v>
      </c>
      <c r="R174">
        <v>7</v>
      </c>
      <c r="S174" s="2">
        <v>32</v>
      </c>
      <c r="T174" t="s">
        <v>286</v>
      </c>
      <c r="U174" t="s">
        <v>291</v>
      </c>
      <c r="V174" t="s">
        <v>289</v>
      </c>
      <c r="W174" s="32"/>
      <c r="X174" s="32"/>
      <c r="Y174" s="26"/>
      <c r="Z174" s="26"/>
      <c r="AA174" s="27">
        <f>IF(TA[[#This Row],[Work Start time on Fault]]="NA","",(TA[[#This Row],[Fault Acknowledgement Time ]]-TA[[#This Row],[Fault Time]])*24)</f>
        <v>0</v>
      </c>
      <c r="AB174" s="27">
        <f>(TA[[#This Row],[Work Start time on Fault]]-TA[[#This Row],[Fault Time]])*24</f>
        <v>0</v>
      </c>
      <c r="AC174" s="26">
        <f>(TA[[#This Row],[Work Completion time on fault]]-TA[[#This Row],[Fault Time]])*24</f>
        <v>0</v>
      </c>
      <c r="AD174" s="27">
        <f>IFERROR((TA[[#This Row],[Work Completion time on fault]]-TA[[#This Row],[Fault Time]])*24,"")</f>
        <v>0</v>
      </c>
      <c r="AE174" t="s">
        <v>319</v>
      </c>
      <c r="AF174" t="s">
        <v>247</v>
      </c>
      <c r="AG174" s="2"/>
      <c r="AH174" s="35">
        <f>1-COS(RADIANS(TA[[#This Row],[Avg. Target Angle during Fault Time (Radians)]]-TA[[#This Row],[Angle of affected equipment ]]))</f>
        <v>0.11705240714107301</v>
      </c>
      <c r="AI174" s="27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43">
        <f t="shared" si="8"/>
        <v>2026</v>
      </c>
      <c r="C175" s="116">
        <f t="shared" si="9"/>
        <v>2025</v>
      </c>
      <c r="D175" s="2" t="s">
        <v>155</v>
      </c>
      <c r="E175" s="2" t="s">
        <v>155</v>
      </c>
      <c r="F175" s="30">
        <v>45748</v>
      </c>
      <c r="G175" s="2">
        <f>DAY(EOMONTH(TA[[#This Row],[Month Year]],0))</f>
        <v>30</v>
      </c>
      <c r="H175" s="21">
        <v>45756</v>
      </c>
      <c r="I175" s="32">
        <f>IFERROR(VLOOKUP(TA[[#This Row],[Date]],Raw_Data[[Date]:[Sunset Time (POA&lt;20 W/m2)]],3,0),"")</f>
        <v>0.26527777777777778</v>
      </c>
      <c r="J175" s="32">
        <f>IFERROR(VLOOKUP(TA[[#This Row],[Date]],Raw_Data[[Date]:[Sunset Time (POA&lt;20 W/m2)]],4,0),"")</f>
        <v>0.7680555555555556</v>
      </c>
      <c r="K175" s="27">
        <f>IFERROR((TA[[#This Row],[Sunset Time (POA&lt;20 W/m2)]]-TA[[#This Row],[Sunrise Time (POA&gt;20 W/m2)]])*24,"")</f>
        <v>12.066666666666666</v>
      </c>
      <c r="L175" s="2" t="s">
        <v>285</v>
      </c>
      <c r="M175" s="33">
        <f>IFERROR(VLOOKUP(TA[[#This Row],[Affected Equipment]],'Basic Data'!$I$2:$K$40,3,0),"")</f>
        <v>1.7241379310344799E-3</v>
      </c>
      <c r="N175">
        <v>-28</v>
      </c>
      <c r="O175" t="s">
        <v>137</v>
      </c>
      <c r="P175" s="114" t="s">
        <v>306</v>
      </c>
      <c r="Q175" s="113" t="s">
        <v>310</v>
      </c>
      <c r="R175">
        <v>166</v>
      </c>
      <c r="S175" s="2">
        <v>91</v>
      </c>
      <c r="T175" t="s">
        <v>286</v>
      </c>
      <c r="U175" t="s">
        <v>291</v>
      </c>
      <c r="V175" t="s">
        <v>289</v>
      </c>
      <c r="W175" s="32"/>
      <c r="X175" s="32"/>
      <c r="Y175" s="26"/>
      <c r="Z175" s="26"/>
      <c r="AA175" s="27">
        <f>IF(TA[[#This Row],[Work Start time on Fault]]="NA","",(TA[[#This Row],[Fault Acknowledgement Time ]]-TA[[#This Row],[Fault Time]])*24)</f>
        <v>0</v>
      </c>
      <c r="AB175" s="27">
        <f>(TA[[#This Row],[Work Start time on Fault]]-TA[[#This Row],[Fault Time]])*24</f>
        <v>0</v>
      </c>
      <c r="AC175" s="26">
        <f>(TA[[#This Row],[Work Completion time on fault]]-TA[[#This Row],[Fault Time]])*24</f>
        <v>0</v>
      </c>
      <c r="AD175" s="27">
        <f>IFERROR((TA[[#This Row],[Work Completion time on fault]]-TA[[#This Row],[Fault Time]])*24,"")</f>
        <v>0</v>
      </c>
      <c r="AE175" t="s">
        <v>319</v>
      </c>
      <c r="AF175" t="s">
        <v>247</v>
      </c>
      <c r="AG175" s="2"/>
      <c r="AH175" s="35">
        <f>1-COS(RADIANS(TA[[#This Row],[Avg. Target Angle during Fault Time (Radians)]]-TA[[#This Row],[Angle of affected equipment ]]))</f>
        <v>0.11705240714107301</v>
      </c>
      <c r="AI175" s="27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43">
        <f t="shared" si="8"/>
        <v>2026</v>
      </c>
      <c r="C176" s="116">
        <f t="shared" si="9"/>
        <v>2025</v>
      </c>
      <c r="D176" s="2" t="s">
        <v>155</v>
      </c>
      <c r="E176" s="2" t="s">
        <v>155</v>
      </c>
      <c r="F176" s="30">
        <v>45748</v>
      </c>
      <c r="G176" s="2">
        <f>DAY(EOMONTH(TA[[#This Row],[Month Year]],0))</f>
        <v>30</v>
      </c>
      <c r="H176" s="21">
        <v>45756</v>
      </c>
      <c r="I176" s="32">
        <f>IFERROR(VLOOKUP(TA[[#This Row],[Date]],Raw_Data[[Date]:[Sunset Time (POA&lt;20 W/m2)]],3,0),"")</f>
        <v>0.26527777777777778</v>
      </c>
      <c r="J176" s="32">
        <f>IFERROR(VLOOKUP(TA[[#This Row],[Date]],Raw_Data[[Date]:[Sunset Time (POA&lt;20 W/m2)]],4,0),"")</f>
        <v>0.7680555555555556</v>
      </c>
      <c r="K176" s="27">
        <f>IFERROR((TA[[#This Row],[Sunset Time (POA&lt;20 W/m2)]]-TA[[#This Row],[Sunrise Time (POA&gt;20 W/m2)]])*24,"")</f>
        <v>12.066666666666666</v>
      </c>
      <c r="L176" s="2" t="s">
        <v>285</v>
      </c>
      <c r="M176" s="33">
        <f>IFERROR(VLOOKUP(TA[[#This Row],[Affected Equipment]],'Basic Data'!$I$2:$K$40,3,0),"")</f>
        <v>1.7241379310344799E-3</v>
      </c>
      <c r="N176">
        <v>-28</v>
      </c>
      <c r="O176" t="s">
        <v>133</v>
      </c>
      <c r="P176" s="114" t="s">
        <v>307</v>
      </c>
      <c r="Q176" s="113" t="s">
        <v>307</v>
      </c>
      <c r="R176">
        <v>117</v>
      </c>
      <c r="S176" s="2">
        <v>20</v>
      </c>
      <c r="T176" t="s">
        <v>286</v>
      </c>
      <c r="U176" t="s">
        <v>291</v>
      </c>
      <c r="V176" t="s">
        <v>289</v>
      </c>
      <c r="W176" s="32"/>
      <c r="X176" s="32"/>
      <c r="Y176" s="26"/>
      <c r="Z176" s="26"/>
      <c r="AA176" s="27">
        <f>IF(TA[[#This Row],[Work Start time on Fault]]="NA","",(TA[[#This Row],[Fault Acknowledgement Time ]]-TA[[#This Row],[Fault Time]])*24)</f>
        <v>0</v>
      </c>
      <c r="AB176" s="27">
        <f>(TA[[#This Row],[Work Start time on Fault]]-TA[[#This Row],[Fault Time]])*24</f>
        <v>0</v>
      </c>
      <c r="AC176" s="26">
        <f>(TA[[#This Row],[Work Completion time on fault]]-TA[[#This Row],[Fault Time]])*24</f>
        <v>0</v>
      </c>
      <c r="AD176" s="27">
        <f>IFERROR((TA[[#This Row],[Work Completion time on fault]]-TA[[#This Row],[Fault Time]])*24,"")</f>
        <v>0</v>
      </c>
      <c r="AE176" t="s">
        <v>319</v>
      </c>
      <c r="AF176" t="s">
        <v>247</v>
      </c>
      <c r="AG176" s="2"/>
      <c r="AH176" s="35">
        <f>1-COS(RADIANS(TA[[#This Row],[Avg. Target Angle during Fault Time (Radians)]]-TA[[#This Row],[Angle of affected equipment ]]))</f>
        <v>0.11705240714107301</v>
      </c>
      <c r="AI176" s="27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43">
        <f t="shared" si="8"/>
        <v>2026</v>
      </c>
      <c r="C177" s="116">
        <f t="shared" si="9"/>
        <v>2025</v>
      </c>
      <c r="D177" s="2" t="s">
        <v>155</v>
      </c>
      <c r="E177" s="2" t="s">
        <v>155</v>
      </c>
      <c r="F177" s="30">
        <v>45748</v>
      </c>
      <c r="G177" s="2">
        <f>DAY(EOMONTH(TA[[#This Row],[Month Year]],0))</f>
        <v>30</v>
      </c>
      <c r="H177" s="21">
        <v>45756</v>
      </c>
      <c r="I177" s="32">
        <f>IFERROR(VLOOKUP(TA[[#This Row],[Date]],Raw_Data[[Date]:[Sunset Time (POA&lt;20 W/m2)]],3,0),"")</f>
        <v>0.26527777777777778</v>
      </c>
      <c r="J177" s="32">
        <f>IFERROR(VLOOKUP(TA[[#This Row],[Date]],Raw_Data[[Date]:[Sunset Time (POA&lt;20 W/m2)]],4,0),"")</f>
        <v>0.7680555555555556</v>
      </c>
      <c r="K177" s="27">
        <f>IFERROR((TA[[#This Row],[Sunset Time (POA&lt;20 W/m2)]]-TA[[#This Row],[Sunrise Time (POA&gt;20 W/m2)]])*24,"")</f>
        <v>12.066666666666666</v>
      </c>
      <c r="L177" s="2" t="s">
        <v>285</v>
      </c>
      <c r="M177" s="33">
        <f>IFERROR(VLOOKUP(TA[[#This Row],[Affected Equipment]],'Basic Data'!$I$2:$K$40,3,0),"")</f>
        <v>1.7241379310344799E-3</v>
      </c>
      <c r="N177">
        <v>-28</v>
      </c>
      <c r="O177" t="s">
        <v>133</v>
      </c>
      <c r="P177" s="114" t="s">
        <v>307</v>
      </c>
      <c r="Q177" s="113" t="s">
        <v>307</v>
      </c>
      <c r="R177">
        <v>118</v>
      </c>
      <c r="S177" s="2">
        <v>22</v>
      </c>
      <c r="T177" t="s">
        <v>286</v>
      </c>
      <c r="U177" t="s">
        <v>291</v>
      </c>
      <c r="V177" t="s">
        <v>289</v>
      </c>
      <c r="W177" s="32"/>
      <c r="X177" s="32"/>
      <c r="Y177" s="26"/>
      <c r="Z177" s="26"/>
      <c r="AA177" s="27">
        <f>IF(TA[[#This Row],[Work Start time on Fault]]="NA","",(TA[[#This Row],[Fault Acknowledgement Time ]]-TA[[#This Row],[Fault Time]])*24)</f>
        <v>0</v>
      </c>
      <c r="AB177" s="27">
        <f>(TA[[#This Row],[Work Start time on Fault]]-TA[[#This Row],[Fault Time]])*24</f>
        <v>0</v>
      </c>
      <c r="AC177" s="26">
        <f>(TA[[#This Row],[Work Completion time on fault]]-TA[[#This Row],[Fault Time]])*24</f>
        <v>0</v>
      </c>
      <c r="AD177" s="27">
        <f>IFERROR((TA[[#This Row],[Work Completion time on fault]]-TA[[#This Row],[Fault Time]])*24,"")</f>
        <v>0</v>
      </c>
      <c r="AE177" t="s">
        <v>319</v>
      </c>
      <c r="AF177" t="s">
        <v>247</v>
      </c>
      <c r="AG177" s="2"/>
      <c r="AH177" s="35">
        <f>1-COS(RADIANS(TA[[#This Row],[Avg. Target Angle during Fault Time (Radians)]]-TA[[#This Row],[Angle of affected equipment ]]))</f>
        <v>0.11705240714107301</v>
      </c>
      <c r="AI177" s="27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43">
        <f t="shared" si="8"/>
        <v>2026</v>
      </c>
      <c r="C178" s="116">
        <f t="shared" si="9"/>
        <v>2025</v>
      </c>
      <c r="D178" s="2" t="s">
        <v>155</v>
      </c>
      <c r="E178" s="2" t="s">
        <v>155</v>
      </c>
      <c r="F178" s="30">
        <v>45748</v>
      </c>
      <c r="G178" s="2">
        <f>DAY(EOMONTH(TA[[#This Row],[Month Year]],0))</f>
        <v>30</v>
      </c>
      <c r="H178" s="21">
        <v>45756</v>
      </c>
      <c r="I178" s="32">
        <f>IFERROR(VLOOKUP(TA[[#This Row],[Date]],Raw_Data[[Date]:[Sunset Time (POA&lt;20 W/m2)]],3,0),"")</f>
        <v>0.26527777777777778</v>
      </c>
      <c r="J178" s="32">
        <f>IFERROR(VLOOKUP(TA[[#This Row],[Date]],Raw_Data[[Date]:[Sunset Time (POA&lt;20 W/m2)]],4,0),"")</f>
        <v>0.7680555555555556</v>
      </c>
      <c r="K178" s="27">
        <f>IFERROR((TA[[#This Row],[Sunset Time (POA&lt;20 W/m2)]]-TA[[#This Row],[Sunrise Time (POA&gt;20 W/m2)]])*24,"")</f>
        <v>12.066666666666666</v>
      </c>
      <c r="L178" s="2" t="s">
        <v>287</v>
      </c>
      <c r="M178" s="33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314</v>
      </c>
      <c r="Q178" s="2" t="s">
        <v>320</v>
      </c>
      <c r="R178">
        <v>45</v>
      </c>
      <c r="S178" s="2">
        <v>8</v>
      </c>
      <c r="T178" t="s">
        <v>288</v>
      </c>
      <c r="U178" t="s">
        <v>317</v>
      </c>
      <c r="V178" t="s">
        <v>292</v>
      </c>
      <c r="W178" s="32">
        <f>IFERROR(VLOOKUP(TA[[#This Row],[Date]],Raw_Data[[Date]:[Sunset Time (POA&lt;20 W/m2)]],3,0),"")</f>
        <v>0.26527777777777778</v>
      </c>
      <c r="X178" s="32">
        <f>IFERROR(VLOOKUP(TA[[#This Row],[Date]],Raw_Data[[Date]:[Sunset Time (POA&lt;20 W/m2)]],3,0),"")</f>
        <v>0.26527777777777778</v>
      </c>
      <c r="Y178" s="26"/>
      <c r="Z178" s="26">
        <v>0.76041666666666663</v>
      </c>
      <c r="AA178" s="27">
        <f>IF(TA[[#This Row],[Work Start time on Fault]]="NA","",(TA[[#This Row],[Fault Acknowledgement Time ]]-TA[[#This Row],[Fault Time]])*24)</f>
        <v>0</v>
      </c>
      <c r="AB178" s="27">
        <f>(TA[[#This Row],[Work Start time on Fault]]-TA[[#This Row],[Fault Time]])*24</f>
        <v>-6.3666666666666671</v>
      </c>
      <c r="AC178" s="26">
        <f>(TA[[#This Row],[Work Completion time on fault]]-TA[[#This Row],[Fault Time]])*24</f>
        <v>11.883333333333333</v>
      </c>
      <c r="AD178" s="27">
        <f>IFERROR((TA[[#This Row],[Work Completion time on fault]]-TA[[#This Row],[Fault Time]])*24,"")</f>
        <v>11.883333333333333</v>
      </c>
      <c r="AE178" t="s">
        <v>300</v>
      </c>
      <c r="AF178" t="s">
        <v>247</v>
      </c>
      <c r="AG178" s="2"/>
      <c r="AH178" s="35">
        <f>1-COS(RADIANS(TA[[#This Row],[Avg. Target Angle during Fault Time (Radians)]]-TA[[#This Row],[Angle of affected equipment ]]))</f>
        <v>0.11705240714107301</v>
      </c>
      <c r="AI178" s="27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43">
        <f t="shared" si="8"/>
        <v>2026</v>
      </c>
      <c r="C179" s="116">
        <f t="shared" si="9"/>
        <v>2025</v>
      </c>
      <c r="D179" s="2" t="s">
        <v>155</v>
      </c>
      <c r="E179" s="2" t="s">
        <v>155</v>
      </c>
      <c r="F179" s="30">
        <v>45748</v>
      </c>
      <c r="G179" s="2">
        <f>DAY(EOMONTH(TA[[#This Row],[Month Year]],0))</f>
        <v>30</v>
      </c>
      <c r="H179" s="21">
        <v>45756</v>
      </c>
      <c r="I179" s="32">
        <f>IFERROR(VLOOKUP(TA[[#This Row],[Date]],Raw_Data[[Date]:[Sunset Time (POA&lt;20 W/m2)]],3,0),"")</f>
        <v>0.26527777777777778</v>
      </c>
      <c r="J179" s="32">
        <f>IFERROR(VLOOKUP(TA[[#This Row],[Date]],Raw_Data[[Date]:[Sunset Time (POA&lt;20 W/m2)]],4,0),"")</f>
        <v>0.7680555555555556</v>
      </c>
      <c r="K179" s="27">
        <f>IFERROR((TA[[#This Row],[Sunset Time (POA&lt;20 W/m2)]]-TA[[#This Row],[Sunrise Time (POA&gt;20 W/m2)]])*24,"")</f>
        <v>12.066666666666666</v>
      </c>
      <c r="L179" s="2" t="s">
        <v>287</v>
      </c>
      <c r="M179" s="33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314</v>
      </c>
      <c r="Q179" s="2" t="s">
        <v>320</v>
      </c>
      <c r="R179">
        <v>47</v>
      </c>
      <c r="S179" s="2">
        <v>18</v>
      </c>
      <c r="T179" t="s">
        <v>288</v>
      </c>
      <c r="U179" t="s">
        <v>317</v>
      </c>
      <c r="V179" t="s">
        <v>292</v>
      </c>
      <c r="W179" s="32">
        <f>IFERROR(VLOOKUP(TA[[#This Row],[Date]],Raw_Data[[Date]:[Sunset Time (POA&lt;20 W/m2)]],3,0),"")</f>
        <v>0.26527777777777778</v>
      </c>
      <c r="X179" s="32">
        <f>IFERROR(VLOOKUP(TA[[#This Row],[Date]],Raw_Data[[Date]:[Sunset Time (POA&lt;20 W/m2)]],3,0),"")</f>
        <v>0.26527777777777778</v>
      </c>
      <c r="Y179" s="26"/>
      <c r="Z179" s="26">
        <v>0.76041666666666663</v>
      </c>
      <c r="AA179" s="27">
        <f>IF(TA[[#This Row],[Work Start time on Fault]]="NA","",(TA[[#This Row],[Fault Acknowledgement Time ]]-TA[[#This Row],[Fault Time]])*24)</f>
        <v>0</v>
      </c>
      <c r="AB179" s="27">
        <f>(TA[[#This Row],[Work Start time on Fault]]-TA[[#This Row],[Fault Time]])*24</f>
        <v>-6.3666666666666671</v>
      </c>
      <c r="AC179" s="26">
        <f>(TA[[#This Row],[Work Completion time on fault]]-TA[[#This Row],[Fault Time]])*24</f>
        <v>11.883333333333333</v>
      </c>
      <c r="AD179" s="27">
        <f>IFERROR((TA[[#This Row],[Work Completion time on fault]]-TA[[#This Row],[Fault Time]])*24,"")</f>
        <v>11.883333333333333</v>
      </c>
      <c r="AE179" t="s">
        <v>300</v>
      </c>
      <c r="AF179" t="s">
        <v>247</v>
      </c>
      <c r="AG179" s="2"/>
      <c r="AH179" s="35">
        <f>1-COS(RADIANS(TA[[#This Row],[Avg. Target Angle during Fault Time (Radians)]]-TA[[#This Row],[Angle of affected equipment ]]))</f>
        <v>0.11705240714107301</v>
      </c>
      <c r="AI179" s="27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43">
        <f t="shared" si="8"/>
        <v>2026</v>
      </c>
      <c r="C180" s="116">
        <f t="shared" si="9"/>
        <v>2025</v>
      </c>
      <c r="D180" s="2" t="s">
        <v>155</v>
      </c>
      <c r="E180" s="2" t="s">
        <v>155</v>
      </c>
      <c r="F180" s="30">
        <v>45748</v>
      </c>
      <c r="G180" s="2">
        <f>DAY(EOMONTH(TA[[#This Row],[Month Year]],0))</f>
        <v>30</v>
      </c>
      <c r="H180" s="21">
        <v>45756</v>
      </c>
      <c r="I180" s="32">
        <f>IFERROR(VLOOKUP(TA[[#This Row],[Date]],Raw_Data[[Date]:[Sunset Time (POA&lt;20 W/m2)]],3,0),"")</f>
        <v>0.26527777777777778</v>
      </c>
      <c r="J180" s="32">
        <f>IFERROR(VLOOKUP(TA[[#This Row],[Date]],Raw_Data[[Date]:[Sunset Time (POA&lt;20 W/m2)]],4,0),"")</f>
        <v>0.7680555555555556</v>
      </c>
      <c r="K180" s="27">
        <f>IFERROR((TA[[#This Row],[Sunset Time (POA&lt;20 W/m2)]]-TA[[#This Row],[Sunrise Time (POA&gt;20 W/m2)]])*24,"")</f>
        <v>12.066666666666666</v>
      </c>
      <c r="L180" s="2" t="s">
        <v>287</v>
      </c>
      <c r="M180" s="33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321</v>
      </c>
      <c r="Q180" s="2" t="s">
        <v>314</v>
      </c>
      <c r="R180">
        <v>30</v>
      </c>
      <c r="S180" s="2">
        <v>57</v>
      </c>
      <c r="T180" t="s">
        <v>288</v>
      </c>
      <c r="U180" t="s">
        <v>317</v>
      </c>
      <c r="V180" t="s">
        <v>292</v>
      </c>
      <c r="W180" s="32">
        <f>IFERROR(VLOOKUP(TA[[#This Row],[Date]],Raw_Data[[Date]:[Sunset Time (POA&lt;20 W/m2)]],3,0),"")</f>
        <v>0.26527777777777778</v>
      </c>
      <c r="X180" s="32">
        <f>IFERROR(VLOOKUP(TA[[#This Row],[Date]],Raw_Data[[Date]:[Sunset Time (POA&lt;20 W/m2)]],3,0),"")</f>
        <v>0.26527777777777778</v>
      </c>
      <c r="Y180" s="26"/>
      <c r="Z180" s="26">
        <v>0.76041666666666663</v>
      </c>
      <c r="AA180" s="27">
        <f>IF(TA[[#This Row],[Work Start time on Fault]]="NA","",(TA[[#This Row],[Fault Acknowledgement Time ]]-TA[[#This Row],[Fault Time]])*24)</f>
        <v>0</v>
      </c>
      <c r="AB180" s="27">
        <f>(TA[[#This Row],[Work Start time on Fault]]-TA[[#This Row],[Fault Time]])*24</f>
        <v>-6.3666666666666671</v>
      </c>
      <c r="AC180" s="26">
        <f>(TA[[#This Row],[Work Completion time on fault]]-TA[[#This Row],[Fault Time]])*24</f>
        <v>11.883333333333333</v>
      </c>
      <c r="AD180" s="27">
        <f>IFERROR((TA[[#This Row],[Work Completion time on fault]]-TA[[#This Row],[Fault Time]])*24,"")</f>
        <v>11.883333333333333</v>
      </c>
      <c r="AE180" t="s">
        <v>300</v>
      </c>
      <c r="AF180" t="s">
        <v>247</v>
      </c>
      <c r="AG180" s="2"/>
      <c r="AH180" s="35">
        <f>1-COS(RADIANS(TA[[#This Row],[Avg. Target Angle during Fault Time (Radians)]]-TA[[#This Row],[Angle of affected equipment ]]))</f>
        <v>0.11705240714107301</v>
      </c>
      <c r="AI180" s="27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43">
        <f t="shared" si="8"/>
        <v>2026</v>
      </c>
      <c r="C181" s="116">
        <f t="shared" si="9"/>
        <v>2025</v>
      </c>
      <c r="D181" s="2" t="s">
        <v>155</v>
      </c>
      <c r="E181" s="2" t="s">
        <v>155</v>
      </c>
      <c r="F181" s="30">
        <v>45748</v>
      </c>
      <c r="G181" s="2">
        <f>DAY(EOMONTH(TA[[#This Row],[Month Year]],0))</f>
        <v>30</v>
      </c>
      <c r="H181" s="21">
        <v>45756</v>
      </c>
      <c r="I181" s="32">
        <f>IFERROR(VLOOKUP(TA[[#This Row],[Date]],Raw_Data[[Date]:[Sunset Time (POA&lt;20 W/m2)]],3,0),"")</f>
        <v>0.26527777777777778</v>
      </c>
      <c r="J181" s="32">
        <f>IFERROR(VLOOKUP(TA[[#This Row],[Date]],Raw_Data[[Date]:[Sunset Time (POA&lt;20 W/m2)]],4,0),"")</f>
        <v>0.7680555555555556</v>
      </c>
      <c r="K181" s="27">
        <f>IFERROR((TA[[#This Row],[Sunset Time (POA&lt;20 W/m2)]]-TA[[#This Row],[Sunrise Time (POA&gt;20 W/m2)]])*24,"")</f>
        <v>12.066666666666666</v>
      </c>
      <c r="L181" s="2" t="s">
        <v>287</v>
      </c>
      <c r="M181" s="33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321</v>
      </c>
      <c r="Q181" s="2" t="s">
        <v>314</v>
      </c>
      <c r="R181">
        <v>31</v>
      </c>
      <c r="S181" s="2">
        <v>61</v>
      </c>
      <c r="T181" t="s">
        <v>288</v>
      </c>
      <c r="U181" t="s">
        <v>317</v>
      </c>
      <c r="V181" t="s">
        <v>292</v>
      </c>
      <c r="W181" s="32">
        <f>IFERROR(VLOOKUP(TA[[#This Row],[Date]],Raw_Data[[Date]:[Sunset Time (POA&lt;20 W/m2)]],3,0),"")</f>
        <v>0.26527777777777778</v>
      </c>
      <c r="X181" s="32">
        <f>IFERROR(VLOOKUP(TA[[#This Row],[Date]],Raw_Data[[Date]:[Sunset Time (POA&lt;20 W/m2)]],3,0),"")</f>
        <v>0.26527777777777778</v>
      </c>
      <c r="Y181" s="26"/>
      <c r="Z181" s="26">
        <v>0.76041666666666663</v>
      </c>
      <c r="AA181" s="27">
        <f>IF(TA[[#This Row],[Work Start time on Fault]]="NA","",(TA[[#This Row],[Fault Acknowledgement Time ]]-TA[[#This Row],[Fault Time]])*24)</f>
        <v>0</v>
      </c>
      <c r="AB181" s="27">
        <f>(TA[[#This Row],[Work Start time on Fault]]-TA[[#This Row],[Fault Time]])*24</f>
        <v>-6.3666666666666671</v>
      </c>
      <c r="AC181" s="26">
        <f>(TA[[#This Row],[Work Completion time on fault]]-TA[[#This Row],[Fault Time]])*24</f>
        <v>11.883333333333333</v>
      </c>
      <c r="AD181" s="27">
        <f>IFERROR((TA[[#This Row],[Work Completion time on fault]]-TA[[#This Row],[Fault Time]])*24,"")</f>
        <v>11.883333333333333</v>
      </c>
      <c r="AE181" t="s">
        <v>300</v>
      </c>
      <c r="AF181" t="s">
        <v>247</v>
      </c>
      <c r="AG181" s="2"/>
      <c r="AH181" s="35">
        <f>1-COS(RADIANS(TA[[#This Row],[Avg. Target Angle during Fault Time (Radians)]]-TA[[#This Row],[Angle of affected equipment ]]))</f>
        <v>0.11705240714107301</v>
      </c>
      <c r="AI181" s="27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43">
        <f t="shared" si="8"/>
        <v>2026</v>
      </c>
      <c r="C182" s="116">
        <f t="shared" si="9"/>
        <v>2025</v>
      </c>
      <c r="D182" s="2" t="s">
        <v>155</v>
      </c>
      <c r="E182" s="2" t="s">
        <v>155</v>
      </c>
      <c r="F182" s="30">
        <v>45748</v>
      </c>
      <c r="G182" s="2">
        <f>DAY(EOMONTH(TA[[#This Row],[Month Year]],0))</f>
        <v>30</v>
      </c>
      <c r="H182" s="21">
        <v>45756</v>
      </c>
      <c r="I182" s="32">
        <f>IFERROR(VLOOKUP(TA[[#This Row],[Date]],Raw_Data[[Date]:[Sunset Time (POA&lt;20 W/m2)]],3,0),"")</f>
        <v>0.26527777777777778</v>
      </c>
      <c r="J182" s="32">
        <f>IFERROR(VLOOKUP(TA[[#This Row],[Date]],Raw_Data[[Date]:[Sunset Time (POA&lt;20 W/m2)]],4,0),"")</f>
        <v>0.7680555555555556</v>
      </c>
      <c r="K182" s="27">
        <f>IFERROR((TA[[#This Row],[Sunset Time (POA&lt;20 W/m2)]]-TA[[#This Row],[Sunrise Time (POA&gt;20 W/m2)]])*24,"")</f>
        <v>12.066666666666666</v>
      </c>
      <c r="L182" s="2" t="s">
        <v>303</v>
      </c>
      <c r="M182" s="33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321</v>
      </c>
      <c r="Q182" s="2" t="s">
        <v>314</v>
      </c>
      <c r="R182">
        <v>26</v>
      </c>
      <c r="S182" s="2">
        <v>37</v>
      </c>
      <c r="T182" t="s">
        <v>288</v>
      </c>
      <c r="U182" t="s">
        <v>317</v>
      </c>
      <c r="V182" t="s">
        <v>292</v>
      </c>
      <c r="W182" s="32">
        <f>IFERROR(VLOOKUP(TA[[#This Row],[Date]],Raw_Data[[Date]:[Sunset Time (POA&lt;20 W/m2)]],3,0),"")</f>
        <v>0.26527777777777778</v>
      </c>
      <c r="X182" s="32">
        <f>IFERROR(VLOOKUP(TA[[#This Row],[Date]],Raw_Data[[Date]:[Sunset Time (POA&lt;20 W/m2)]],3,0),"")</f>
        <v>0.26527777777777778</v>
      </c>
      <c r="Y182" s="26"/>
      <c r="Z182" s="26">
        <v>0.76041666666666663</v>
      </c>
      <c r="AA182" s="27">
        <f>IF(TA[[#This Row],[Work Start time on Fault]]="NA","",(TA[[#This Row],[Fault Acknowledgement Time ]]-TA[[#This Row],[Fault Time]])*24)</f>
        <v>0</v>
      </c>
      <c r="AB182" s="27">
        <f>(TA[[#This Row],[Work Start time on Fault]]-TA[[#This Row],[Fault Time]])*24</f>
        <v>-6.3666666666666671</v>
      </c>
      <c r="AC182" s="26">
        <f>(TA[[#This Row],[Work Completion time on fault]]-TA[[#This Row],[Fault Time]])*24</f>
        <v>11.883333333333333</v>
      </c>
      <c r="AD182" s="27">
        <f>IFERROR((TA[[#This Row],[Work Completion time on fault]]-TA[[#This Row],[Fault Time]])*24,"")</f>
        <v>11.883333333333333</v>
      </c>
      <c r="AE182" t="s">
        <v>300</v>
      </c>
      <c r="AF182" t="s">
        <v>247</v>
      </c>
      <c r="AG182" s="2"/>
      <c r="AH182" s="35">
        <f>1-COS(RADIANS(TA[[#This Row],[Avg. Target Angle during Fault Time (Radians)]]-TA[[#This Row],[Angle of affected equipment ]]))</f>
        <v>0.11705240714107301</v>
      </c>
      <c r="AI182" s="27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43">
        <f t="shared" si="8"/>
        <v>2026</v>
      </c>
      <c r="C183" s="116">
        <f t="shared" si="9"/>
        <v>2025</v>
      </c>
      <c r="D183" s="2" t="s">
        <v>155</v>
      </c>
      <c r="E183" s="2" t="s">
        <v>155</v>
      </c>
      <c r="F183" s="30">
        <v>45748</v>
      </c>
      <c r="G183" s="2">
        <f>DAY(EOMONTH(TA[[#This Row],[Month Year]],0))</f>
        <v>30</v>
      </c>
      <c r="H183" s="21">
        <v>45756</v>
      </c>
      <c r="I183" s="32">
        <f>IFERROR(VLOOKUP(TA[[#This Row],[Date]],Raw_Data[[Date]:[Sunset Time (POA&lt;20 W/m2)]],3,0),"")</f>
        <v>0.26527777777777778</v>
      </c>
      <c r="J183" s="32">
        <f>IFERROR(VLOOKUP(TA[[#This Row],[Date]],Raw_Data[[Date]:[Sunset Time (POA&lt;20 W/m2)]],4,0),"")</f>
        <v>0.7680555555555556</v>
      </c>
      <c r="K183" s="27">
        <f>IFERROR((TA[[#This Row],[Sunset Time (POA&lt;20 W/m2)]]-TA[[#This Row],[Sunrise Time (POA&gt;20 W/m2)]])*24,"")</f>
        <v>12.066666666666666</v>
      </c>
      <c r="L183" s="2" t="s">
        <v>303</v>
      </c>
      <c r="M183" s="33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321</v>
      </c>
      <c r="Q183" s="2" t="s">
        <v>314</v>
      </c>
      <c r="R183">
        <v>27</v>
      </c>
      <c r="S183" s="2">
        <v>42</v>
      </c>
      <c r="T183" t="s">
        <v>288</v>
      </c>
      <c r="U183" t="s">
        <v>317</v>
      </c>
      <c r="V183" t="s">
        <v>292</v>
      </c>
      <c r="W183" s="32">
        <f>IFERROR(VLOOKUP(TA[[#This Row],[Date]],Raw_Data[[Date]:[Sunset Time (POA&lt;20 W/m2)]],3,0),"")</f>
        <v>0.26527777777777778</v>
      </c>
      <c r="X183" s="32">
        <f>IFERROR(VLOOKUP(TA[[#This Row],[Date]],Raw_Data[[Date]:[Sunset Time (POA&lt;20 W/m2)]],3,0),"")</f>
        <v>0.26527777777777778</v>
      </c>
      <c r="Y183" s="26"/>
      <c r="Z183" s="26">
        <v>0.76041666666666663</v>
      </c>
      <c r="AA183" s="27">
        <f>IF(TA[[#This Row],[Work Start time on Fault]]="NA","",(TA[[#This Row],[Fault Acknowledgement Time ]]-TA[[#This Row],[Fault Time]])*24)</f>
        <v>0</v>
      </c>
      <c r="AB183" s="27">
        <f>(TA[[#This Row],[Work Start time on Fault]]-TA[[#This Row],[Fault Time]])*24</f>
        <v>-6.3666666666666671</v>
      </c>
      <c r="AC183" s="26">
        <f>(TA[[#This Row],[Work Completion time on fault]]-TA[[#This Row],[Fault Time]])*24</f>
        <v>11.883333333333333</v>
      </c>
      <c r="AD183" s="27">
        <f>IFERROR((TA[[#This Row],[Work Completion time on fault]]-TA[[#This Row],[Fault Time]])*24,"")</f>
        <v>11.883333333333333</v>
      </c>
      <c r="AE183" t="s">
        <v>300</v>
      </c>
      <c r="AF183" t="s">
        <v>247</v>
      </c>
      <c r="AG183" s="2"/>
      <c r="AH183" s="35">
        <f>1-COS(RADIANS(TA[[#This Row],[Avg. Target Angle during Fault Time (Radians)]]-TA[[#This Row],[Angle of affected equipment ]]))</f>
        <v>0.11705240714107301</v>
      </c>
      <c r="AI183" s="27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43">
        <f t="shared" si="8"/>
        <v>2026</v>
      </c>
      <c r="C184" s="116">
        <f t="shared" si="9"/>
        <v>2025</v>
      </c>
      <c r="D184" s="2" t="s">
        <v>155</v>
      </c>
      <c r="E184" s="2" t="s">
        <v>155</v>
      </c>
      <c r="F184" s="30">
        <v>45748</v>
      </c>
      <c r="G184" s="2">
        <f>DAY(EOMONTH(TA[[#This Row],[Month Year]],0))</f>
        <v>30</v>
      </c>
      <c r="H184" s="21">
        <v>45757</v>
      </c>
      <c r="I184" s="32">
        <f>IFERROR(VLOOKUP(TA[[#This Row],[Date]],Raw_Data[[Date]:[Sunset Time (POA&lt;20 W/m2)]],3,0),"")</f>
        <v>0.2638888888888889</v>
      </c>
      <c r="J184" s="32">
        <f>IFERROR(VLOOKUP(TA[[#This Row],[Date]],Raw_Data[[Date]:[Sunset Time (POA&lt;20 W/m2)]],4,0),"")</f>
        <v>0.76041666666666663</v>
      </c>
      <c r="K184" s="27">
        <f>IFERROR((TA[[#This Row],[Sunset Time (POA&lt;20 W/m2)]]-TA[[#This Row],[Sunrise Time (POA&gt;20 W/m2)]])*24,"")</f>
        <v>11.916666666666666</v>
      </c>
      <c r="L184" s="2" t="s">
        <v>285</v>
      </c>
      <c r="M184" s="33">
        <f>IFERROR(VLOOKUP(TA[[#This Row],[Affected Equipment]],'Basic Data'!$I$2:$K$40,3,0),"")</f>
        <v>1.7241379310344799E-3</v>
      </c>
      <c r="N184">
        <v>-28</v>
      </c>
      <c r="O184" t="s">
        <v>135</v>
      </c>
      <c r="P184" s="114" t="s">
        <v>309</v>
      </c>
      <c r="Q184" s="113" t="s">
        <v>309</v>
      </c>
      <c r="R184">
        <v>130</v>
      </c>
      <c r="S184" s="2">
        <v>36</v>
      </c>
      <c r="T184" t="s">
        <v>286</v>
      </c>
      <c r="U184" t="s">
        <v>291</v>
      </c>
      <c r="V184" t="s">
        <v>289</v>
      </c>
      <c r="W184" s="32"/>
      <c r="X184" s="32"/>
      <c r="Y184" s="26"/>
      <c r="Z184" s="26"/>
      <c r="AA184" s="27">
        <f>IF(TA[[#This Row],[Work Start time on Fault]]="NA","",(TA[[#This Row],[Fault Acknowledgement Time ]]-TA[[#This Row],[Fault Time]])*24)</f>
        <v>0</v>
      </c>
      <c r="AB184" s="27">
        <f>(TA[[#This Row],[Work Start time on Fault]]-TA[[#This Row],[Fault Time]])*24</f>
        <v>0</v>
      </c>
      <c r="AC184" s="26">
        <f>(TA[[#This Row],[Work Completion time on fault]]-TA[[#This Row],[Fault Time]])*24</f>
        <v>0</v>
      </c>
      <c r="AD184" s="27">
        <f>IFERROR((TA[[#This Row],[Work Completion time on fault]]-TA[[#This Row],[Fault Time]])*24,"")</f>
        <v>0</v>
      </c>
      <c r="AE184" t="s">
        <v>319</v>
      </c>
      <c r="AF184" t="s">
        <v>247</v>
      </c>
      <c r="AG184" s="2"/>
      <c r="AH184" s="35">
        <f>1-COS(RADIANS(TA[[#This Row],[Avg. Target Angle during Fault Time (Radians)]]-TA[[#This Row],[Angle of affected equipment ]]))</f>
        <v>0.11705240714107301</v>
      </c>
      <c r="AI184" s="27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43">
        <f t="shared" si="8"/>
        <v>2026</v>
      </c>
      <c r="C185" s="116">
        <f t="shared" si="9"/>
        <v>2025</v>
      </c>
      <c r="D185" s="2" t="s">
        <v>155</v>
      </c>
      <c r="E185" s="2" t="s">
        <v>155</v>
      </c>
      <c r="F185" s="30">
        <v>45748</v>
      </c>
      <c r="G185" s="2">
        <f>DAY(EOMONTH(TA[[#This Row],[Month Year]],0))</f>
        <v>30</v>
      </c>
      <c r="H185" s="21">
        <v>45757</v>
      </c>
      <c r="I185" s="32">
        <f>IFERROR(VLOOKUP(TA[[#This Row],[Date]],Raw_Data[[Date]:[Sunset Time (POA&lt;20 W/m2)]],3,0),"")</f>
        <v>0.2638888888888889</v>
      </c>
      <c r="J185" s="32">
        <f>IFERROR(VLOOKUP(TA[[#This Row],[Date]],Raw_Data[[Date]:[Sunset Time (POA&lt;20 W/m2)]],4,0),"")</f>
        <v>0.76041666666666663</v>
      </c>
      <c r="K185" s="27">
        <f>IFERROR((TA[[#This Row],[Sunset Time (POA&lt;20 W/m2)]]-TA[[#This Row],[Sunrise Time (POA&gt;20 W/m2)]])*24,"")</f>
        <v>11.916666666666666</v>
      </c>
      <c r="L185" s="2" t="s">
        <v>285</v>
      </c>
      <c r="M185" s="33">
        <f>IFERROR(VLOOKUP(TA[[#This Row],[Affected Equipment]],'Basic Data'!$I$2:$K$40,3,0),"")</f>
        <v>1.7241379310344799E-3</v>
      </c>
      <c r="N185">
        <v>-28</v>
      </c>
      <c r="O185" t="s">
        <v>135</v>
      </c>
      <c r="P185" s="114" t="s">
        <v>309</v>
      </c>
      <c r="Q185" s="113" t="s">
        <v>309</v>
      </c>
      <c r="R185">
        <v>130</v>
      </c>
      <c r="S185" s="2">
        <v>37</v>
      </c>
      <c r="T185" t="s">
        <v>286</v>
      </c>
      <c r="U185" t="s">
        <v>291</v>
      </c>
      <c r="V185" t="s">
        <v>289</v>
      </c>
      <c r="W185" s="32"/>
      <c r="X185" s="32"/>
      <c r="Y185" s="26"/>
      <c r="Z185" s="26"/>
      <c r="AA185" s="27">
        <f>IF(TA[[#This Row],[Work Start time on Fault]]="NA","",(TA[[#This Row],[Fault Acknowledgement Time ]]-TA[[#This Row],[Fault Time]])*24)</f>
        <v>0</v>
      </c>
      <c r="AB185" s="27">
        <f>(TA[[#This Row],[Work Start time on Fault]]-TA[[#This Row],[Fault Time]])*24</f>
        <v>0</v>
      </c>
      <c r="AC185" s="26">
        <f>(TA[[#This Row],[Work Completion time on fault]]-TA[[#This Row],[Fault Time]])*24</f>
        <v>0</v>
      </c>
      <c r="AD185" s="27">
        <f>IFERROR((TA[[#This Row],[Work Completion time on fault]]-TA[[#This Row],[Fault Time]])*24,"")</f>
        <v>0</v>
      </c>
      <c r="AE185" t="s">
        <v>319</v>
      </c>
      <c r="AF185" t="s">
        <v>247</v>
      </c>
      <c r="AG185" s="2"/>
      <c r="AH185" s="35">
        <f>1-COS(RADIANS(TA[[#This Row],[Avg. Target Angle during Fault Time (Radians)]]-TA[[#This Row],[Angle of affected equipment ]]))</f>
        <v>0.11705240714107301</v>
      </c>
      <c r="AI185" s="27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43">
        <f t="shared" si="8"/>
        <v>2026</v>
      </c>
      <c r="C186" s="116">
        <f t="shared" si="9"/>
        <v>2025</v>
      </c>
      <c r="D186" s="2" t="s">
        <v>155</v>
      </c>
      <c r="E186" s="2" t="s">
        <v>155</v>
      </c>
      <c r="F186" s="30">
        <v>45748</v>
      </c>
      <c r="G186" s="2">
        <f>DAY(EOMONTH(TA[[#This Row],[Month Year]],0))</f>
        <v>30</v>
      </c>
      <c r="H186" s="21">
        <v>45757</v>
      </c>
      <c r="I186" s="32">
        <f>IFERROR(VLOOKUP(TA[[#This Row],[Date]],Raw_Data[[Date]:[Sunset Time (POA&lt;20 W/m2)]],3,0),"")</f>
        <v>0.2638888888888889</v>
      </c>
      <c r="J186" s="32">
        <f>IFERROR(VLOOKUP(TA[[#This Row],[Date]],Raw_Data[[Date]:[Sunset Time (POA&lt;20 W/m2)]],4,0),"")</f>
        <v>0.76041666666666663</v>
      </c>
      <c r="K186" s="27">
        <f>IFERROR((TA[[#This Row],[Sunset Time (POA&lt;20 W/m2)]]-TA[[#This Row],[Sunrise Time (POA&gt;20 W/m2)]])*24,"")</f>
        <v>11.916666666666666</v>
      </c>
      <c r="L186" s="2" t="s">
        <v>285</v>
      </c>
      <c r="M186" s="33">
        <f>IFERROR(VLOOKUP(TA[[#This Row],[Affected Equipment]],'Basic Data'!$I$2:$K$40,3,0),"")</f>
        <v>1.7241379310344799E-3</v>
      </c>
      <c r="N186">
        <v>-28</v>
      </c>
      <c r="O186" t="s">
        <v>135</v>
      </c>
      <c r="P186" s="114" t="s">
        <v>309</v>
      </c>
      <c r="Q186" s="113" t="s">
        <v>309</v>
      </c>
      <c r="R186">
        <v>131</v>
      </c>
      <c r="S186" s="2">
        <v>38</v>
      </c>
      <c r="T186" t="s">
        <v>286</v>
      </c>
      <c r="U186" t="s">
        <v>291</v>
      </c>
      <c r="V186" t="s">
        <v>289</v>
      </c>
      <c r="W186" s="32"/>
      <c r="X186" s="32"/>
      <c r="Y186" s="26"/>
      <c r="Z186" s="26"/>
      <c r="AA186" s="27">
        <f>IF(TA[[#This Row],[Work Start time on Fault]]="NA","",(TA[[#This Row],[Fault Acknowledgement Time ]]-TA[[#This Row],[Fault Time]])*24)</f>
        <v>0</v>
      </c>
      <c r="AB186" s="27">
        <f>(TA[[#This Row],[Work Start time on Fault]]-TA[[#This Row],[Fault Time]])*24</f>
        <v>0</v>
      </c>
      <c r="AC186" s="26">
        <f>(TA[[#This Row],[Work Completion time on fault]]-TA[[#This Row],[Fault Time]])*24</f>
        <v>0</v>
      </c>
      <c r="AD186" s="27">
        <f>IFERROR((TA[[#This Row],[Work Completion time on fault]]-TA[[#This Row],[Fault Time]])*24,"")</f>
        <v>0</v>
      </c>
      <c r="AE186" t="s">
        <v>319</v>
      </c>
      <c r="AF186" t="s">
        <v>247</v>
      </c>
      <c r="AG186" s="2"/>
      <c r="AH186" s="35">
        <f>1-COS(RADIANS(TA[[#This Row],[Avg. Target Angle during Fault Time (Radians)]]-TA[[#This Row],[Angle of affected equipment ]]))</f>
        <v>0.11705240714107301</v>
      </c>
      <c r="AI186" s="27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43">
        <f t="shared" si="8"/>
        <v>2026</v>
      </c>
      <c r="C187" s="116">
        <f t="shared" si="9"/>
        <v>2025</v>
      </c>
      <c r="D187" s="2" t="s">
        <v>155</v>
      </c>
      <c r="E187" s="2" t="s">
        <v>155</v>
      </c>
      <c r="F187" s="30">
        <v>45748</v>
      </c>
      <c r="G187" s="2">
        <f>DAY(EOMONTH(TA[[#This Row],[Month Year]],0))</f>
        <v>30</v>
      </c>
      <c r="H187" s="21">
        <v>45757</v>
      </c>
      <c r="I187" s="32">
        <f>IFERROR(VLOOKUP(TA[[#This Row],[Date]],Raw_Data[[Date]:[Sunset Time (POA&lt;20 W/m2)]],3,0),"")</f>
        <v>0.2638888888888889</v>
      </c>
      <c r="J187" s="32">
        <f>IFERROR(VLOOKUP(TA[[#This Row],[Date]],Raw_Data[[Date]:[Sunset Time (POA&lt;20 W/m2)]],4,0),"")</f>
        <v>0.76041666666666663</v>
      </c>
      <c r="K187" s="27">
        <f>IFERROR((TA[[#This Row],[Sunset Time (POA&lt;20 W/m2)]]-TA[[#This Row],[Sunrise Time (POA&gt;20 W/m2)]])*24,"")</f>
        <v>11.916666666666666</v>
      </c>
      <c r="L187" s="2" t="s">
        <v>285</v>
      </c>
      <c r="M187" s="33">
        <f>IFERROR(VLOOKUP(TA[[#This Row],[Affected Equipment]],'Basic Data'!$I$2:$K$40,3,0),"")</f>
        <v>1.7241379310344799E-3</v>
      </c>
      <c r="N187">
        <v>-28</v>
      </c>
      <c r="O187" t="s">
        <v>135</v>
      </c>
      <c r="P187" s="114" t="s">
        <v>309</v>
      </c>
      <c r="Q187" s="113" t="s">
        <v>309</v>
      </c>
      <c r="R187">
        <v>131</v>
      </c>
      <c r="S187" s="2">
        <v>39</v>
      </c>
      <c r="T187" t="s">
        <v>286</v>
      </c>
      <c r="U187" t="s">
        <v>291</v>
      </c>
      <c r="V187" t="s">
        <v>289</v>
      </c>
      <c r="W187" s="32"/>
      <c r="X187" s="32"/>
      <c r="Y187" s="26"/>
      <c r="Z187" s="26"/>
      <c r="AA187" s="27">
        <f>IF(TA[[#This Row],[Work Start time on Fault]]="NA","",(TA[[#This Row],[Fault Acknowledgement Time ]]-TA[[#This Row],[Fault Time]])*24)</f>
        <v>0</v>
      </c>
      <c r="AB187" s="27">
        <f>(TA[[#This Row],[Work Start time on Fault]]-TA[[#This Row],[Fault Time]])*24</f>
        <v>0</v>
      </c>
      <c r="AC187" s="26">
        <f>(TA[[#This Row],[Work Completion time on fault]]-TA[[#This Row],[Fault Time]])*24</f>
        <v>0</v>
      </c>
      <c r="AD187" s="27">
        <f>IFERROR((TA[[#This Row],[Work Completion time on fault]]-TA[[#This Row],[Fault Time]])*24,"")</f>
        <v>0</v>
      </c>
      <c r="AE187" t="s">
        <v>319</v>
      </c>
      <c r="AF187" t="s">
        <v>247</v>
      </c>
      <c r="AG187" s="2"/>
      <c r="AH187" s="35">
        <f>1-COS(RADIANS(TA[[#This Row],[Avg. Target Angle during Fault Time (Radians)]]-TA[[#This Row],[Angle of affected equipment ]]))</f>
        <v>0.11705240714107301</v>
      </c>
      <c r="AI187" s="27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43">
        <f t="shared" si="8"/>
        <v>2026</v>
      </c>
      <c r="C188" s="116">
        <f t="shared" si="9"/>
        <v>2025</v>
      </c>
      <c r="D188" s="2" t="s">
        <v>155</v>
      </c>
      <c r="E188" s="2" t="s">
        <v>155</v>
      </c>
      <c r="F188" s="30">
        <v>45748</v>
      </c>
      <c r="G188" s="2">
        <f>DAY(EOMONTH(TA[[#This Row],[Month Year]],0))</f>
        <v>30</v>
      </c>
      <c r="H188" s="21">
        <v>45757</v>
      </c>
      <c r="I188" s="32">
        <f>IFERROR(VLOOKUP(TA[[#This Row],[Date]],Raw_Data[[Date]:[Sunset Time (POA&lt;20 W/m2)]],3,0),"")</f>
        <v>0.2638888888888889</v>
      </c>
      <c r="J188" s="32">
        <f>IFERROR(VLOOKUP(TA[[#This Row],[Date]],Raw_Data[[Date]:[Sunset Time (POA&lt;20 W/m2)]],4,0),"")</f>
        <v>0.76041666666666663</v>
      </c>
      <c r="K188" s="27">
        <f>IFERROR((TA[[#This Row],[Sunset Time (POA&lt;20 W/m2)]]-TA[[#This Row],[Sunrise Time (POA&gt;20 W/m2)]])*24,"")</f>
        <v>11.916666666666666</v>
      </c>
      <c r="L188" s="2" t="s">
        <v>287</v>
      </c>
      <c r="M188" s="33">
        <f>IFERROR(VLOOKUP(TA[[#This Row],[Affected Equipment]],'Basic Data'!$I$2:$K$40,3,0),"")</f>
        <v>8.6206896551724102E-3</v>
      </c>
      <c r="N188">
        <v>-28</v>
      </c>
      <c r="O188" t="s">
        <v>135</v>
      </c>
      <c r="P188" s="114" t="s">
        <v>309</v>
      </c>
      <c r="Q188" s="2" t="s">
        <v>312</v>
      </c>
      <c r="R188">
        <v>133</v>
      </c>
      <c r="S188" s="2">
        <v>26</v>
      </c>
      <c r="T188" t="s">
        <v>288</v>
      </c>
      <c r="U188" t="s">
        <v>291</v>
      </c>
      <c r="V188" t="s">
        <v>305</v>
      </c>
      <c r="W188" s="32"/>
      <c r="X188" s="32"/>
      <c r="Y188" s="26"/>
      <c r="Z188" s="26"/>
      <c r="AA188" s="27">
        <f>IF(TA[[#This Row],[Work Start time on Fault]]="NA","",(TA[[#This Row],[Fault Acknowledgement Time ]]-TA[[#This Row],[Fault Time]])*24)</f>
        <v>0</v>
      </c>
      <c r="AB188" s="27">
        <f>(TA[[#This Row],[Work Start time on Fault]]-TA[[#This Row],[Fault Time]])*24</f>
        <v>0</v>
      </c>
      <c r="AC188" s="26">
        <f>(TA[[#This Row],[Work Completion time on fault]]-TA[[#This Row],[Fault Time]])*24</f>
        <v>0</v>
      </c>
      <c r="AD188" s="27">
        <f>IFERROR((TA[[#This Row],[Work Completion time on fault]]-TA[[#This Row],[Fault Time]])*24,"")</f>
        <v>0</v>
      </c>
      <c r="AE188" t="s">
        <v>319</v>
      </c>
      <c r="AF188" t="s">
        <v>247</v>
      </c>
      <c r="AG188" s="2"/>
      <c r="AH188" s="35">
        <f>1-COS(RADIANS(TA[[#This Row],[Avg. Target Angle during Fault Time (Radians)]]-TA[[#This Row],[Angle of affected equipment ]]))</f>
        <v>0.11705240714107301</v>
      </c>
      <c r="AI188" s="27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43">
        <f t="shared" si="8"/>
        <v>2026</v>
      </c>
      <c r="C189" s="116">
        <f t="shared" si="9"/>
        <v>2025</v>
      </c>
      <c r="D189" s="2" t="s">
        <v>155</v>
      </c>
      <c r="E189" s="2" t="s">
        <v>155</v>
      </c>
      <c r="F189" s="30">
        <v>45748</v>
      </c>
      <c r="G189" s="2">
        <f>DAY(EOMONTH(TA[[#This Row],[Month Year]],0))</f>
        <v>30</v>
      </c>
      <c r="H189" s="21">
        <v>45757</v>
      </c>
      <c r="I189" s="32">
        <f>IFERROR(VLOOKUP(TA[[#This Row],[Date]],Raw_Data[[Date]:[Sunset Time (POA&lt;20 W/m2)]],3,0),"")</f>
        <v>0.2638888888888889</v>
      </c>
      <c r="J189" s="32">
        <f>IFERROR(VLOOKUP(TA[[#This Row],[Date]],Raw_Data[[Date]:[Sunset Time (POA&lt;20 W/m2)]],4,0),"")</f>
        <v>0.76041666666666663</v>
      </c>
      <c r="K189" s="27">
        <f>IFERROR((TA[[#This Row],[Sunset Time (POA&lt;20 W/m2)]]-TA[[#This Row],[Sunrise Time (POA&gt;20 W/m2)]])*24,"")</f>
        <v>11.916666666666666</v>
      </c>
      <c r="L189" s="2" t="s">
        <v>285</v>
      </c>
      <c r="M189" s="33">
        <f>IFERROR(VLOOKUP(TA[[#This Row],[Affected Equipment]],'Basic Data'!$I$2:$K$40,3,0),"")</f>
        <v>1.7241379310344799E-3</v>
      </c>
      <c r="N189">
        <v>-28</v>
      </c>
      <c r="O189" t="s">
        <v>133</v>
      </c>
      <c r="P189" s="114" t="s">
        <v>307</v>
      </c>
      <c r="Q189" s="113" t="s">
        <v>308</v>
      </c>
      <c r="R189">
        <v>7</v>
      </c>
      <c r="S189" s="2">
        <v>32</v>
      </c>
      <c r="T189" t="s">
        <v>286</v>
      </c>
      <c r="U189" t="s">
        <v>291</v>
      </c>
      <c r="V189" t="s">
        <v>289</v>
      </c>
      <c r="W189" s="32"/>
      <c r="X189" s="32"/>
      <c r="Y189" s="26"/>
      <c r="Z189" s="26"/>
      <c r="AA189" s="27">
        <f>IF(TA[[#This Row],[Work Start time on Fault]]="NA","",(TA[[#This Row],[Fault Acknowledgement Time ]]-TA[[#This Row],[Fault Time]])*24)</f>
        <v>0</v>
      </c>
      <c r="AB189" s="27">
        <f>(TA[[#This Row],[Work Start time on Fault]]-TA[[#This Row],[Fault Time]])*24</f>
        <v>0</v>
      </c>
      <c r="AC189" s="26">
        <f>(TA[[#This Row],[Work Completion time on fault]]-TA[[#This Row],[Fault Time]])*24</f>
        <v>0</v>
      </c>
      <c r="AD189" s="27">
        <f>IFERROR((TA[[#This Row],[Work Completion time on fault]]-TA[[#This Row],[Fault Time]])*24,"")</f>
        <v>0</v>
      </c>
      <c r="AE189" t="s">
        <v>319</v>
      </c>
      <c r="AF189" t="s">
        <v>247</v>
      </c>
      <c r="AG189" s="2"/>
      <c r="AH189" s="35">
        <f>1-COS(RADIANS(TA[[#This Row],[Avg. Target Angle during Fault Time (Radians)]]-TA[[#This Row],[Angle of affected equipment ]]))</f>
        <v>0.11705240714107301</v>
      </c>
      <c r="AI189" s="27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43">
        <f t="shared" si="8"/>
        <v>2026</v>
      </c>
      <c r="C190" s="116">
        <f t="shared" si="9"/>
        <v>2025</v>
      </c>
      <c r="D190" s="2" t="s">
        <v>155</v>
      </c>
      <c r="E190" s="2" t="s">
        <v>155</v>
      </c>
      <c r="F190" s="30">
        <v>45748</v>
      </c>
      <c r="G190" s="2">
        <f>DAY(EOMONTH(TA[[#This Row],[Month Year]],0))</f>
        <v>30</v>
      </c>
      <c r="H190" s="21">
        <v>45757</v>
      </c>
      <c r="I190" s="32">
        <f>IFERROR(VLOOKUP(TA[[#This Row],[Date]],Raw_Data[[Date]:[Sunset Time (POA&lt;20 W/m2)]],3,0),"")</f>
        <v>0.2638888888888889</v>
      </c>
      <c r="J190" s="32">
        <f>IFERROR(VLOOKUP(TA[[#This Row],[Date]],Raw_Data[[Date]:[Sunset Time (POA&lt;20 W/m2)]],4,0),"")</f>
        <v>0.76041666666666663</v>
      </c>
      <c r="K190" s="27">
        <f>IFERROR((TA[[#This Row],[Sunset Time (POA&lt;20 W/m2)]]-TA[[#This Row],[Sunrise Time (POA&gt;20 W/m2)]])*24,"")</f>
        <v>11.916666666666666</v>
      </c>
      <c r="L190" s="2" t="s">
        <v>285</v>
      </c>
      <c r="M190" s="33">
        <f>IFERROR(VLOOKUP(TA[[#This Row],[Affected Equipment]],'Basic Data'!$I$2:$K$40,3,0),"")</f>
        <v>1.7241379310344799E-3</v>
      </c>
      <c r="N190">
        <v>-28</v>
      </c>
      <c r="O190" t="s">
        <v>137</v>
      </c>
      <c r="P190" s="114" t="s">
        <v>306</v>
      </c>
      <c r="Q190" s="113" t="s">
        <v>310</v>
      </c>
      <c r="R190">
        <v>166</v>
      </c>
      <c r="S190" s="2">
        <v>91</v>
      </c>
      <c r="T190" t="s">
        <v>286</v>
      </c>
      <c r="U190" t="s">
        <v>291</v>
      </c>
      <c r="V190" t="s">
        <v>289</v>
      </c>
      <c r="W190" s="32"/>
      <c r="X190" s="32"/>
      <c r="Y190" s="26"/>
      <c r="Z190" s="26"/>
      <c r="AA190" s="27">
        <f>IF(TA[[#This Row],[Work Start time on Fault]]="NA","",(TA[[#This Row],[Fault Acknowledgement Time ]]-TA[[#This Row],[Fault Time]])*24)</f>
        <v>0</v>
      </c>
      <c r="AB190" s="27">
        <f>(TA[[#This Row],[Work Start time on Fault]]-TA[[#This Row],[Fault Time]])*24</f>
        <v>0</v>
      </c>
      <c r="AC190" s="26">
        <f>(TA[[#This Row],[Work Completion time on fault]]-TA[[#This Row],[Fault Time]])*24</f>
        <v>0</v>
      </c>
      <c r="AD190" s="27">
        <f>IFERROR((TA[[#This Row],[Work Completion time on fault]]-TA[[#This Row],[Fault Time]])*24,"")</f>
        <v>0</v>
      </c>
      <c r="AE190" t="s">
        <v>319</v>
      </c>
      <c r="AF190" t="s">
        <v>247</v>
      </c>
      <c r="AG190" s="2"/>
      <c r="AH190" s="35">
        <f>1-COS(RADIANS(TA[[#This Row],[Avg. Target Angle during Fault Time (Radians)]]-TA[[#This Row],[Angle of affected equipment ]]))</f>
        <v>0.11705240714107301</v>
      </c>
      <c r="AI190" s="27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43">
        <f t="shared" si="8"/>
        <v>2026</v>
      </c>
      <c r="C191" s="116">
        <f t="shared" si="9"/>
        <v>2025</v>
      </c>
      <c r="D191" s="2" t="s">
        <v>155</v>
      </c>
      <c r="E191" s="2" t="s">
        <v>155</v>
      </c>
      <c r="F191" s="30">
        <v>45748</v>
      </c>
      <c r="G191" s="2">
        <f>DAY(EOMONTH(TA[[#This Row],[Month Year]],0))</f>
        <v>30</v>
      </c>
      <c r="H191" s="21">
        <v>45757</v>
      </c>
      <c r="I191" s="32">
        <f>IFERROR(VLOOKUP(TA[[#This Row],[Date]],Raw_Data[[Date]:[Sunset Time (POA&lt;20 W/m2)]],3,0),"")</f>
        <v>0.2638888888888889</v>
      </c>
      <c r="J191" s="32">
        <f>IFERROR(VLOOKUP(TA[[#This Row],[Date]],Raw_Data[[Date]:[Sunset Time (POA&lt;20 W/m2)]],4,0),"")</f>
        <v>0.76041666666666663</v>
      </c>
      <c r="K191" s="27">
        <f>IFERROR((TA[[#This Row],[Sunset Time (POA&lt;20 W/m2)]]-TA[[#This Row],[Sunrise Time (POA&gt;20 W/m2)]])*24,"")</f>
        <v>11.916666666666666</v>
      </c>
      <c r="L191" s="2" t="s">
        <v>285</v>
      </c>
      <c r="M191" s="33">
        <f>IFERROR(VLOOKUP(TA[[#This Row],[Affected Equipment]],'Basic Data'!$I$2:$K$40,3,0),"")</f>
        <v>1.7241379310344799E-3</v>
      </c>
      <c r="N191">
        <v>-28</v>
      </c>
      <c r="O191" t="s">
        <v>133</v>
      </c>
      <c r="P191" s="114" t="s">
        <v>307</v>
      </c>
      <c r="Q191" s="113" t="s">
        <v>307</v>
      </c>
      <c r="R191">
        <v>117</v>
      </c>
      <c r="S191" s="2">
        <v>20</v>
      </c>
      <c r="T191" t="s">
        <v>286</v>
      </c>
      <c r="U191" t="s">
        <v>291</v>
      </c>
      <c r="V191" t="s">
        <v>289</v>
      </c>
      <c r="W191" s="32"/>
      <c r="X191" s="32"/>
      <c r="Y191" s="26"/>
      <c r="Z191" s="26"/>
      <c r="AA191" s="27">
        <f>IF(TA[[#This Row],[Work Start time on Fault]]="NA","",(TA[[#This Row],[Fault Acknowledgement Time ]]-TA[[#This Row],[Fault Time]])*24)</f>
        <v>0</v>
      </c>
      <c r="AB191" s="27">
        <f>(TA[[#This Row],[Work Start time on Fault]]-TA[[#This Row],[Fault Time]])*24</f>
        <v>0</v>
      </c>
      <c r="AC191" s="26">
        <f>(TA[[#This Row],[Work Completion time on fault]]-TA[[#This Row],[Fault Time]])*24</f>
        <v>0</v>
      </c>
      <c r="AD191" s="27">
        <f>IFERROR((TA[[#This Row],[Work Completion time on fault]]-TA[[#This Row],[Fault Time]])*24,"")</f>
        <v>0</v>
      </c>
      <c r="AE191" t="s">
        <v>319</v>
      </c>
      <c r="AF191" t="s">
        <v>247</v>
      </c>
      <c r="AG191" s="2"/>
      <c r="AH191" s="35">
        <f>1-COS(RADIANS(TA[[#This Row],[Avg. Target Angle during Fault Time (Radians)]]-TA[[#This Row],[Angle of affected equipment ]]))</f>
        <v>0.11705240714107301</v>
      </c>
      <c r="AI191" s="27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43">
        <f t="shared" si="8"/>
        <v>2026</v>
      </c>
      <c r="C192" s="116">
        <f t="shared" si="9"/>
        <v>2025</v>
      </c>
      <c r="D192" s="2" t="s">
        <v>155</v>
      </c>
      <c r="E192" s="2" t="s">
        <v>155</v>
      </c>
      <c r="F192" s="30">
        <v>45748</v>
      </c>
      <c r="G192" s="2">
        <f>DAY(EOMONTH(TA[[#This Row],[Month Year]],0))</f>
        <v>30</v>
      </c>
      <c r="H192" s="21">
        <v>45757</v>
      </c>
      <c r="I192" s="32">
        <f>IFERROR(VLOOKUP(TA[[#This Row],[Date]],Raw_Data[[Date]:[Sunset Time (POA&lt;20 W/m2)]],3,0),"")</f>
        <v>0.2638888888888889</v>
      </c>
      <c r="J192" s="32">
        <f>IFERROR(VLOOKUP(TA[[#This Row],[Date]],Raw_Data[[Date]:[Sunset Time (POA&lt;20 W/m2)]],4,0),"")</f>
        <v>0.76041666666666663</v>
      </c>
      <c r="K192" s="27">
        <f>IFERROR((TA[[#This Row],[Sunset Time (POA&lt;20 W/m2)]]-TA[[#This Row],[Sunrise Time (POA&gt;20 W/m2)]])*24,"")</f>
        <v>11.916666666666666</v>
      </c>
      <c r="L192" s="2" t="s">
        <v>285</v>
      </c>
      <c r="M192" s="33">
        <f>IFERROR(VLOOKUP(TA[[#This Row],[Affected Equipment]],'Basic Data'!$I$2:$K$40,3,0),"")</f>
        <v>1.7241379310344799E-3</v>
      </c>
      <c r="N192">
        <v>-28</v>
      </c>
      <c r="O192" t="s">
        <v>133</v>
      </c>
      <c r="P192" s="114" t="s">
        <v>307</v>
      </c>
      <c r="Q192" s="113" t="s">
        <v>307</v>
      </c>
      <c r="R192">
        <v>118</v>
      </c>
      <c r="S192" s="2">
        <v>22</v>
      </c>
      <c r="T192" t="s">
        <v>286</v>
      </c>
      <c r="U192" t="s">
        <v>291</v>
      </c>
      <c r="V192" t="s">
        <v>289</v>
      </c>
      <c r="W192" s="32"/>
      <c r="X192" s="32"/>
      <c r="Y192" s="26"/>
      <c r="Z192" s="26"/>
      <c r="AA192" s="27">
        <f>IF(TA[[#This Row],[Work Start time on Fault]]="NA","",(TA[[#This Row],[Fault Acknowledgement Time ]]-TA[[#This Row],[Fault Time]])*24)</f>
        <v>0</v>
      </c>
      <c r="AB192" s="27">
        <f>(TA[[#This Row],[Work Start time on Fault]]-TA[[#This Row],[Fault Time]])*24</f>
        <v>0</v>
      </c>
      <c r="AC192" s="26">
        <f>(TA[[#This Row],[Work Completion time on fault]]-TA[[#This Row],[Fault Time]])*24</f>
        <v>0</v>
      </c>
      <c r="AD192" s="27">
        <f>IFERROR((TA[[#This Row],[Work Completion time on fault]]-TA[[#This Row],[Fault Time]])*24,"")</f>
        <v>0</v>
      </c>
      <c r="AE192" t="s">
        <v>319</v>
      </c>
      <c r="AF192" t="s">
        <v>247</v>
      </c>
      <c r="AG192" s="2"/>
      <c r="AH192" s="35">
        <f>1-COS(RADIANS(TA[[#This Row],[Avg. Target Angle during Fault Time (Radians)]]-TA[[#This Row],[Angle of affected equipment ]]))</f>
        <v>0.11705240714107301</v>
      </c>
      <c r="AI192" s="27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43">
        <f t="shared" si="8"/>
        <v>2026</v>
      </c>
      <c r="C193" s="116">
        <f t="shared" si="9"/>
        <v>2025</v>
      </c>
      <c r="D193" s="2" t="s">
        <v>155</v>
      </c>
      <c r="E193" s="2" t="s">
        <v>155</v>
      </c>
      <c r="F193" s="30">
        <v>45748</v>
      </c>
      <c r="G193" s="2">
        <f>DAY(EOMONTH(TA[[#This Row],[Month Year]],0))</f>
        <v>30</v>
      </c>
      <c r="H193" s="21">
        <v>45757</v>
      </c>
      <c r="I193" s="32">
        <f>IFERROR(VLOOKUP(TA[[#This Row],[Date]],Raw_Data[[Date]:[Sunset Time (POA&lt;20 W/m2)]],3,0),"")</f>
        <v>0.2638888888888889</v>
      </c>
      <c r="J193" s="32">
        <f>IFERROR(VLOOKUP(TA[[#This Row],[Date]],Raw_Data[[Date]:[Sunset Time (POA&lt;20 W/m2)]],4,0),"")</f>
        <v>0.76041666666666663</v>
      </c>
      <c r="K193" s="27">
        <f>IFERROR((TA[[#This Row],[Sunset Time (POA&lt;20 W/m2)]]-TA[[#This Row],[Sunrise Time (POA&gt;20 W/m2)]])*24,"")</f>
        <v>11.916666666666666</v>
      </c>
      <c r="L193" s="2" t="s">
        <v>287</v>
      </c>
      <c r="M193" s="33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314</v>
      </c>
      <c r="Q193" s="2" t="s">
        <v>320</v>
      </c>
      <c r="R193">
        <v>45</v>
      </c>
      <c r="S193" s="2">
        <v>8</v>
      </c>
      <c r="T193" t="s">
        <v>288</v>
      </c>
      <c r="U193" t="s">
        <v>317</v>
      </c>
      <c r="V193" t="s">
        <v>292</v>
      </c>
      <c r="W193" s="32">
        <f>IFERROR(VLOOKUP(TA[[#This Row],[Date]],Raw_Data[[Date]:[Sunset Time (POA&lt;20 W/m2)]],3,0),"")</f>
        <v>0.2638888888888889</v>
      </c>
      <c r="X193" s="32">
        <f>IFERROR(VLOOKUP(TA[[#This Row],[Date]],Raw_Data[[Date]:[Sunset Time (POA&lt;20 W/m2)]],3,0),"")</f>
        <v>0.2638888888888889</v>
      </c>
      <c r="Y193" s="26"/>
      <c r="Z193" s="26">
        <v>0.76041666666666663</v>
      </c>
      <c r="AA193" s="27">
        <f>IF(TA[[#This Row],[Work Start time on Fault]]="NA","",(TA[[#This Row],[Fault Acknowledgement Time ]]-TA[[#This Row],[Fault Time]])*24)</f>
        <v>0</v>
      </c>
      <c r="AB193" s="27">
        <f>(TA[[#This Row],[Work Start time on Fault]]-TA[[#This Row],[Fault Time]])*24</f>
        <v>-6.3333333333333339</v>
      </c>
      <c r="AC193" s="26">
        <f>(TA[[#This Row],[Work Completion time on fault]]-TA[[#This Row],[Fault Time]])*24</f>
        <v>11.916666666666666</v>
      </c>
      <c r="AD193" s="27">
        <f>IFERROR((TA[[#This Row],[Work Completion time on fault]]-TA[[#This Row],[Fault Time]])*24,"")</f>
        <v>11.916666666666666</v>
      </c>
      <c r="AE193" t="s">
        <v>300</v>
      </c>
      <c r="AF193" t="s">
        <v>247</v>
      </c>
      <c r="AG193" s="2"/>
      <c r="AH193" s="35">
        <f>1-COS(RADIANS(TA[[#This Row],[Avg. Target Angle during Fault Time (Radians)]]-TA[[#This Row],[Angle of affected equipment ]]))</f>
        <v>0.11705240714107301</v>
      </c>
      <c r="AI193" s="27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43">
        <f t="shared" si="8"/>
        <v>2026</v>
      </c>
      <c r="C194" s="116">
        <f t="shared" si="9"/>
        <v>2025</v>
      </c>
      <c r="D194" s="2" t="s">
        <v>155</v>
      </c>
      <c r="E194" s="2" t="s">
        <v>155</v>
      </c>
      <c r="F194" s="30">
        <v>45748</v>
      </c>
      <c r="G194" s="2">
        <f>DAY(EOMONTH(TA[[#This Row],[Month Year]],0))</f>
        <v>30</v>
      </c>
      <c r="H194" s="21">
        <v>45757</v>
      </c>
      <c r="I194" s="32">
        <f>IFERROR(VLOOKUP(TA[[#This Row],[Date]],Raw_Data[[Date]:[Sunset Time (POA&lt;20 W/m2)]],3,0),"")</f>
        <v>0.2638888888888889</v>
      </c>
      <c r="J194" s="32">
        <f>IFERROR(VLOOKUP(TA[[#This Row],[Date]],Raw_Data[[Date]:[Sunset Time (POA&lt;20 W/m2)]],4,0),"")</f>
        <v>0.76041666666666663</v>
      </c>
      <c r="K194" s="27">
        <f>IFERROR((TA[[#This Row],[Sunset Time (POA&lt;20 W/m2)]]-TA[[#This Row],[Sunrise Time (POA&gt;20 W/m2)]])*24,"")</f>
        <v>11.916666666666666</v>
      </c>
      <c r="L194" s="2" t="s">
        <v>287</v>
      </c>
      <c r="M194" s="33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314</v>
      </c>
      <c r="Q194" s="2" t="s">
        <v>320</v>
      </c>
      <c r="R194">
        <v>47</v>
      </c>
      <c r="S194" s="2">
        <v>18</v>
      </c>
      <c r="T194" t="s">
        <v>288</v>
      </c>
      <c r="U194" t="s">
        <v>317</v>
      </c>
      <c r="V194" t="s">
        <v>292</v>
      </c>
      <c r="W194" s="32">
        <f>IFERROR(VLOOKUP(TA[[#This Row],[Date]],Raw_Data[[Date]:[Sunset Time (POA&lt;20 W/m2)]],3,0),"")</f>
        <v>0.2638888888888889</v>
      </c>
      <c r="X194" s="32">
        <f>IFERROR(VLOOKUP(TA[[#This Row],[Date]],Raw_Data[[Date]:[Sunset Time (POA&lt;20 W/m2)]],3,0),"")</f>
        <v>0.2638888888888889</v>
      </c>
      <c r="Y194" s="26"/>
      <c r="Z194" s="26">
        <v>0.76041666666666663</v>
      </c>
      <c r="AA194" s="27">
        <f>IF(TA[[#This Row],[Work Start time on Fault]]="NA","",(TA[[#This Row],[Fault Acknowledgement Time ]]-TA[[#This Row],[Fault Time]])*24)</f>
        <v>0</v>
      </c>
      <c r="AB194" s="27">
        <f>(TA[[#This Row],[Work Start time on Fault]]-TA[[#This Row],[Fault Time]])*24</f>
        <v>-6.3333333333333339</v>
      </c>
      <c r="AC194" s="26">
        <f>(TA[[#This Row],[Work Completion time on fault]]-TA[[#This Row],[Fault Time]])*24</f>
        <v>11.916666666666666</v>
      </c>
      <c r="AD194" s="27">
        <f>IFERROR((TA[[#This Row],[Work Completion time on fault]]-TA[[#This Row],[Fault Time]])*24,"")</f>
        <v>11.916666666666666</v>
      </c>
      <c r="AE194" t="s">
        <v>300</v>
      </c>
      <c r="AF194" t="s">
        <v>247</v>
      </c>
      <c r="AG194" s="2"/>
      <c r="AH194" s="35">
        <f>1-COS(RADIANS(TA[[#This Row],[Avg. Target Angle during Fault Time (Radians)]]-TA[[#This Row],[Angle of affected equipment ]]))</f>
        <v>0.11705240714107301</v>
      </c>
      <c r="AI194" s="27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43">
        <f t="shared" si="8"/>
        <v>2026</v>
      </c>
      <c r="C195" s="116">
        <f t="shared" si="9"/>
        <v>2025</v>
      </c>
      <c r="D195" s="2" t="s">
        <v>155</v>
      </c>
      <c r="E195" s="2" t="s">
        <v>155</v>
      </c>
      <c r="F195" s="30">
        <v>45748</v>
      </c>
      <c r="G195" s="2">
        <f>DAY(EOMONTH(TA[[#This Row],[Month Year]],0))</f>
        <v>30</v>
      </c>
      <c r="H195" s="21">
        <v>45757</v>
      </c>
      <c r="I195" s="32">
        <f>IFERROR(VLOOKUP(TA[[#This Row],[Date]],Raw_Data[[Date]:[Sunset Time (POA&lt;20 W/m2)]],3,0),"")</f>
        <v>0.2638888888888889</v>
      </c>
      <c r="J195" s="32">
        <f>IFERROR(VLOOKUP(TA[[#This Row],[Date]],Raw_Data[[Date]:[Sunset Time (POA&lt;20 W/m2)]],4,0),"")</f>
        <v>0.76041666666666663</v>
      </c>
      <c r="K195" s="27">
        <f>IFERROR((TA[[#This Row],[Sunset Time (POA&lt;20 W/m2)]]-TA[[#This Row],[Sunrise Time (POA&gt;20 W/m2)]])*24,"")</f>
        <v>11.916666666666666</v>
      </c>
      <c r="L195" s="2" t="s">
        <v>287</v>
      </c>
      <c r="M195" s="33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321</v>
      </c>
      <c r="Q195" s="2" t="s">
        <v>314</v>
      </c>
      <c r="R195">
        <v>30</v>
      </c>
      <c r="S195" s="2">
        <v>57</v>
      </c>
      <c r="T195" t="s">
        <v>288</v>
      </c>
      <c r="U195" t="s">
        <v>317</v>
      </c>
      <c r="V195" t="s">
        <v>292</v>
      </c>
      <c r="W195" s="32">
        <f>IFERROR(VLOOKUP(TA[[#This Row],[Date]],Raw_Data[[Date]:[Sunset Time (POA&lt;20 W/m2)]],3,0),"")</f>
        <v>0.2638888888888889</v>
      </c>
      <c r="X195" s="32">
        <f>IFERROR(VLOOKUP(TA[[#This Row],[Date]],Raw_Data[[Date]:[Sunset Time (POA&lt;20 W/m2)]],3,0),"")</f>
        <v>0.2638888888888889</v>
      </c>
      <c r="Y195" s="26"/>
      <c r="Z195" s="26">
        <v>0.76041666666666663</v>
      </c>
      <c r="AA195" s="27">
        <f>IF(TA[[#This Row],[Work Start time on Fault]]="NA","",(TA[[#This Row],[Fault Acknowledgement Time ]]-TA[[#This Row],[Fault Time]])*24)</f>
        <v>0</v>
      </c>
      <c r="AB195" s="27">
        <f>(TA[[#This Row],[Work Start time on Fault]]-TA[[#This Row],[Fault Time]])*24</f>
        <v>-6.3333333333333339</v>
      </c>
      <c r="AC195" s="26">
        <f>(TA[[#This Row],[Work Completion time on fault]]-TA[[#This Row],[Fault Time]])*24</f>
        <v>11.916666666666666</v>
      </c>
      <c r="AD195" s="27">
        <f>IFERROR((TA[[#This Row],[Work Completion time on fault]]-TA[[#This Row],[Fault Time]])*24,"")</f>
        <v>11.916666666666666</v>
      </c>
      <c r="AE195" t="s">
        <v>300</v>
      </c>
      <c r="AF195" t="s">
        <v>247</v>
      </c>
      <c r="AG195" s="2"/>
      <c r="AH195" s="35">
        <f>1-COS(RADIANS(TA[[#This Row],[Avg. Target Angle during Fault Time (Radians)]]-TA[[#This Row],[Angle of affected equipment ]]))</f>
        <v>0.11705240714107301</v>
      </c>
      <c r="AI195" s="27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43">
        <f t="shared" si="8"/>
        <v>2026</v>
      </c>
      <c r="C196" s="116">
        <f t="shared" si="9"/>
        <v>2025</v>
      </c>
      <c r="D196" s="2" t="s">
        <v>155</v>
      </c>
      <c r="E196" s="2" t="s">
        <v>155</v>
      </c>
      <c r="F196" s="30">
        <v>45748</v>
      </c>
      <c r="G196" s="2">
        <f>DAY(EOMONTH(TA[[#This Row],[Month Year]],0))</f>
        <v>30</v>
      </c>
      <c r="H196" s="21">
        <v>45757</v>
      </c>
      <c r="I196" s="32">
        <f>IFERROR(VLOOKUP(TA[[#This Row],[Date]],Raw_Data[[Date]:[Sunset Time (POA&lt;20 W/m2)]],3,0),"")</f>
        <v>0.2638888888888889</v>
      </c>
      <c r="J196" s="32">
        <f>IFERROR(VLOOKUP(TA[[#This Row],[Date]],Raw_Data[[Date]:[Sunset Time (POA&lt;20 W/m2)]],4,0),"")</f>
        <v>0.76041666666666663</v>
      </c>
      <c r="K196" s="27">
        <f>IFERROR((TA[[#This Row],[Sunset Time (POA&lt;20 W/m2)]]-TA[[#This Row],[Sunrise Time (POA&gt;20 W/m2)]])*24,"")</f>
        <v>11.916666666666666</v>
      </c>
      <c r="L196" s="2" t="s">
        <v>287</v>
      </c>
      <c r="M196" s="33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321</v>
      </c>
      <c r="Q196" s="2" t="s">
        <v>314</v>
      </c>
      <c r="R196">
        <v>31</v>
      </c>
      <c r="S196" s="2">
        <v>61</v>
      </c>
      <c r="T196" t="s">
        <v>288</v>
      </c>
      <c r="U196" t="s">
        <v>317</v>
      </c>
      <c r="V196" t="s">
        <v>292</v>
      </c>
      <c r="W196" s="32">
        <f>IFERROR(VLOOKUP(TA[[#This Row],[Date]],Raw_Data[[Date]:[Sunset Time (POA&lt;20 W/m2)]],3,0),"")</f>
        <v>0.2638888888888889</v>
      </c>
      <c r="X196" s="32">
        <f>IFERROR(VLOOKUP(TA[[#This Row],[Date]],Raw_Data[[Date]:[Sunset Time (POA&lt;20 W/m2)]],3,0),"")</f>
        <v>0.2638888888888889</v>
      </c>
      <c r="Y196" s="26"/>
      <c r="Z196" s="26">
        <v>0.76041666666666663</v>
      </c>
      <c r="AA196" s="27">
        <f>IF(TA[[#This Row],[Work Start time on Fault]]="NA","",(TA[[#This Row],[Fault Acknowledgement Time ]]-TA[[#This Row],[Fault Time]])*24)</f>
        <v>0</v>
      </c>
      <c r="AB196" s="27">
        <f>(TA[[#This Row],[Work Start time on Fault]]-TA[[#This Row],[Fault Time]])*24</f>
        <v>-6.3333333333333339</v>
      </c>
      <c r="AC196" s="26">
        <f>(TA[[#This Row],[Work Completion time on fault]]-TA[[#This Row],[Fault Time]])*24</f>
        <v>11.916666666666666</v>
      </c>
      <c r="AD196" s="27">
        <f>IFERROR((TA[[#This Row],[Work Completion time on fault]]-TA[[#This Row],[Fault Time]])*24,"")</f>
        <v>11.916666666666666</v>
      </c>
      <c r="AE196" t="s">
        <v>300</v>
      </c>
      <c r="AF196" t="s">
        <v>247</v>
      </c>
      <c r="AG196" s="2"/>
      <c r="AH196" s="35">
        <f>1-COS(RADIANS(TA[[#This Row],[Avg. Target Angle during Fault Time (Radians)]]-TA[[#This Row],[Angle of affected equipment ]]))</f>
        <v>0.11705240714107301</v>
      </c>
      <c r="AI196" s="27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43">
        <f t="shared" ref="B197:B260" si="11">YEAR(H197)+IF(MONTH(H197)&gt;=4,1,0)</f>
        <v>2026</v>
      </c>
      <c r="C197" s="116">
        <f t="shared" ref="C197:C260" si="12">YEAR(H197)</f>
        <v>2025</v>
      </c>
      <c r="D197" s="2" t="s">
        <v>155</v>
      </c>
      <c r="E197" s="2" t="s">
        <v>155</v>
      </c>
      <c r="F197" s="30">
        <v>45748</v>
      </c>
      <c r="G197" s="2">
        <f>DAY(EOMONTH(TA[[#This Row],[Month Year]],0))</f>
        <v>30</v>
      </c>
      <c r="H197" s="21">
        <v>45757</v>
      </c>
      <c r="I197" s="32">
        <f>IFERROR(VLOOKUP(TA[[#This Row],[Date]],Raw_Data[[Date]:[Sunset Time (POA&lt;20 W/m2)]],3,0),"")</f>
        <v>0.2638888888888889</v>
      </c>
      <c r="J197" s="32">
        <f>IFERROR(VLOOKUP(TA[[#This Row],[Date]],Raw_Data[[Date]:[Sunset Time (POA&lt;20 W/m2)]],4,0),"")</f>
        <v>0.76041666666666663</v>
      </c>
      <c r="K197" s="27">
        <f>IFERROR((TA[[#This Row],[Sunset Time (POA&lt;20 W/m2)]]-TA[[#This Row],[Sunrise Time (POA&gt;20 W/m2)]])*24,"")</f>
        <v>11.916666666666666</v>
      </c>
      <c r="L197" s="2" t="s">
        <v>303</v>
      </c>
      <c r="M197" s="33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321</v>
      </c>
      <c r="Q197" s="2" t="s">
        <v>314</v>
      </c>
      <c r="R197">
        <v>26</v>
      </c>
      <c r="S197" s="2">
        <v>37</v>
      </c>
      <c r="T197" t="s">
        <v>288</v>
      </c>
      <c r="U197" t="s">
        <v>317</v>
      </c>
      <c r="V197" t="s">
        <v>292</v>
      </c>
      <c r="W197" s="32">
        <f>IFERROR(VLOOKUP(TA[[#This Row],[Date]],Raw_Data[[Date]:[Sunset Time (POA&lt;20 W/m2)]],3,0),"")</f>
        <v>0.2638888888888889</v>
      </c>
      <c r="X197" s="32">
        <f>IFERROR(VLOOKUP(TA[[#This Row],[Date]],Raw_Data[[Date]:[Sunset Time (POA&lt;20 W/m2)]],3,0),"")</f>
        <v>0.2638888888888889</v>
      </c>
      <c r="Y197" s="26"/>
      <c r="Z197" s="26">
        <v>0.76041666666666663</v>
      </c>
      <c r="AA197" s="27">
        <f>IF(TA[[#This Row],[Work Start time on Fault]]="NA","",(TA[[#This Row],[Fault Acknowledgement Time ]]-TA[[#This Row],[Fault Time]])*24)</f>
        <v>0</v>
      </c>
      <c r="AB197" s="27">
        <f>(TA[[#This Row],[Work Start time on Fault]]-TA[[#This Row],[Fault Time]])*24</f>
        <v>-6.3333333333333339</v>
      </c>
      <c r="AC197" s="26">
        <f>(TA[[#This Row],[Work Completion time on fault]]-TA[[#This Row],[Fault Time]])*24</f>
        <v>11.916666666666666</v>
      </c>
      <c r="AD197" s="27">
        <f>IFERROR((TA[[#This Row],[Work Completion time on fault]]-TA[[#This Row],[Fault Time]])*24,"")</f>
        <v>11.916666666666666</v>
      </c>
      <c r="AE197" t="s">
        <v>300</v>
      </c>
      <c r="AF197" t="s">
        <v>247</v>
      </c>
      <c r="AG197" s="2"/>
      <c r="AH197" s="35">
        <f>1-COS(RADIANS(TA[[#This Row],[Avg. Target Angle during Fault Time (Radians)]]-TA[[#This Row],[Angle of affected equipment ]]))</f>
        <v>0.11705240714107301</v>
      </c>
      <c r="AI197" s="27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43">
        <f t="shared" si="11"/>
        <v>2026</v>
      </c>
      <c r="C198" s="116">
        <f t="shared" si="12"/>
        <v>2025</v>
      </c>
      <c r="D198" s="2" t="s">
        <v>155</v>
      </c>
      <c r="E198" s="2" t="s">
        <v>155</v>
      </c>
      <c r="F198" s="30">
        <v>45748</v>
      </c>
      <c r="G198" s="2">
        <f>DAY(EOMONTH(TA[[#This Row],[Month Year]],0))</f>
        <v>30</v>
      </c>
      <c r="H198" s="21">
        <v>45757</v>
      </c>
      <c r="I198" s="32">
        <f>IFERROR(VLOOKUP(TA[[#This Row],[Date]],Raw_Data[[Date]:[Sunset Time (POA&lt;20 W/m2)]],3,0),"")</f>
        <v>0.2638888888888889</v>
      </c>
      <c r="J198" s="32">
        <f>IFERROR(VLOOKUP(TA[[#This Row],[Date]],Raw_Data[[Date]:[Sunset Time (POA&lt;20 W/m2)]],4,0),"")</f>
        <v>0.76041666666666663</v>
      </c>
      <c r="K198" s="27">
        <f>IFERROR((TA[[#This Row],[Sunset Time (POA&lt;20 W/m2)]]-TA[[#This Row],[Sunrise Time (POA&gt;20 W/m2)]])*24,"")</f>
        <v>11.916666666666666</v>
      </c>
      <c r="L198" s="2" t="s">
        <v>303</v>
      </c>
      <c r="M198" s="33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321</v>
      </c>
      <c r="Q198" s="2" t="s">
        <v>314</v>
      </c>
      <c r="R198">
        <v>27</v>
      </c>
      <c r="S198" s="2">
        <v>42</v>
      </c>
      <c r="T198" t="s">
        <v>288</v>
      </c>
      <c r="U198" t="s">
        <v>317</v>
      </c>
      <c r="V198" t="s">
        <v>292</v>
      </c>
      <c r="W198" s="32">
        <f>IFERROR(VLOOKUP(TA[[#This Row],[Date]],Raw_Data[[Date]:[Sunset Time (POA&lt;20 W/m2)]],3,0),"")</f>
        <v>0.2638888888888889</v>
      </c>
      <c r="X198" s="32">
        <f>IFERROR(VLOOKUP(TA[[#This Row],[Date]],Raw_Data[[Date]:[Sunset Time (POA&lt;20 W/m2)]],3,0),"")</f>
        <v>0.2638888888888889</v>
      </c>
      <c r="Y198" s="26"/>
      <c r="Z198" s="26">
        <v>0.76041666666666663</v>
      </c>
      <c r="AA198" s="27">
        <f>IF(TA[[#This Row],[Work Start time on Fault]]="NA","",(TA[[#This Row],[Fault Acknowledgement Time ]]-TA[[#This Row],[Fault Time]])*24)</f>
        <v>0</v>
      </c>
      <c r="AB198" s="27">
        <f>(TA[[#This Row],[Work Start time on Fault]]-TA[[#This Row],[Fault Time]])*24</f>
        <v>-6.3333333333333339</v>
      </c>
      <c r="AC198" s="26">
        <f>(TA[[#This Row],[Work Completion time on fault]]-TA[[#This Row],[Fault Time]])*24</f>
        <v>11.916666666666666</v>
      </c>
      <c r="AD198" s="27">
        <f>IFERROR((TA[[#This Row],[Work Completion time on fault]]-TA[[#This Row],[Fault Time]])*24,"")</f>
        <v>11.916666666666666</v>
      </c>
      <c r="AE198" t="s">
        <v>300</v>
      </c>
      <c r="AF198" t="s">
        <v>247</v>
      </c>
      <c r="AG198" s="2"/>
      <c r="AH198" s="35">
        <f>1-COS(RADIANS(TA[[#This Row],[Avg. Target Angle during Fault Time (Radians)]]-TA[[#This Row],[Angle of affected equipment ]]))</f>
        <v>0.11705240714107301</v>
      </c>
      <c r="AI198" s="27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43">
        <f t="shared" si="11"/>
        <v>2026</v>
      </c>
      <c r="C199" s="116">
        <f t="shared" si="12"/>
        <v>2025</v>
      </c>
      <c r="D199" s="2" t="s">
        <v>155</v>
      </c>
      <c r="E199" s="2" t="s">
        <v>155</v>
      </c>
      <c r="F199" s="30">
        <v>45748</v>
      </c>
      <c r="G199" s="2">
        <f>DAY(EOMONTH(TA[[#This Row],[Month Year]],0))</f>
        <v>30</v>
      </c>
      <c r="H199" s="21">
        <v>45758</v>
      </c>
      <c r="I199" s="32">
        <f>IFERROR(VLOOKUP(TA[[#This Row],[Date]],Raw_Data[[Date]:[Sunset Time (POA&lt;20 W/m2)]],3,0),"")</f>
        <v>0.26250000000000001</v>
      </c>
      <c r="J199" s="32">
        <f>IFERROR(VLOOKUP(TA[[#This Row],[Date]],Raw_Data[[Date]:[Sunset Time (POA&lt;20 W/m2)]],4,0),"")</f>
        <v>0.75555555555555554</v>
      </c>
      <c r="K199" s="27">
        <f>IFERROR((TA[[#This Row],[Sunset Time (POA&lt;20 W/m2)]]-TA[[#This Row],[Sunrise Time (POA&gt;20 W/m2)]])*24,"")</f>
        <v>11.833333333333332</v>
      </c>
      <c r="L199" s="2" t="s">
        <v>285</v>
      </c>
      <c r="M199" s="33">
        <f>IFERROR(VLOOKUP(TA[[#This Row],[Affected Equipment]],'Basic Data'!$I$2:$K$40,3,0),"")</f>
        <v>1.7241379310344799E-3</v>
      </c>
      <c r="N199">
        <v>-28</v>
      </c>
      <c r="O199" t="s">
        <v>135</v>
      </c>
      <c r="P199" s="114" t="s">
        <v>309</v>
      </c>
      <c r="Q199" s="113" t="s">
        <v>309</v>
      </c>
      <c r="R199">
        <v>130</v>
      </c>
      <c r="S199" s="2">
        <v>36</v>
      </c>
      <c r="T199" t="s">
        <v>286</v>
      </c>
      <c r="U199" t="s">
        <v>291</v>
      </c>
      <c r="V199" t="s">
        <v>289</v>
      </c>
      <c r="W199" s="32"/>
      <c r="X199" s="32"/>
      <c r="Y199" s="26"/>
      <c r="Z199" s="26"/>
      <c r="AA199" s="27">
        <f>IF(TA[[#This Row],[Work Start time on Fault]]="NA","",(TA[[#This Row],[Fault Acknowledgement Time ]]-TA[[#This Row],[Fault Time]])*24)</f>
        <v>0</v>
      </c>
      <c r="AB199" s="27">
        <f>(TA[[#This Row],[Work Start time on Fault]]-TA[[#This Row],[Fault Time]])*24</f>
        <v>0</v>
      </c>
      <c r="AC199" s="26">
        <f>(TA[[#This Row],[Work Completion time on fault]]-TA[[#This Row],[Fault Time]])*24</f>
        <v>0</v>
      </c>
      <c r="AD199" s="27">
        <f>IFERROR((TA[[#This Row],[Work Completion time on fault]]-TA[[#This Row],[Fault Time]])*24,"")</f>
        <v>0</v>
      </c>
      <c r="AE199" t="s">
        <v>319</v>
      </c>
      <c r="AF199" t="s">
        <v>247</v>
      </c>
      <c r="AG199" s="2"/>
      <c r="AH199" s="35">
        <f>1-COS(RADIANS(TA[[#This Row],[Avg. Target Angle during Fault Time (Radians)]]-TA[[#This Row],[Angle of affected equipment ]]))</f>
        <v>0.11705240714107301</v>
      </c>
      <c r="AI199" s="27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43">
        <f t="shared" si="11"/>
        <v>2026</v>
      </c>
      <c r="C200" s="116">
        <f t="shared" si="12"/>
        <v>2025</v>
      </c>
      <c r="D200" s="2" t="s">
        <v>155</v>
      </c>
      <c r="E200" s="2" t="s">
        <v>155</v>
      </c>
      <c r="F200" s="30">
        <v>45748</v>
      </c>
      <c r="G200" s="2">
        <f>DAY(EOMONTH(TA[[#This Row],[Month Year]],0))</f>
        <v>30</v>
      </c>
      <c r="H200" s="21">
        <v>45758</v>
      </c>
      <c r="I200" s="32">
        <f>IFERROR(VLOOKUP(TA[[#This Row],[Date]],Raw_Data[[Date]:[Sunset Time (POA&lt;20 W/m2)]],3,0),"")</f>
        <v>0.26250000000000001</v>
      </c>
      <c r="J200" s="32">
        <f>IFERROR(VLOOKUP(TA[[#This Row],[Date]],Raw_Data[[Date]:[Sunset Time (POA&lt;20 W/m2)]],4,0),"")</f>
        <v>0.75555555555555554</v>
      </c>
      <c r="K200" s="27">
        <f>IFERROR((TA[[#This Row],[Sunset Time (POA&lt;20 W/m2)]]-TA[[#This Row],[Sunrise Time (POA&gt;20 W/m2)]])*24,"")</f>
        <v>11.833333333333332</v>
      </c>
      <c r="L200" s="2" t="s">
        <v>285</v>
      </c>
      <c r="M200" s="33">
        <f>IFERROR(VLOOKUP(TA[[#This Row],[Affected Equipment]],'Basic Data'!$I$2:$K$40,3,0),"")</f>
        <v>1.7241379310344799E-3</v>
      </c>
      <c r="N200">
        <v>-28</v>
      </c>
      <c r="O200" t="s">
        <v>135</v>
      </c>
      <c r="P200" s="114" t="s">
        <v>309</v>
      </c>
      <c r="Q200" s="113" t="s">
        <v>309</v>
      </c>
      <c r="R200">
        <v>130</v>
      </c>
      <c r="S200" s="2">
        <v>37</v>
      </c>
      <c r="T200" t="s">
        <v>286</v>
      </c>
      <c r="U200" t="s">
        <v>291</v>
      </c>
      <c r="V200" t="s">
        <v>289</v>
      </c>
      <c r="W200" s="32"/>
      <c r="X200" s="32"/>
      <c r="Y200" s="26"/>
      <c r="Z200" s="26"/>
      <c r="AA200" s="27">
        <f>IF(TA[[#This Row],[Work Start time on Fault]]="NA","",(TA[[#This Row],[Fault Acknowledgement Time ]]-TA[[#This Row],[Fault Time]])*24)</f>
        <v>0</v>
      </c>
      <c r="AB200" s="27">
        <f>(TA[[#This Row],[Work Start time on Fault]]-TA[[#This Row],[Fault Time]])*24</f>
        <v>0</v>
      </c>
      <c r="AC200" s="26">
        <f>(TA[[#This Row],[Work Completion time on fault]]-TA[[#This Row],[Fault Time]])*24</f>
        <v>0</v>
      </c>
      <c r="AD200" s="27">
        <f>IFERROR((TA[[#This Row],[Work Completion time on fault]]-TA[[#This Row],[Fault Time]])*24,"")</f>
        <v>0</v>
      </c>
      <c r="AE200" t="s">
        <v>319</v>
      </c>
      <c r="AF200" t="s">
        <v>247</v>
      </c>
      <c r="AG200" s="2"/>
      <c r="AH200" s="35">
        <f>1-COS(RADIANS(TA[[#This Row],[Avg. Target Angle during Fault Time (Radians)]]-TA[[#This Row],[Angle of affected equipment ]]))</f>
        <v>0.11705240714107301</v>
      </c>
      <c r="AI200" s="27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43">
        <f t="shared" si="11"/>
        <v>2026</v>
      </c>
      <c r="C201" s="116">
        <f t="shared" si="12"/>
        <v>2025</v>
      </c>
      <c r="D201" s="2" t="s">
        <v>155</v>
      </c>
      <c r="E201" s="2" t="s">
        <v>155</v>
      </c>
      <c r="F201" s="30">
        <v>45748</v>
      </c>
      <c r="G201" s="2">
        <f>DAY(EOMONTH(TA[[#This Row],[Month Year]],0))</f>
        <v>30</v>
      </c>
      <c r="H201" s="21">
        <v>45758</v>
      </c>
      <c r="I201" s="32">
        <f>IFERROR(VLOOKUP(TA[[#This Row],[Date]],Raw_Data[[Date]:[Sunset Time (POA&lt;20 W/m2)]],3,0),"")</f>
        <v>0.26250000000000001</v>
      </c>
      <c r="J201" s="32">
        <f>IFERROR(VLOOKUP(TA[[#This Row],[Date]],Raw_Data[[Date]:[Sunset Time (POA&lt;20 W/m2)]],4,0),"")</f>
        <v>0.75555555555555554</v>
      </c>
      <c r="K201" s="27">
        <f>IFERROR((TA[[#This Row],[Sunset Time (POA&lt;20 W/m2)]]-TA[[#This Row],[Sunrise Time (POA&gt;20 W/m2)]])*24,"")</f>
        <v>11.833333333333332</v>
      </c>
      <c r="L201" s="2" t="s">
        <v>285</v>
      </c>
      <c r="M201" s="33">
        <f>IFERROR(VLOOKUP(TA[[#This Row],[Affected Equipment]],'Basic Data'!$I$2:$K$40,3,0),"")</f>
        <v>1.7241379310344799E-3</v>
      </c>
      <c r="N201">
        <v>-28</v>
      </c>
      <c r="O201" t="s">
        <v>135</v>
      </c>
      <c r="P201" s="114" t="s">
        <v>309</v>
      </c>
      <c r="Q201" s="113" t="s">
        <v>309</v>
      </c>
      <c r="R201">
        <v>131</v>
      </c>
      <c r="S201" s="2">
        <v>38</v>
      </c>
      <c r="T201" t="s">
        <v>286</v>
      </c>
      <c r="U201" t="s">
        <v>291</v>
      </c>
      <c r="V201" t="s">
        <v>289</v>
      </c>
      <c r="W201" s="32"/>
      <c r="X201" s="32"/>
      <c r="Y201" s="26"/>
      <c r="Z201" s="26"/>
      <c r="AA201" s="27">
        <f>IF(TA[[#This Row],[Work Start time on Fault]]="NA","",(TA[[#This Row],[Fault Acknowledgement Time ]]-TA[[#This Row],[Fault Time]])*24)</f>
        <v>0</v>
      </c>
      <c r="AB201" s="27">
        <f>(TA[[#This Row],[Work Start time on Fault]]-TA[[#This Row],[Fault Time]])*24</f>
        <v>0</v>
      </c>
      <c r="AC201" s="26">
        <f>(TA[[#This Row],[Work Completion time on fault]]-TA[[#This Row],[Fault Time]])*24</f>
        <v>0</v>
      </c>
      <c r="AD201" s="27">
        <f>IFERROR((TA[[#This Row],[Work Completion time on fault]]-TA[[#This Row],[Fault Time]])*24,"")</f>
        <v>0</v>
      </c>
      <c r="AE201" t="s">
        <v>319</v>
      </c>
      <c r="AF201" t="s">
        <v>247</v>
      </c>
      <c r="AG201" s="2"/>
      <c r="AH201" s="35">
        <f>1-COS(RADIANS(TA[[#This Row],[Avg. Target Angle during Fault Time (Radians)]]-TA[[#This Row],[Angle of affected equipment ]]))</f>
        <v>0.11705240714107301</v>
      </c>
      <c r="AI201" s="27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43">
        <f t="shared" si="11"/>
        <v>2026</v>
      </c>
      <c r="C202" s="116">
        <f t="shared" si="12"/>
        <v>2025</v>
      </c>
      <c r="D202" s="2" t="s">
        <v>155</v>
      </c>
      <c r="E202" s="2" t="s">
        <v>155</v>
      </c>
      <c r="F202" s="30">
        <v>45748</v>
      </c>
      <c r="G202" s="2">
        <f>DAY(EOMONTH(TA[[#This Row],[Month Year]],0))</f>
        <v>30</v>
      </c>
      <c r="H202" s="21">
        <v>45758</v>
      </c>
      <c r="I202" s="32">
        <f>IFERROR(VLOOKUP(TA[[#This Row],[Date]],Raw_Data[[Date]:[Sunset Time (POA&lt;20 W/m2)]],3,0),"")</f>
        <v>0.26250000000000001</v>
      </c>
      <c r="J202" s="32">
        <f>IFERROR(VLOOKUP(TA[[#This Row],[Date]],Raw_Data[[Date]:[Sunset Time (POA&lt;20 W/m2)]],4,0),"")</f>
        <v>0.75555555555555554</v>
      </c>
      <c r="K202" s="27">
        <f>IFERROR((TA[[#This Row],[Sunset Time (POA&lt;20 W/m2)]]-TA[[#This Row],[Sunrise Time (POA&gt;20 W/m2)]])*24,"")</f>
        <v>11.833333333333332</v>
      </c>
      <c r="L202" s="2" t="s">
        <v>285</v>
      </c>
      <c r="M202" s="33">
        <f>IFERROR(VLOOKUP(TA[[#This Row],[Affected Equipment]],'Basic Data'!$I$2:$K$40,3,0),"")</f>
        <v>1.7241379310344799E-3</v>
      </c>
      <c r="N202">
        <v>-28</v>
      </c>
      <c r="O202" t="s">
        <v>135</v>
      </c>
      <c r="P202" s="114" t="s">
        <v>309</v>
      </c>
      <c r="Q202" s="113" t="s">
        <v>309</v>
      </c>
      <c r="R202">
        <v>131</v>
      </c>
      <c r="S202" s="2">
        <v>39</v>
      </c>
      <c r="T202" t="s">
        <v>286</v>
      </c>
      <c r="U202" t="s">
        <v>291</v>
      </c>
      <c r="V202" t="s">
        <v>289</v>
      </c>
      <c r="W202" s="32"/>
      <c r="X202" s="32"/>
      <c r="Y202" s="26"/>
      <c r="Z202" s="26"/>
      <c r="AA202" s="27">
        <f>IF(TA[[#This Row],[Work Start time on Fault]]="NA","",(TA[[#This Row],[Fault Acknowledgement Time ]]-TA[[#This Row],[Fault Time]])*24)</f>
        <v>0</v>
      </c>
      <c r="AB202" s="27">
        <f>(TA[[#This Row],[Work Start time on Fault]]-TA[[#This Row],[Fault Time]])*24</f>
        <v>0</v>
      </c>
      <c r="AC202" s="26">
        <f>(TA[[#This Row],[Work Completion time on fault]]-TA[[#This Row],[Fault Time]])*24</f>
        <v>0</v>
      </c>
      <c r="AD202" s="27">
        <f>IFERROR((TA[[#This Row],[Work Completion time on fault]]-TA[[#This Row],[Fault Time]])*24,"")</f>
        <v>0</v>
      </c>
      <c r="AE202" t="s">
        <v>319</v>
      </c>
      <c r="AF202" t="s">
        <v>247</v>
      </c>
      <c r="AG202" s="2"/>
      <c r="AH202" s="35">
        <f>1-COS(RADIANS(TA[[#This Row],[Avg. Target Angle during Fault Time (Radians)]]-TA[[#This Row],[Angle of affected equipment ]]))</f>
        <v>0.11705240714107301</v>
      </c>
      <c r="AI202" s="27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43">
        <f t="shared" si="11"/>
        <v>2026</v>
      </c>
      <c r="C203" s="116">
        <f t="shared" si="12"/>
        <v>2025</v>
      </c>
      <c r="D203" s="2" t="s">
        <v>155</v>
      </c>
      <c r="E203" s="2" t="s">
        <v>155</v>
      </c>
      <c r="F203" s="30">
        <v>45748</v>
      </c>
      <c r="G203" s="2">
        <f>DAY(EOMONTH(TA[[#This Row],[Month Year]],0))</f>
        <v>30</v>
      </c>
      <c r="H203" s="21">
        <v>45758</v>
      </c>
      <c r="I203" s="32">
        <f>IFERROR(VLOOKUP(TA[[#This Row],[Date]],Raw_Data[[Date]:[Sunset Time (POA&lt;20 W/m2)]],3,0),"")</f>
        <v>0.26250000000000001</v>
      </c>
      <c r="J203" s="32">
        <f>IFERROR(VLOOKUP(TA[[#This Row],[Date]],Raw_Data[[Date]:[Sunset Time (POA&lt;20 W/m2)]],4,0),"")</f>
        <v>0.75555555555555554</v>
      </c>
      <c r="K203" s="27">
        <f>IFERROR((TA[[#This Row],[Sunset Time (POA&lt;20 W/m2)]]-TA[[#This Row],[Sunrise Time (POA&gt;20 W/m2)]])*24,"")</f>
        <v>11.833333333333332</v>
      </c>
      <c r="L203" s="2" t="s">
        <v>287</v>
      </c>
      <c r="M203" s="33">
        <f>IFERROR(VLOOKUP(TA[[#This Row],[Affected Equipment]],'Basic Data'!$I$2:$K$40,3,0),"")</f>
        <v>8.6206896551724102E-3</v>
      </c>
      <c r="N203">
        <v>-28</v>
      </c>
      <c r="O203" t="s">
        <v>135</v>
      </c>
      <c r="P203" s="114" t="s">
        <v>309</v>
      </c>
      <c r="Q203" s="2" t="s">
        <v>312</v>
      </c>
      <c r="R203">
        <v>133</v>
      </c>
      <c r="S203" s="2">
        <v>26</v>
      </c>
      <c r="T203" t="s">
        <v>288</v>
      </c>
      <c r="U203" t="s">
        <v>291</v>
      </c>
      <c r="V203" t="s">
        <v>305</v>
      </c>
      <c r="W203" s="32"/>
      <c r="X203" s="32"/>
      <c r="Y203" s="26"/>
      <c r="Z203" s="26"/>
      <c r="AA203" s="27">
        <f>IF(TA[[#This Row],[Work Start time on Fault]]="NA","",(TA[[#This Row],[Fault Acknowledgement Time ]]-TA[[#This Row],[Fault Time]])*24)</f>
        <v>0</v>
      </c>
      <c r="AB203" s="27">
        <f>(TA[[#This Row],[Work Start time on Fault]]-TA[[#This Row],[Fault Time]])*24</f>
        <v>0</v>
      </c>
      <c r="AC203" s="26">
        <f>(TA[[#This Row],[Work Completion time on fault]]-TA[[#This Row],[Fault Time]])*24</f>
        <v>0</v>
      </c>
      <c r="AD203" s="27">
        <f>IFERROR((TA[[#This Row],[Work Completion time on fault]]-TA[[#This Row],[Fault Time]])*24,"")</f>
        <v>0</v>
      </c>
      <c r="AE203" t="s">
        <v>319</v>
      </c>
      <c r="AF203" t="s">
        <v>247</v>
      </c>
      <c r="AG203" s="2"/>
      <c r="AH203" s="35">
        <f>1-COS(RADIANS(TA[[#This Row],[Avg. Target Angle during Fault Time (Radians)]]-TA[[#This Row],[Angle of affected equipment ]]))</f>
        <v>0.11705240714107301</v>
      </c>
      <c r="AI203" s="27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43">
        <f t="shared" si="11"/>
        <v>2026</v>
      </c>
      <c r="C204" s="116">
        <f t="shared" si="12"/>
        <v>2025</v>
      </c>
      <c r="D204" s="2" t="s">
        <v>155</v>
      </c>
      <c r="E204" s="2" t="s">
        <v>155</v>
      </c>
      <c r="F204" s="30">
        <v>45748</v>
      </c>
      <c r="G204" s="2">
        <f>DAY(EOMONTH(TA[[#This Row],[Month Year]],0))</f>
        <v>30</v>
      </c>
      <c r="H204" s="21">
        <v>45758</v>
      </c>
      <c r="I204" s="32">
        <f>IFERROR(VLOOKUP(TA[[#This Row],[Date]],Raw_Data[[Date]:[Sunset Time (POA&lt;20 W/m2)]],3,0),"")</f>
        <v>0.26250000000000001</v>
      </c>
      <c r="J204" s="32">
        <f>IFERROR(VLOOKUP(TA[[#This Row],[Date]],Raw_Data[[Date]:[Sunset Time (POA&lt;20 W/m2)]],4,0),"")</f>
        <v>0.75555555555555554</v>
      </c>
      <c r="K204" s="27">
        <f>IFERROR((TA[[#This Row],[Sunset Time (POA&lt;20 W/m2)]]-TA[[#This Row],[Sunrise Time (POA&gt;20 W/m2)]])*24,"")</f>
        <v>11.833333333333332</v>
      </c>
      <c r="L204" s="2" t="s">
        <v>285</v>
      </c>
      <c r="M204" s="33">
        <f>IFERROR(VLOOKUP(TA[[#This Row],[Affected Equipment]],'Basic Data'!$I$2:$K$40,3,0),"")</f>
        <v>1.7241379310344799E-3</v>
      </c>
      <c r="N204">
        <v>-28</v>
      </c>
      <c r="O204" t="s">
        <v>133</v>
      </c>
      <c r="P204" s="114" t="s">
        <v>307</v>
      </c>
      <c r="Q204" s="113" t="s">
        <v>308</v>
      </c>
      <c r="R204">
        <v>7</v>
      </c>
      <c r="S204" s="2">
        <v>32</v>
      </c>
      <c r="T204" t="s">
        <v>286</v>
      </c>
      <c r="U204" t="s">
        <v>291</v>
      </c>
      <c r="V204" t="s">
        <v>289</v>
      </c>
      <c r="W204" s="32"/>
      <c r="X204" s="32"/>
      <c r="Y204" s="26"/>
      <c r="Z204" s="26"/>
      <c r="AA204" s="27">
        <f>IF(TA[[#This Row],[Work Start time on Fault]]="NA","",(TA[[#This Row],[Fault Acknowledgement Time ]]-TA[[#This Row],[Fault Time]])*24)</f>
        <v>0</v>
      </c>
      <c r="AB204" s="27">
        <f>(TA[[#This Row],[Work Start time on Fault]]-TA[[#This Row],[Fault Time]])*24</f>
        <v>0</v>
      </c>
      <c r="AC204" s="26">
        <f>(TA[[#This Row],[Work Completion time on fault]]-TA[[#This Row],[Fault Time]])*24</f>
        <v>0</v>
      </c>
      <c r="AD204" s="27">
        <f>IFERROR((TA[[#This Row],[Work Completion time on fault]]-TA[[#This Row],[Fault Time]])*24,"")</f>
        <v>0</v>
      </c>
      <c r="AE204" t="s">
        <v>319</v>
      </c>
      <c r="AF204" t="s">
        <v>247</v>
      </c>
      <c r="AG204" s="2"/>
      <c r="AH204" s="35">
        <f>1-COS(RADIANS(TA[[#This Row],[Avg. Target Angle during Fault Time (Radians)]]-TA[[#This Row],[Angle of affected equipment ]]))</f>
        <v>0.11705240714107301</v>
      </c>
      <c r="AI204" s="27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43">
        <f t="shared" si="11"/>
        <v>2026</v>
      </c>
      <c r="C205" s="116">
        <f t="shared" si="12"/>
        <v>2025</v>
      </c>
      <c r="D205" s="2" t="s">
        <v>155</v>
      </c>
      <c r="E205" s="2" t="s">
        <v>155</v>
      </c>
      <c r="F205" s="30">
        <v>45748</v>
      </c>
      <c r="G205" s="2">
        <f>DAY(EOMONTH(TA[[#This Row],[Month Year]],0))</f>
        <v>30</v>
      </c>
      <c r="H205" s="21">
        <v>45758</v>
      </c>
      <c r="I205" s="32">
        <f>IFERROR(VLOOKUP(TA[[#This Row],[Date]],Raw_Data[[Date]:[Sunset Time (POA&lt;20 W/m2)]],3,0),"")</f>
        <v>0.26250000000000001</v>
      </c>
      <c r="J205" s="32">
        <f>IFERROR(VLOOKUP(TA[[#This Row],[Date]],Raw_Data[[Date]:[Sunset Time (POA&lt;20 W/m2)]],4,0),"")</f>
        <v>0.75555555555555554</v>
      </c>
      <c r="K205" s="27">
        <f>IFERROR((TA[[#This Row],[Sunset Time (POA&lt;20 W/m2)]]-TA[[#This Row],[Sunrise Time (POA&gt;20 W/m2)]])*24,"")</f>
        <v>11.833333333333332</v>
      </c>
      <c r="L205" s="2" t="s">
        <v>285</v>
      </c>
      <c r="M205" s="33">
        <f>IFERROR(VLOOKUP(TA[[#This Row],[Affected Equipment]],'Basic Data'!$I$2:$K$40,3,0),"")</f>
        <v>1.7241379310344799E-3</v>
      </c>
      <c r="N205">
        <v>-28</v>
      </c>
      <c r="O205" t="s">
        <v>137</v>
      </c>
      <c r="P205" s="114" t="s">
        <v>306</v>
      </c>
      <c r="Q205" s="113" t="s">
        <v>310</v>
      </c>
      <c r="R205">
        <v>166</v>
      </c>
      <c r="S205" s="2">
        <v>91</v>
      </c>
      <c r="T205" t="s">
        <v>286</v>
      </c>
      <c r="U205" t="s">
        <v>291</v>
      </c>
      <c r="V205" t="s">
        <v>289</v>
      </c>
      <c r="W205" s="32"/>
      <c r="X205" s="32"/>
      <c r="Y205" s="26"/>
      <c r="Z205" s="26"/>
      <c r="AA205" s="27">
        <f>IF(TA[[#This Row],[Work Start time on Fault]]="NA","",(TA[[#This Row],[Fault Acknowledgement Time ]]-TA[[#This Row],[Fault Time]])*24)</f>
        <v>0</v>
      </c>
      <c r="AB205" s="27">
        <f>(TA[[#This Row],[Work Start time on Fault]]-TA[[#This Row],[Fault Time]])*24</f>
        <v>0</v>
      </c>
      <c r="AC205" s="26">
        <f>(TA[[#This Row],[Work Completion time on fault]]-TA[[#This Row],[Fault Time]])*24</f>
        <v>0</v>
      </c>
      <c r="AD205" s="27">
        <f>IFERROR((TA[[#This Row],[Work Completion time on fault]]-TA[[#This Row],[Fault Time]])*24,"")</f>
        <v>0</v>
      </c>
      <c r="AE205" t="s">
        <v>319</v>
      </c>
      <c r="AF205" t="s">
        <v>247</v>
      </c>
      <c r="AG205" s="2"/>
      <c r="AH205" s="35">
        <f>1-COS(RADIANS(TA[[#This Row],[Avg. Target Angle during Fault Time (Radians)]]-TA[[#This Row],[Angle of affected equipment ]]))</f>
        <v>0.11705240714107301</v>
      </c>
      <c r="AI205" s="27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43">
        <f t="shared" si="11"/>
        <v>2026</v>
      </c>
      <c r="C206" s="116">
        <f t="shared" si="12"/>
        <v>2025</v>
      </c>
      <c r="D206" s="2" t="s">
        <v>155</v>
      </c>
      <c r="E206" s="2" t="s">
        <v>155</v>
      </c>
      <c r="F206" s="30">
        <v>45748</v>
      </c>
      <c r="G206" s="2">
        <f>DAY(EOMONTH(TA[[#This Row],[Month Year]],0))</f>
        <v>30</v>
      </c>
      <c r="H206" s="21">
        <v>45758</v>
      </c>
      <c r="I206" s="32">
        <f>IFERROR(VLOOKUP(TA[[#This Row],[Date]],Raw_Data[[Date]:[Sunset Time (POA&lt;20 W/m2)]],3,0),"")</f>
        <v>0.26250000000000001</v>
      </c>
      <c r="J206" s="32">
        <f>IFERROR(VLOOKUP(TA[[#This Row],[Date]],Raw_Data[[Date]:[Sunset Time (POA&lt;20 W/m2)]],4,0),"")</f>
        <v>0.75555555555555554</v>
      </c>
      <c r="K206" s="27">
        <f>IFERROR((TA[[#This Row],[Sunset Time (POA&lt;20 W/m2)]]-TA[[#This Row],[Sunrise Time (POA&gt;20 W/m2)]])*24,"")</f>
        <v>11.833333333333332</v>
      </c>
      <c r="L206" s="2" t="s">
        <v>285</v>
      </c>
      <c r="M206" s="33">
        <f>IFERROR(VLOOKUP(TA[[#This Row],[Affected Equipment]],'Basic Data'!$I$2:$K$40,3,0),"")</f>
        <v>1.7241379310344799E-3</v>
      </c>
      <c r="N206">
        <v>-28</v>
      </c>
      <c r="O206" t="s">
        <v>133</v>
      </c>
      <c r="P206" s="114" t="s">
        <v>307</v>
      </c>
      <c r="Q206" s="113" t="s">
        <v>307</v>
      </c>
      <c r="R206">
        <v>117</v>
      </c>
      <c r="S206" s="2">
        <v>20</v>
      </c>
      <c r="T206" t="s">
        <v>286</v>
      </c>
      <c r="U206" t="s">
        <v>291</v>
      </c>
      <c r="V206" t="s">
        <v>289</v>
      </c>
      <c r="W206" s="32"/>
      <c r="X206" s="32"/>
      <c r="Y206" s="26"/>
      <c r="Z206" s="26"/>
      <c r="AA206" s="27">
        <f>IF(TA[[#This Row],[Work Start time on Fault]]="NA","",(TA[[#This Row],[Fault Acknowledgement Time ]]-TA[[#This Row],[Fault Time]])*24)</f>
        <v>0</v>
      </c>
      <c r="AB206" s="27">
        <f>(TA[[#This Row],[Work Start time on Fault]]-TA[[#This Row],[Fault Time]])*24</f>
        <v>0</v>
      </c>
      <c r="AC206" s="26">
        <f>(TA[[#This Row],[Work Completion time on fault]]-TA[[#This Row],[Fault Time]])*24</f>
        <v>0</v>
      </c>
      <c r="AD206" s="27">
        <f>IFERROR((TA[[#This Row],[Work Completion time on fault]]-TA[[#This Row],[Fault Time]])*24,"")</f>
        <v>0</v>
      </c>
      <c r="AE206" t="s">
        <v>319</v>
      </c>
      <c r="AF206" t="s">
        <v>247</v>
      </c>
      <c r="AG206" s="2"/>
      <c r="AH206" s="35">
        <f>1-COS(RADIANS(TA[[#This Row],[Avg. Target Angle during Fault Time (Radians)]]-TA[[#This Row],[Angle of affected equipment ]]))</f>
        <v>0.11705240714107301</v>
      </c>
      <c r="AI206" s="27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43">
        <f t="shared" si="11"/>
        <v>2026</v>
      </c>
      <c r="C207" s="116">
        <f t="shared" si="12"/>
        <v>2025</v>
      </c>
      <c r="D207" s="2" t="s">
        <v>155</v>
      </c>
      <c r="E207" s="2" t="s">
        <v>155</v>
      </c>
      <c r="F207" s="30">
        <v>45748</v>
      </c>
      <c r="G207" s="2">
        <f>DAY(EOMONTH(TA[[#This Row],[Month Year]],0))</f>
        <v>30</v>
      </c>
      <c r="H207" s="21">
        <v>45758</v>
      </c>
      <c r="I207" s="32">
        <f>IFERROR(VLOOKUP(TA[[#This Row],[Date]],Raw_Data[[Date]:[Sunset Time (POA&lt;20 W/m2)]],3,0),"")</f>
        <v>0.26250000000000001</v>
      </c>
      <c r="J207" s="32">
        <f>IFERROR(VLOOKUP(TA[[#This Row],[Date]],Raw_Data[[Date]:[Sunset Time (POA&lt;20 W/m2)]],4,0),"")</f>
        <v>0.75555555555555554</v>
      </c>
      <c r="K207" s="27">
        <f>IFERROR((TA[[#This Row],[Sunset Time (POA&lt;20 W/m2)]]-TA[[#This Row],[Sunrise Time (POA&gt;20 W/m2)]])*24,"")</f>
        <v>11.833333333333332</v>
      </c>
      <c r="L207" s="2" t="s">
        <v>285</v>
      </c>
      <c r="M207" s="33">
        <f>IFERROR(VLOOKUP(TA[[#This Row],[Affected Equipment]],'Basic Data'!$I$2:$K$40,3,0),"")</f>
        <v>1.7241379310344799E-3</v>
      </c>
      <c r="N207">
        <v>-28</v>
      </c>
      <c r="O207" t="s">
        <v>133</v>
      </c>
      <c r="P207" s="114" t="s">
        <v>307</v>
      </c>
      <c r="Q207" s="113" t="s">
        <v>307</v>
      </c>
      <c r="R207">
        <v>118</v>
      </c>
      <c r="S207" s="2">
        <v>22</v>
      </c>
      <c r="T207" t="s">
        <v>286</v>
      </c>
      <c r="U207" t="s">
        <v>291</v>
      </c>
      <c r="V207" t="s">
        <v>289</v>
      </c>
      <c r="W207" s="32"/>
      <c r="X207" s="32"/>
      <c r="Y207" s="26"/>
      <c r="Z207" s="26"/>
      <c r="AA207" s="27">
        <f>IF(TA[[#This Row],[Work Start time on Fault]]="NA","",(TA[[#This Row],[Fault Acknowledgement Time ]]-TA[[#This Row],[Fault Time]])*24)</f>
        <v>0</v>
      </c>
      <c r="AB207" s="27">
        <f>(TA[[#This Row],[Work Start time on Fault]]-TA[[#This Row],[Fault Time]])*24</f>
        <v>0</v>
      </c>
      <c r="AC207" s="26">
        <f>(TA[[#This Row],[Work Completion time on fault]]-TA[[#This Row],[Fault Time]])*24</f>
        <v>0</v>
      </c>
      <c r="AD207" s="27">
        <f>IFERROR((TA[[#This Row],[Work Completion time on fault]]-TA[[#This Row],[Fault Time]])*24,"")</f>
        <v>0</v>
      </c>
      <c r="AE207" t="s">
        <v>319</v>
      </c>
      <c r="AF207" t="s">
        <v>247</v>
      </c>
      <c r="AG207" s="2"/>
      <c r="AH207" s="35">
        <f>1-COS(RADIANS(TA[[#This Row],[Avg. Target Angle during Fault Time (Radians)]]-TA[[#This Row],[Angle of affected equipment ]]))</f>
        <v>0.11705240714107301</v>
      </c>
      <c r="AI207" s="27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43">
        <f t="shared" si="11"/>
        <v>2026</v>
      </c>
      <c r="C208" s="116">
        <f t="shared" si="12"/>
        <v>2025</v>
      </c>
      <c r="D208" s="2" t="s">
        <v>155</v>
      </c>
      <c r="E208" s="2" t="s">
        <v>155</v>
      </c>
      <c r="F208" s="30">
        <v>45748</v>
      </c>
      <c r="G208" s="2">
        <f>DAY(EOMONTH(TA[[#This Row],[Month Year]],0))</f>
        <v>30</v>
      </c>
      <c r="H208" s="21">
        <v>45758</v>
      </c>
      <c r="I208" s="32">
        <f>IFERROR(VLOOKUP(TA[[#This Row],[Date]],Raw_Data[[Date]:[Sunset Time (POA&lt;20 W/m2)]],3,0),"")</f>
        <v>0.26250000000000001</v>
      </c>
      <c r="J208" s="32">
        <f>IFERROR(VLOOKUP(TA[[#This Row],[Date]],Raw_Data[[Date]:[Sunset Time (POA&lt;20 W/m2)]],4,0),"")</f>
        <v>0.75555555555555554</v>
      </c>
      <c r="K208" s="27">
        <f>IFERROR((TA[[#This Row],[Sunset Time (POA&lt;20 W/m2)]]-TA[[#This Row],[Sunrise Time (POA&gt;20 W/m2)]])*24,"")</f>
        <v>11.833333333333332</v>
      </c>
      <c r="L208" s="2" t="s">
        <v>287</v>
      </c>
      <c r="M208" s="33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314</v>
      </c>
      <c r="Q208" s="2" t="s">
        <v>320</v>
      </c>
      <c r="R208">
        <v>45</v>
      </c>
      <c r="S208" s="2">
        <v>8</v>
      </c>
      <c r="T208" t="s">
        <v>288</v>
      </c>
      <c r="U208" t="s">
        <v>317</v>
      </c>
      <c r="V208" t="s">
        <v>292</v>
      </c>
      <c r="W208" s="32">
        <f>IFERROR(VLOOKUP(TA[[#This Row],[Date]],Raw_Data[[Date]:[Sunset Time (POA&lt;20 W/m2)]],3,0),"")</f>
        <v>0.26250000000000001</v>
      </c>
      <c r="X208" s="32">
        <f>IFERROR(VLOOKUP(TA[[#This Row],[Date]],Raw_Data[[Date]:[Sunset Time (POA&lt;20 W/m2)]],3,0),"")</f>
        <v>0.26250000000000001</v>
      </c>
      <c r="Y208" s="26"/>
      <c r="Z208" s="26">
        <v>0.76041666666666663</v>
      </c>
      <c r="AA208" s="27">
        <f>IF(TA[[#This Row],[Work Start time on Fault]]="NA","",(TA[[#This Row],[Fault Acknowledgement Time ]]-TA[[#This Row],[Fault Time]])*24)</f>
        <v>0</v>
      </c>
      <c r="AB208" s="27">
        <f>(TA[[#This Row],[Work Start time on Fault]]-TA[[#This Row],[Fault Time]])*24</f>
        <v>-6.3000000000000007</v>
      </c>
      <c r="AC208" s="26">
        <f>(TA[[#This Row],[Work Completion time on fault]]-TA[[#This Row],[Fault Time]])*24</f>
        <v>11.95</v>
      </c>
      <c r="AD208" s="27">
        <f>IFERROR((TA[[#This Row],[Work Completion time on fault]]-TA[[#This Row],[Fault Time]])*24,"")</f>
        <v>11.95</v>
      </c>
      <c r="AE208" t="s">
        <v>300</v>
      </c>
      <c r="AF208" t="s">
        <v>247</v>
      </c>
      <c r="AG208" s="2"/>
      <c r="AH208" s="35">
        <f>1-COS(RADIANS(TA[[#This Row],[Avg. Target Angle during Fault Time (Radians)]]-TA[[#This Row],[Angle of affected equipment ]]))</f>
        <v>0.11705240714107301</v>
      </c>
      <c r="AI208" s="27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43">
        <f t="shared" si="11"/>
        <v>2026</v>
      </c>
      <c r="C209" s="116">
        <f t="shared" si="12"/>
        <v>2025</v>
      </c>
      <c r="D209" s="2" t="s">
        <v>155</v>
      </c>
      <c r="E209" s="2" t="s">
        <v>155</v>
      </c>
      <c r="F209" s="30">
        <v>45748</v>
      </c>
      <c r="G209" s="2">
        <f>DAY(EOMONTH(TA[[#This Row],[Month Year]],0))</f>
        <v>30</v>
      </c>
      <c r="H209" s="21">
        <v>45758</v>
      </c>
      <c r="I209" s="32">
        <f>IFERROR(VLOOKUP(TA[[#This Row],[Date]],Raw_Data[[Date]:[Sunset Time (POA&lt;20 W/m2)]],3,0),"")</f>
        <v>0.26250000000000001</v>
      </c>
      <c r="J209" s="32">
        <f>IFERROR(VLOOKUP(TA[[#This Row],[Date]],Raw_Data[[Date]:[Sunset Time (POA&lt;20 W/m2)]],4,0),"")</f>
        <v>0.75555555555555554</v>
      </c>
      <c r="K209" s="27">
        <f>IFERROR((TA[[#This Row],[Sunset Time (POA&lt;20 W/m2)]]-TA[[#This Row],[Sunrise Time (POA&gt;20 W/m2)]])*24,"")</f>
        <v>11.833333333333332</v>
      </c>
      <c r="L209" s="2" t="s">
        <v>287</v>
      </c>
      <c r="M209" s="33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314</v>
      </c>
      <c r="Q209" s="2" t="s">
        <v>320</v>
      </c>
      <c r="R209">
        <v>47</v>
      </c>
      <c r="S209" s="2">
        <v>18</v>
      </c>
      <c r="T209" t="s">
        <v>288</v>
      </c>
      <c r="U209" t="s">
        <v>317</v>
      </c>
      <c r="V209" t="s">
        <v>292</v>
      </c>
      <c r="W209" s="32">
        <f>IFERROR(VLOOKUP(TA[[#This Row],[Date]],Raw_Data[[Date]:[Sunset Time (POA&lt;20 W/m2)]],3,0),"")</f>
        <v>0.26250000000000001</v>
      </c>
      <c r="X209" s="32">
        <f>IFERROR(VLOOKUP(TA[[#This Row],[Date]],Raw_Data[[Date]:[Sunset Time (POA&lt;20 W/m2)]],3,0),"")</f>
        <v>0.26250000000000001</v>
      </c>
      <c r="Y209" s="26"/>
      <c r="Z209" s="26">
        <v>0.76041666666666663</v>
      </c>
      <c r="AA209" s="27">
        <f>IF(TA[[#This Row],[Work Start time on Fault]]="NA","",(TA[[#This Row],[Fault Acknowledgement Time ]]-TA[[#This Row],[Fault Time]])*24)</f>
        <v>0</v>
      </c>
      <c r="AB209" s="27">
        <f>(TA[[#This Row],[Work Start time on Fault]]-TA[[#This Row],[Fault Time]])*24</f>
        <v>-6.3000000000000007</v>
      </c>
      <c r="AC209" s="26">
        <f>(TA[[#This Row],[Work Completion time on fault]]-TA[[#This Row],[Fault Time]])*24</f>
        <v>11.95</v>
      </c>
      <c r="AD209" s="27">
        <f>IFERROR((TA[[#This Row],[Work Completion time on fault]]-TA[[#This Row],[Fault Time]])*24,"")</f>
        <v>11.95</v>
      </c>
      <c r="AE209" t="s">
        <v>300</v>
      </c>
      <c r="AF209" t="s">
        <v>247</v>
      </c>
      <c r="AG209" s="2"/>
      <c r="AH209" s="35">
        <f>1-COS(RADIANS(TA[[#This Row],[Avg. Target Angle during Fault Time (Radians)]]-TA[[#This Row],[Angle of affected equipment ]]))</f>
        <v>0.11705240714107301</v>
      </c>
      <c r="AI209" s="27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43">
        <f t="shared" si="11"/>
        <v>2026</v>
      </c>
      <c r="C210" s="116">
        <f t="shared" si="12"/>
        <v>2025</v>
      </c>
      <c r="D210" s="2" t="s">
        <v>155</v>
      </c>
      <c r="E210" s="2" t="s">
        <v>155</v>
      </c>
      <c r="F210" s="30">
        <v>45748</v>
      </c>
      <c r="G210" s="2">
        <f>DAY(EOMONTH(TA[[#This Row],[Month Year]],0))</f>
        <v>30</v>
      </c>
      <c r="H210" s="21">
        <v>45758</v>
      </c>
      <c r="I210" s="32">
        <f>IFERROR(VLOOKUP(TA[[#This Row],[Date]],Raw_Data[[Date]:[Sunset Time (POA&lt;20 W/m2)]],3,0),"")</f>
        <v>0.26250000000000001</v>
      </c>
      <c r="J210" s="32">
        <f>IFERROR(VLOOKUP(TA[[#This Row],[Date]],Raw_Data[[Date]:[Sunset Time (POA&lt;20 W/m2)]],4,0),"")</f>
        <v>0.75555555555555554</v>
      </c>
      <c r="K210" s="27">
        <f>IFERROR((TA[[#This Row],[Sunset Time (POA&lt;20 W/m2)]]-TA[[#This Row],[Sunrise Time (POA&gt;20 W/m2)]])*24,"")</f>
        <v>11.833333333333332</v>
      </c>
      <c r="L210" s="2" t="s">
        <v>287</v>
      </c>
      <c r="M210" s="33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321</v>
      </c>
      <c r="Q210" s="2" t="s">
        <v>314</v>
      </c>
      <c r="R210">
        <v>30</v>
      </c>
      <c r="S210" s="2">
        <v>57</v>
      </c>
      <c r="T210" t="s">
        <v>288</v>
      </c>
      <c r="U210" t="s">
        <v>317</v>
      </c>
      <c r="V210" t="s">
        <v>292</v>
      </c>
      <c r="W210" s="32">
        <f>IFERROR(VLOOKUP(TA[[#This Row],[Date]],Raw_Data[[Date]:[Sunset Time (POA&lt;20 W/m2)]],3,0),"")</f>
        <v>0.26250000000000001</v>
      </c>
      <c r="X210" s="32">
        <f>IFERROR(VLOOKUP(TA[[#This Row],[Date]],Raw_Data[[Date]:[Sunset Time (POA&lt;20 W/m2)]],3,0),"")</f>
        <v>0.26250000000000001</v>
      </c>
      <c r="Y210" s="26"/>
      <c r="Z210" s="26">
        <v>0.76041666666666663</v>
      </c>
      <c r="AA210" s="27">
        <f>IF(TA[[#This Row],[Work Start time on Fault]]="NA","",(TA[[#This Row],[Fault Acknowledgement Time ]]-TA[[#This Row],[Fault Time]])*24)</f>
        <v>0</v>
      </c>
      <c r="AB210" s="27">
        <f>(TA[[#This Row],[Work Start time on Fault]]-TA[[#This Row],[Fault Time]])*24</f>
        <v>-6.3000000000000007</v>
      </c>
      <c r="AC210" s="26">
        <f>(TA[[#This Row],[Work Completion time on fault]]-TA[[#This Row],[Fault Time]])*24</f>
        <v>11.95</v>
      </c>
      <c r="AD210" s="27">
        <f>IFERROR((TA[[#This Row],[Work Completion time on fault]]-TA[[#This Row],[Fault Time]])*24,"")</f>
        <v>11.95</v>
      </c>
      <c r="AE210" t="s">
        <v>300</v>
      </c>
      <c r="AF210" t="s">
        <v>247</v>
      </c>
      <c r="AG210" s="2"/>
      <c r="AH210" s="35">
        <f>1-COS(RADIANS(TA[[#This Row],[Avg. Target Angle during Fault Time (Radians)]]-TA[[#This Row],[Angle of affected equipment ]]))</f>
        <v>0.11705240714107301</v>
      </c>
      <c r="AI210" s="27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43">
        <f t="shared" si="11"/>
        <v>2026</v>
      </c>
      <c r="C211" s="116">
        <f t="shared" si="12"/>
        <v>2025</v>
      </c>
      <c r="D211" s="2" t="s">
        <v>155</v>
      </c>
      <c r="E211" s="2" t="s">
        <v>155</v>
      </c>
      <c r="F211" s="30">
        <v>45748</v>
      </c>
      <c r="G211" s="2">
        <f>DAY(EOMONTH(TA[[#This Row],[Month Year]],0))</f>
        <v>30</v>
      </c>
      <c r="H211" s="21">
        <v>45758</v>
      </c>
      <c r="I211" s="32">
        <f>IFERROR(VLOOKUP(TA[[#This Row],[Date]],Raw_Data[[Date]:[Sunset Time (POA&lt;20 W/m2)]],3,0),"")</f>
        <v>0.26250000000000001</v>
      </c>
      <c r="J211" s="32">
        <f>IFERROR(VLOOKUP(TA[[#This Row],[Date]],Raw_Data[[Date]:[Sunset Time (POA&lt;20 W/m2)]],4,0),"")</f>
        <v>0.75555555555555554</v>
      </c>
      <c r="K211" s="27">
        <f>IFERROR((TA[[#This Row],[Sunset Time (POA&lt;20 W/m2)]]-TA[[#This Row],[Sunrise Time (POA&gt;20 W/m2)]])*24,"")</f>
        <v>11.833333333333332</v>
      </c>
      <c r="L211" s="2" t="s">
        <v>287</v>
      </c>
      <c r="M211" s="33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321</v>
      </c>
      <c r="Q211" s="2" t="s">
        <v>314</v>
      </c>
      <c r="R211">
        <v>31</v>
      </c>
      <c r="S211" s="2">
        <v>61</v>
      </c>
      <c r="T211" t="s">
        <v>288</v>
      </c>
      <c r="U211" t="s">
        <v>317</v>
      </c>
      <c r="V211" t="s">
        <v>292</v>
      </c>
      <c r="W211" s="32">
        <f>IFERROR(VLOOKUP(TA[[#This Row],[Date]],Raw_Data[[Date]:[Sunset Time (POA&lt;20 W/m2)]],3,0),"")</f>
        <v>0.26250000000000001</v>
      </c>
      <c r="X211" s="32">
        <f>IFERROR(VLOOKUP(TA[[#This Row],[Date]],Raw_Data[[Date]:[Sunset Time (POA&lt;20 W/m2)]],3,0),"")</f>
        <v>0.26250000000000001</v>
      </c>
      <c r="Y211" s="26"/>
      <c r="Z211" s="26">
        <v>0.76041666666666663</v>
      </c>
      <c r="AA211" s="27">
        <f>IF(TA[[#This Row],[Work Start time on Fault]]="NA","",(TA[[#This Row],[Fault Acknowledgement Time ]]-TA[[#This Row],[Fault Time]])*24)</f>
        <v>0</v>
      </c>
      <c r="AB211" s="27">
        <f>(TA[[#This Row],[Work Start time on Fault]]-TA[[#This Row],[Fault Time]])*24</f>
        <v>-6.3000000000000007</v>
      </c>
      <c r="AC211" s="26">
        <f>(TA[[#This Row],[Work Completion time on fault]]-TA[[#This Row],[Fault Time]])*24</f>
        <v>11.95</v>
      </c>
      <c r="AD211" s="27">
        <f>IFERROR((TA[[#This Row],[Work Completion time on fault]]-TA[[#This Row],[Fault Time]])*24,"")</f>
        <v>11.95</v>
      </c>
      <c r="AE211" t="s">
        <v>300</v>
      </c>
      <c r="AF211" t="s">
        <v>247</v>
      </c>
      <c r="AG211" s="2"/>
      <c r="AH211" s="35">
        <f>1-COS(RADIANS(TA[[#This Row],[Avg. Target Angle during Fault Time (Radians)]]-TA[[#This Row],[Angle of affected equipment ]]))</f>
        <v>0.11705240714107301</v>
      </c>
      <c r="AI211" s="27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43">
        <f t="shared" si="11"/>
        <v>2026</v>
      </c>
      <c r="C212" s="116">
        <f t="shared" si="12"/>
        <v>2025</v>
      </c>
      <c r="D212" s="2" t="s">
        <v>155</v>
      </c>
      <c r="E212" s="2" t="s">
        <v>155</v>
      </c>
      <c r="F212" s="30">
        <v>45748</v>
      </c>
      <c r="G212" s="2">
        <f>DAY(EOMONTH(TA[[#This Row],[Month Year]],0))</f>
        <v>30</v>
      </c>
      <c r="H212" s="21">
        <v>45758</v>
      </c>
      <c r="I212" s="32">
        <f>IFERROR(VLOOKUP(TA[[#This Row],[Date]],Raw_Data[[Date]:[Sunset Time (POA&lt;20 W/m2)]],3,0),"")</f>
        <v>0.26250000000000001</v>
      </c>
      <c r="J212" s="32">
        <f>IFERROR(VLOOKUP(TA[[#This Row],[Date]],Raw_Data[[Date]:[Sunset Time (POA&lt;20 W/m2)]],4,0),"")</f>
        <v>0.75555555555555554</v>
      </c>
      <c r="K212" s="27">
        <f>IFERROR((TA[[#This Row],[Sunset Time (POA&lt;20 W/m2)]]-TA[[#This Row],[Sunrise Time (POA&gt;20 W/m2)]])*24,"")</f>
        <v>11.833333333333332</v>
      </c>
      <c r="L212" s="2" t="s">
        <v>303</v>
      </c>
      <c r="M212" s="33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321</v>
      </c>
      <c r="Q212" s="2" t="s">
        <v>314</v>
      </c>
      <c r="R212">
        <v>26</v>
      </c>
      <c r="S212" s="2">
        <v>37</v>
      </c>
      <c r="T212" t="s">
        <v>288</v>
      </c>
      <c r="U212" t="s">
        <v>317</v>
      </c>
      <c r="V212" t="s">
        <v>292</v>
      </c>
      <c r="W212" s="32">
        <f>IFERROR(VLOOKUP(TA[[#This Row],[Date]],Raw_Data[[Date]:[Sunset Time (POA&lt;20 W/m2)]],3,0),"")</f>
        <v>0.26250000000000001</v>
      </c>
      <c r="X212" s="32">
        <f>IFERROR(VLOOKUP(TA[[#This Row],[Date]],Raw_Data[[Date]:[Sunset Time (POA&lt;20 W/m2)]],3,0),"")</f>
        <v>0.26250000000000001</v>
      </c>
      <c r="Y212" s="26"/>
      <c r="Z212" s="26">
        <v>0.76041666666666663</v>
      </c>
      <c r="AA212" s="27">
        <f>IF(TA[[#This Row],[Work Start time on Fault]]="NA","",(TA[[#This Row],[Fault Acknowledgement Time ]]-TA[[#This Row],[Fault Time]])*24)</f>
        <v>0</v>
      </c>
      <c r="AB212" s="27">
        <f>(TA[[#This Row],[Work Start time on Fault]]-TA[[#This Row],[Fault Time]])*24</f>
        <v>-6.3000000000000007</v>
      </c>
      <c r="AC212" s="26">
        <f>(TA[[#This Row],[Work Completion time on fault]]-TA[[#This Row],[Fault Time]])*24</f>
        <v>11.95</v>
      </c>
      <c r="AD212" s="27">
        <f>IFERROR((TA[[#This Row],[Work Completion time on fault]]-TA[[#This Row],[Fault Time]])*24,"")</f>
        <v>11.95</v>
      </c>
      <c r="AE212" t="s">
        <v>300</v>
      </c>
      <c r="AF212" t="s">
        <v>247</v>
      </c>
      <c r="AG212" s="2"/>
      <c r="AH212" s="35">
        <f>1-COS(RADIANS(TA[[#This Row],[Avg. Target Angle during Fault Time (Radians)]]-TA[[#This Row],[Angle of affected equipment ]]))</f>
        <v>0.11705240714107301</v>
      </c>
      <c r="AI212" s="27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43">
        <f t="shared" si="11"/>
        <v>2026</v>
      </c>
      <c r="C213" s="116">
        <f t="shared" si="12"/>
        <v>2025</v>
      </c>
      <c r="D213" s="2" t="s">
        <v>155</v>
      </c>
      <c r="E213" s="2" t="s">
        <v>155</v>
      </c>
      <c r="F213" s="30">
        <v>45748</v>
      </c>
      <c r="G213" s="2">
        <f>DAY(EOMONTH(TA[[#This Row],[Month Year]],0))</f>
        <v>30</v>
      </c>
      <c r="H213" s="21">
        <v>45758</v>
      </c>
      <c r="I213" s="32">
        <f>IFERROR(VLOOKUP(TA[[#This Row],[Date]],Raw_Data[[Date]:[Sunset Time (POA&lt;20 W/m2)]],3,0),"")</f>
        <v>0.26250000000000001</v>
      </c>
      <c r="J213" s="32">
        <f>IFERROR(VLOOKUP(TA[[#This Row],[Date]],Raw_Data[[Date]:[Sunset Time (POA&lt;20 W/m2)]],4,0),"")</f>
        <v>0.75555555555555554</v>
      </c>
      <c r="K213" s="27">
        <f>IFERROR((TA[[#This Row],[Sunset Time (POA&lt;20 W/m2)]]-TA[[#This Row],[Sunrise Time (POA&gt;20 W/m2)]])*24,"")</f>
        <v>11.833333333333332</v>
      </c>
      <c r="L213" s="2" t="s">
        <v>303</v>
      </c>
      <c r="M213" s="33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321</v>
      </c>
      <c r="Q213" s="2" t="s">
        <v>314</v>
      </c>
      <c r="R213">
        <v>27</v>
      </c>
      <c r="S213" s="2">
        <v>42</v>
      </c>
      <c r="T213" t="s">
        <v>288</v>
      </c>
      <c r="U213" t="s">
        <v>317</v>
      </c>
      <c r="V213" t="s">
        <v>292</v>
      </c>
      <c r="W213" s="32">
        <f>IFERROR(VLOOKUP(TA[[#This Row],[Date]],Raw_Data[[Date]:[Sunset Time (POA&lt;20 W/m2)]],3,0),"")</f>
        <v>0.26250000000000001</v>
      </c>
      <c r="X213" s="32">
        <f>IFERROR(VLOOKUP(TA[[#This Row],[Date]],Raw_Data[[Date]:[Sunset Time (POA&lt;20 W/m2)]],3,0),"")</f>
        <v>0.26250000000000001</v>
      </c>
      <c r="Y213" s="26"/>
      <c r="Z213" s="26">
        <v>0.76041666666666663</v>
      </c>
      <c r="AA213" s="27">
        <f>IF(TA[[#This Row],[Work Start time on Fault]]="NA","",(TA[[#This Row],[Fault Acknowledgement Time ]]-TA[[#This Row],[Fault Time]])*24)</f>
        <v>0</v>
      </c>
      <c r="AB213" s="27">
        <f>(TA[[#This Row],[Work Start time on Fault]]-TA[[#This Row],[Fault Time]])*24</f>
        <v>-6.3000000000000007</v>
      </c>
      <c r="AC213" s="26">
        <f>(TA[[#This Row],[Work Completion time on fault]]-TA[[#This Row],[Fault Time]])*24</f>
        <v>11.95</v>
      </c>
      <c r="AD213" s="27">
        <f>IFERROR((TA[[#This Row],[Work Completion time on fault]]-TA[[#This Row],[Fault Time]])*24,"")</f>
        <v>11.95</v>
      </c>
      <c r="AE213" t="s">
        <v>300</v>
      </c>
      <c r="AF213" t="s">
        <v>247</v>
      </c>
      <c r="AG213" s="2"/>
      <c r="AH213" s="35">
        <f>1-COS(RADIANS(TA[[#This Row],[Avg. Target Angle during Fault Time (Radians)]]-TA[[#This Row],[Angle of affected equipment ]]))</f>
        <v>0.11705240714107301</v>
      </c>
      <c r="AI213" s="27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43">
        <f t="shared" si="11"/>
        <v>2026</v>
      </c>
      <c r="C214" s="116">
        <f t="shared" si="12"/>
        <v>2025</v>
      </c>
      <c r="D214" s="2" t="s">
        <v>155</v>
      </c>
      <c r="E214" s="2" t="s">
        <v>155</v>
      </c>
      <c r="F214" s="30">
        <v>45748</v>
      </c>
      <c r="G214" s="2">
        <f>DAY(EOMONTH(TA[[#This Row],[Month Year]],0))</f>
        <v>30</v>
      </c>
      <c r="H214" s="21">
        <v>45759</v>
      </c>
      <c r="I214" s="32">
        <f>IFERROR(VLOOKUP(TA[[#This Row],[Date]],Raw_Data[[Date]:[Sunset Time (POA&lt;20 W/m2)]],3,0),"")</f>
        <v>0.26527777777777778</v>
      </c>
      <c r="J214" s="32">
        <f>IFERROR(VLOOKUP(TA[[#This Row],[Date]],Raw_Data[[Date]:[Sunset Time (POA&lt;20 W/m2)]],4,0),"")</f>
        <v>0.7631944444444444</v>
      </c>
      <c r="K214" s="27">
        <f>IFERROR((TA[[#This Row],[Sunset Time (POA&lt;20 W/m2)]]-TA[[#This Row],[Sunrise Time (POA&gt;20 W/m2)]])*24,"")</f>
        <v>11.95</v>
      </c>
      <c r="L214" s="2" t="s">
        <v>285</v>
      </c>
      <c r="M214" s="33">
        <f>IFERROR(VLOOKUP(TA[[#This Row],[Affected Equipment]],'Basic Data'!$I$2:$K$40,3,0),"")</f>
        <v>1.7241379310344799E-3</v>
      </c>
      <c r="N214">
        <v>-28</v>
      </c>
      <c r="O214" t="s">
        <v>135</v>
      </c>
      <c r="P214" s="114" t="s">
        <v>309</v>
      </c>
      <c r="Q214" s="113" t="s">
        <v>309</v>
      </c>
      <c r="R214">
        <v>130</v>
      </c>
      <c r="S214" s="2">
        <v>36</v>
      </c>
      <c r="T214" t="s">
        <v>286</v>
      </c>
      <c r="U214" t="s">
        <v>291</v>
      </c>
      <c r="V214" t="s">
        <v>289</v>
      </c>
      <c r="W214" s="32"/>
      <c r="X214" s="32"/>
      <c r="Y214" s="26"/>
      <c r="Z214" s="26"/>
      <c r="AA214" s="27">
        <f>IF(TA[[#This Row],[Work Start time on Fault]]="NA","",(TA[[#This Row],[Fault Acknowledgement Time ]]-TA[[#This Row],[Fault Time]])*24)</f>
        <v>0</v>
      </c>
      <c r="AB214" s="27">
        <f>(TA[[#This Row],[Work Start time on Fault]]-TA[[#This Row],[Fault Time]])*24</f>
        <v>0</v>
      </c>
      <c r="AC214" s="26">
        <f>(TA[[#This Row],[Work Completion time on fault]]-TA[[#This Row],[Fault Time]])*24</f>
        <v>0</v>
      </c>
      <c r="AD214" s="27">
        <f>IFERROR((TA[[#This Row],[Work Completion time on fault]]-TA[[#This Row],[Fault Time]])*24,"")</f>
        <v>0</v>
      </c>
      <c r="AE214" t="s">
        <v>319</v>
      </c>
      <c r="AF214" t="s">
        <v>247</v>
      </c>
      <c r="AG214" s="2"/>
      <c r="AH214" s="35">
        <f>1-COS(RADIANS(TA[[#This Row],[Avg. Target Angle during Fault Time (Radians)]]-TA[[#This Row],[Angle of affected equipment ]]))</f>
        <v>0.11705240714107301</v>
      </c>
      <c r="AI214" s="27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43">
        <f t="shared" si="11"/>
        <v>2026</v>
      </c>
      <c r="C215" s="116">
        <f t="shared" si="12"/>
        <v>2025</v>
      </c>
      <c r="D215" s="2" t="s">
        <v>155</v>
      </c>
      <c r="E215" s="2" t="s">
        <v>155</v>
      </c>
      <c r="F215" s="30">
        <v>45748</v>
      </c>
      <c r="G215" s="2">
        <f>DAY(EOMONTH(TA[[#This Row],[Month Year]],0))</f>
        <v>30</v>
      </c>
      <c r="H215" s="21">
        <v>45759</v>
      </c>
      <c r="I215" s="32">
        <f>IFERROR(VLOOKUP(TA[[#This Row],[Date]],Raw_Data[[Date]:[Sunset Time (POA&lt;20 W/m2)]],3,0),"")</f>
        <v>0.26527777777777778</v>
      </c>
      <c r="J215" s="32">
        <f>IFERROR(VLOOKUP(TA[[#This Row],[Date]],Raw_Data[[Date]:[Sunset Time (POA&lt;20 W/m2)]],4,0),"")</f>
        <v>0.7631944444444444</v>
      </c>
      <c r="K215" s="27">
        <f>IFERROR((TA[[#This Row],[Sunset Time (POA&lt;20 W/m2)]]-TA[[#This Row],[Sunrise Time (POA&gt;20 W/m2)]])*24,"")</f>
        <v>11.95</v>
      </c>
      <c r="L215" s="2" t="s">
        <v>285</v>
      </c>
      <c r="M215" s="33">
        <f>IFERROR(VLOOKUP(TA[[#This Row],[Affected Equipment]],'Basic Data'!$I$2:$K$40,3,0),"")</f>
        <v>1.7241379310344799E-3</v>
      </c>
      <c r="N215">
        <v>-28</v>
      </c>
      <c r="O215" t="s">
        <v>135</v>
      </c>
      <c r="P215" s="114" t="s">
        <v>309</v>
      </c>
      <c r="Q215" s="113" t="s">
        <v>309</v>
      </c>
      <c r="R215">
        <v>130</v>
      </c>
      <c r="S215" s="2">
        <v>37</v>
      </c>
      <c r="T215" t="s">
        <v>286</v>
      </c>
      <c r="U215" t="s">
        <v>291</v>
      </c>
      <c r="V215" t="s">
        <v>289</v>
      </c>
      <c r="W215" s="32"/>
      <c r="X215" s="32"/>
      <c r="Y215" s="26"/>
      <c r="Z215" s="26"/>
      <c r="AA215" s="27">
        <f>IF(TA[[#This Row],[Work Start time on Fault]]="NA","",(TA[[#This Row],[Fault Acknowledgement Time ]]-TA[[#This Row],[Fault Time]])*24)</f>
        <v>0</v>
      </c>
      <c r="AB215" s="27">
        <f>(TA[[#This Row],[Work Start time on Fault]]-TA[[#This Row],[Fault Time]])*24</f>
        <v>0</v>
      </c>
      <c r="AC215" s="26">
        <f>(TA[[#This Row],[Work Completion time on fault]]-TA[[#This Row],[Fault Time]])*24</f>
        <v>0</v>
      </c>
      <c r="AD215" s="27">
        <f>IFERROR((TA[[#This Row],[Work Completion time on fault]]-TA[[#This Row],[Fault Time]])*24,"")</f>
        <v>0</v>
      </c>
      <c r="AE215" t="s">
        <v>319</v>
      </c>
      <c r="AF215" t="s">
        <v>247</v>
      </c>
      <c r="AG215" s="2"/>
      <c r="AH215" s="35">
        <f>1-COS(RADIANS(TA[[#This Row],[Avg. Target Angle during Fault Time (Radians)]]-TA[[#This Row],[Angle of affected equipment ]]))</f>
        <v>0.11705240714107301</v>
      </c>
      <c r="AI215" s="27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43">
        <f t="shared" si="11"/>
        <v>2026</v>
      </c>
      <c r="C216" s="116">
        <f t="shared" si="12"/>
        <v>2025</v>
      </c>
      <c r="D216" s="2" t="s">
        <v>155</v>
      </c>
      <c r="E216" s="2" t="s">
        <v>155</v>
      </c>
      <c r="F216" s="30">
        <v>45748</v>
      </c>
      <c r="G216" s="2">
        <f>DAY(EOMONTH(TA[[#This Row],[Month Year]],0))</f>
        <v>30</v>
      </c>
      <c r="H216" s="21">
        <v>45759</v>
      </c>
      <c r="I216" s="32">
        <f>IFERROR(VLOOKUP(TA[[#This Row],[Date]],Raw_Data[[Date]:[Sunset Time (POA&lt;20 W/m2)]],3,0),"")</f>
        <v>0.26527777777777778</v>
      </c>
      <c r="J216" s="32">
        <f>IFERROR(VLOOKUP(TA[[#This Row],[Date]],Raw_Data[[Date]:[Sunset Time (POA&lt;20 W/m2)]],4,0),"")</f>
        <v>0.7631944444444444</v>
      </c>
      <c r="K216" s="27">
        <f>IFERROR((TA[[#This Row],[Sunset Time (POA&lt;20 W/m2)]]-TA[[#This Row],[Sunrise Time (POA&gt;20 W/m2)]])*24,"")</f>
        <v>11.95</v>
      </c>
      <c r="L216" s="2" t="s">
        <v>285</v>
      </c>
      <c r="M216" s="33">
        <f>IFERROR(VLOOKUP(TA[[#This Row],[Affected Equipment]],'Basic Data'!$I$2:$K$40,3,0),"")</f>
        <v>1.7241379310344799E-3</v>
      </c>
      <c r="N216">
        <v>-28</v>
      </c>
      <c r="O216" t="s">
        <v>135</v>
      </c>
      <c r="P216" s="114" t="s">
        <v>309</v>
      </c>
      <c r="Q216" s="113" t="s">
        <v>309</v>
      </c>
      <c r="R216">
        <v>131</v>
      </c>
      <c r="S216" s="2">
        <v>38</v>
      </c>
      <c r="T216" t="s">
        <v>286</v>
      </c>
      <c r="U216" t="s">
        <v>291</v>
      </c>
      <c r="V216" t="s">
        <v>289</v>
      </c>
      <c r="W216" s="32"/>
      <c r="X216" s="32"/>
      <c r="Y216" s="26"/>
      <c r="Z216" s="26"/>
      <c r="AA216" s="27">
        <f>IF(TA[[#This Row],[Work Start time on Fault]]="NA","",(TA[[#This Row],[Fault Acknowledgement Time ]]-TA[[#This Row],[Fault Time]])*24)</f>
        <v>0</v>
      </c>
      <c r="AB216" s="27">
        <f>(TA[[#This Row],[Work Start time on Fault]]-TA[[#This Row],[Fault Time]])*24</f>
        <v>0</v>
      </c>
      <c r="AC216" s="26">
        <f>(TA[[#This Row],[Work Completion time on fault]]-TA[[#This Row],[Fault Time]])*24</f>
        <v>0</v>
      </c>
      <c r="AD216" s="27">
        <f>IFERROR((TA[[#This Row],[Work Completion time on fault]]-TA[[#This Row],[Fault Time]])*24,"")</f>
        <v>0</v>
      </c>
      <c r="AE216" t="s">
        <v>319</v>
      </c>
      <c r="AF216" t="s">
        <v>247</v>
      </c>
      <c r="AG216" s="2"/>
      <c r="AH216" s="35">
        <f>1-COS(RADIANS(TA[[#This Row],[Avg. Target Angle during Fault Time (Radians)]]-TA[[#This Row],[Angle of affected equipment ]]))</f>
        <v>0.11705240714107301</v>
      </c>
      <c r="AI216" s="27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43">
        <f t="shared" si="11"/>
        <v>2026</v>
      </c>
      <c r="C217" s="116">
        <f t="shared" si="12"/>
        <v>2025</v>
      </c>
      <c r="D217" s="2" t="s">
        <v>155</v>
      </c>
      <c r="E217" s="2" t="s">
        <v>155</v>
      </c>
      <c r="F217" s="30">
        <v>45748</v>
      </c>
      <c r="G217" s="2">
        <f>DAY(EOMONTH(TA[[#This Row],[Month Year]],0))</f>
        <v>30</v>
      </c>
      <c r="H217" s="21">
        <v>45759</v>
      </c>
      <c r="I217" s="32">
        <f>IFERROR(VLOOKUP(TA[[#This Row],[Date]],Raw_Data[[Date]:[Sunset Time (POA&lt;20 W/m2)]],3,0),"")</f>
        <v>0.26527777777777778</v>
      </c>
      <c r="J217" s="32">
        <f>IFERROR(VLOOKUP(TA[[#This Row],[Date]],Raw_Data[[Date]:[Sunset Time (POA&lt;20 W/m2)]],4,0),"")</f>
        <v>0.7631944444444444</v>
      </c>
      <c r="K217" s="27">
        <f>IFERROR((TA[[#This Row],[Sunset Time (POA&lt;20 W/m2)]]-TA[[#This Row],[Sunrise Time (POA&gt;20 W/m2)]])*24,"")</f>
        <v>11.95</v>
      </c>
      <c r="L217" s="2" t="s">
        <v>285</v>
      </c>
      <c r="M217" s="33">
        <f>IFERROR(VLOOKUP(TA[[#This Row],[Affected Equipment]],'Basic Data'!$I$2:$K$40,3,0),"")</f>
        <v>1.7241379310344799E-3</v>
      </c>
      <c r="N217">
        <v>-28</v>
      </c>
      <c r="O217" t="s">
        <v>135</v>
      </c>
      <c r="P217" s="114" t="s">
        <v>309</v>
      </c>
      <c r="Q217" s="113" t="s">
        <v>309</v>
      </c>
      <c r="R217">
        <v>131</v>
      </c>
      <c r="S217" s="2">
        <v>39</v>
      </c>
      <c r="T217" t="s">
        <v>286</v>
      </c>
      <c r="U217" t="s">
        <v>291</v>
      </c>
      <c r="V217" t="s">
        <v>289</v>
      </c>
      <c r="W217" s="32"/>
      <c r="X217" s="32"/>
      <c r="Y217" s="26"/>
      <c r="Z217" s="26"/>
      <c r="AA217" s="27">
        <f>IF(TA[[#This Row],[Work Start time on Fault]]="NA","",(TA[[#This Row],[Fault Acknowledgement Time ]]-TA[[#This Row],[Fault Time]])*24)</f>
        <v>0</v>
      </c>
      <c r="AB217" s="27">
        <f>(TA[[#This Row],[Work Start time on Fault]]-TA[[#This Row],[Fault Time]])*24</f>
        <v>0</v>
      </c>
      <c r="AC217" s="26">
        <f>(TA[[#This Row],[Work Completion time on fault]]-TA[[#This Row],[Fault Time]])*24</f>
        <v>0</v>
      </c>
      <c r="AD217" s="27">
        <f>IFERROR((TA[[#This Row],[Work Completion time on fault]]-TA[[#This Row],[Fault Time]])*24,"")</f>
        <v>0</v>
      </c>
      <c r="AE217" t="s">
        <v>319</v>
      </c>
      <c r="AF217" t="s">
        <v>247</v>
      </c>
      <c r="AG217" s="2"/>
      <c r="AH217" s="35">
        <f>1-COS(RADIANS(TA[[#This Row],[Avg. Target Angle during Fault Time (Radians)]]-TA[[#This Row],[Angle of affected equipment ]]))</f>
        <v>0.11705240714107301</v>
      </c>
      <c r="AI217" s="27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43">
        <f t="shared" si="11"/>
        <v>2026</v>
      </c>
      <c r="C218" s="116">
        <f t="shared" si="12"/>
        <v>2025</v>
      </c>
      <c r="D218" s="2" t="s">
        <v>155</v>
      </c>
      <c r="E218" s="2" t="s">
        <v>155</v>
      </c>
      <c r="F218" s="30">
        <v>45748</v>
      </c>
      <c r="G218" s="2">
        <f>DAY(EOMONTH(TA[[#This Row],[Month Year]],0))</f>
        <v>30</v>
      </c>
      <c r="H218" s="21">
        <v>45759</v>
      </c>
      <c r="I218" s="32">
        <f>IFERROR(VLOOKUP(TA[[#This Row],[Date]],Raw_Data[[Date]:[Sunset Time (POA&lt;20 W/m2)]],3,0),"")</f>
        <v>0.26527777777777778</v>
      </c>
      <c r="J218" s="32">
        <f>IFERROR(VLOOKUP(TA[[#This Row],[Date]],Raw_Data[[Date]:[Sunset Time (POA&lt;20 W/m2)]],4,0),"")</f>
        <v>0.7631944444444444</v>
      </c>
      <c r="K218" s="27">
        <f>IFERROR((TA[[#This Row],[Sunset Time (POA&lt;20 W/m2)]]-TA[[#This Row],[Sunrise Time (POA&gt;20 W/m2)]])*24,"")</f>
        <v>11.95</v>
      </c>
      <c r="L218" s="2" t="s">
        <v>287</v>
      </c>
      <c r="M218" s="33">
        <f>IFERROR(VLOOKUP(TA[[#This Row],[Affected Equipment]],'Basic Data'!$I$2:$K$40,3,0),"")</f>
        <v>8.6206896551724102E-3</v>
      </c>
      <c r="N218">
        <v>-28</v>
      </c>
      <c r="O218" t="s">
        <v>135</v>
      </c>
      <c r="P218" s="114" t="s">
        <v>309</v>
      </c>
      <c r="Q218" s="2" t="s">
        <v>312</v>
      </c>
      <c r="R218">
        <v>133</v>
      </c>
      <c r="S218" s="2">
        <v>26</v>
      </c>
      <c r="T218" t="s">
        <v>288</v>
      </c>
      <c r="U218" t="s">
        <v>291</v>
      </c>
      <c r="V218" t="s">
        <v>305</v>
      </c>
      <c r="W218" s="32"/>
      <c r="X218" s="32"/>
      <c r="Y218" s="26"/>
      <c r="Z218" s="26"/>
      <c r="AA218" s="27">
        <f>IF(TA[[#This Row],[Work Start time on Fault]]="NA","",(TA[[#This Row],[Fault Acknowledgement Time ]]-TA[[#This Row],[Fault Time]])*24)</f>
        <v>0</v>
      </c>
      <c r="AB218" s="27">
        <f>(TA[[#This Row],[Work Start time on Fault]]-TA[[#This Row],[Fault Time]])*24</f>
        <v>0</v>
      </c>
      <c r="AC218" s="26">
        <f>(TA[[#This Row],[Work Completion time on fault]]-TA[[#This Row],[Fault Time]])*24</f>
        <v>0</v>
      </c>
      <c r="AD218" s="27">
        <f>IFERROR((TA[[#This Row],[Work Completion time on fault]]-TA[[#This Row],[Fault Time]])*24,"")</f>
        <v>0</v>
      </c>
      <c r="AE218" t="s">
        <v>319</v>
      </c>
      <c r="AF218" t="s">
        <v>247</v>
      </c>
      <c r="AG218" s="2"/>
      <c r="AH218" s="35">
        <f>1-COS(RADIANS(TA[[#This Row],[Avg. Target Angle during Fault Time (Radians)]]-TA[[#This Row],[Angle of affected equipment ]]))</f>
        <v>0.11705240714107301</v>
      </c>
      <c r="AI218" s="27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43">
        <f t="shared" si="11"/>
        <v>2026</v>
      </c>
      <c r="C219" s="116">
        <f t="shared" si="12"/>
        <v>2025</v>
      </c>
      <c r="D219" s="2" t="s">
        <v>155</v>
      </c>
      <c r="E219" s="2" t="s">
        <v>155</v>
      </c>
      <c r="F219" s="30">
        <v>45748</v>
      </c>
      <c r="G219" s="2">
        <f>DAY(EOMONTH(TA[[#This Row],[Month Year]],0))</f>
        <v>30</v>
      </c>
      <c r="H219" s="21">
        <v>45759</v>
      </c>
      <c r="I219" s="32">
        <f>IFERROR(VLOOKUP(TA[[#This Row],[Date]],Raw_Data[[Date]:[Sunset Time (POA&lt;20 W/m2)]],3,0),"")</f>
        <v>0.26527777777777778</v>
      </c>
      <c r="J219" s="32">
        <f>IFERROR(VLOOKUP(TA[[#This Row],[Date]],Raw_Data[[Date]:[Sunset Time (POA&lt;20 W/m2)]],4,0),"")</f>
        <v>0.7631944444444444</v>
      </c>
      <c r="K219" s="27">
        <f>IFERROR((TA[[#This Row],[Sunset Time (POA&lt;20 W/m2)]]-TA[[#This Row],[Sunrise Time (POA&gt;20 W/m2)]])*24,"")</f>
        <v>11.95</v>
      </c>
      <c r="L219" s="2" t="s">
        <v>285</v>
      </c>
      <c r="M219" s="33">
        <f>IFERROR(VLOOKUP(TA[[#This Row],[Affected Equipment]],'Basic Data'!$I$2:$K$40,3,0),"")</f>
        <v>1.7241379310344799E-3</v>
      </c>
      <c r="N219">
        <v>-28</v>
      </c>
      <c r="O219" t="s">
        <v>133</v>
      </c>
      <c r="P219" s="114" t="s">
        <v>307</v>
      </c>
      <c r="Q219" s="113" t="s">
        <v>308</v>
      </c>
      <c r="R219">
        <v>7</v>
      </c>
      <c r="S219" s="2">
        <v>32</v>
      </c>
      <c r="T219" t="s">
        <v>286</v>
      </c>
      <c r="U219" t="s">
        <v>291</v>
      </c>
      <c r="V219" t="s">
        <v>289</v>
      </c>
      <c r="W219" s="32"/>
      <c r="X219" s="32"/>
      <c r="Y219" s="26"/>
      <c r="Z219" s="26"/>
      <c r="AA219" s="27">
        <f>IF(TA[[#This Row],[Work Start time on Fault]]="NA","",(TA[[#This Row],[Fault Acknowledgement Time ]]-TA[[#This Row],[Fault Time]])*24)</f>
        <v>0</v>
      </c>
      <c r="AB219" s="27">
        <f>(TA[[#This Row],[Work Start time on Fault]]-TA[[#This Row],[Fault Time]])*24</f>
        <v>0</v>
      </c>
      <c r="AC219" s="26">
        <f>(TA[[#This Row],[Work Completion time on fault]]-TA[[#This Row],[Fault Time]])*24</f>
        <v>0</v>
      </c>
      <c r="AD219" s="27">
        <f>IFERROR((TA[[#This Row],[Work Completion time on fault]]-TA[[#This Row],[Fault Time]])*24,"")</f>
        <v>0</v>
      </c>
      <c r="AE219" t="s">
        <v>319</v>
      </c>
      <c r="AF219" t="s">
        <v>247</v>
      </c>
      <c r="AG219" s="2"/>
      <c r="AH219" s="35">
        <f>1-COS(RADIANS(TA[[#This Row],[Avg. Target Angle during Fault Time (Radians)]]-TA[[#This Row],[Angle of affected equipment ]]))</f>
        <v>0.11705240714107301</v>
      </c>
      <c r="AI219" s="27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43">
        <f t="shared" si="11"/>
        <v>2026</v>
      </c>
      <c r="C220" s="116">
        <f t="shared" si="12"/>
        <v>2025</v>
      </c>
      <c r="D220" s="2" t="s">
        <v>155</v>
      </c>
      <c r="E220" s="2" t="s">
        <v>155</v>
      </c>
      <c r="F220" s="30">
        <v>45748</v>
      </c>
      <c r="G220" s="2">
        <f>DAY(EOMONTH(TA[[#This Row],[Month Year]],0))</f>
        <v>30</v>
      </c>
      <c r="H220" s="21">
        <v>45759</v>
      </c>
      <c r="I220" s="32">
        <f>IFERROR(VLOOKUP(TA[[#This Row],[Date]],Raw_Data[[Date]:[Sunset Time (POA&lt;20 W/m2)]],3,0),"")</f>
        <v>0.26527777777777778</v>
      </c>
      <c r="J220" s="32">
        <f>IFERROR(VLOOKUP(TA[[#This Row],[Date]],Raw_Data[[Date]:[Sunset Time (POA&lt;20 W/m2)]],4,0),"")</f>
        <v>0.7631944444444444</v>
      </c>
      <c r="K220" s="27">
        <f>IFERROR((TA[[#This Row],[Sunset Time (POA&lt;20 W/m2)]]-TA[[#This Row],[Sunrise Time (POA&gt;20 W/m2)]])*24,"")</f>
        <v>11.95</v>
      </c>
      <c r="L220" s="2" t="s">
        <v>285</v>
      </c>
      <c r="M220" s="33">
        <f>IFERROR(VLOOKUP(TA[[#This Row],[Affected Equipment]],'Basic Data'!$I$2:$K$40,3,0),"")</f>
        <v>1.7241379310344799E-3</v>
      </c>
      <c r="N220">
        <v>-28</v>
      </c>
      <c r="O220" t="s">
        <v>137</v>
      </c>
      <c r="P220" s="114" t="s">
        <v>306</v>
      </c>
      <c r="Q220" s="113" t="s">
        <v>310</v>
      </c>
      <c r="R220">
        <v>166</v>
      </c>
      <c r="S220" s="2">
        <v>91</v>
      </c>
      <c r="T220" t="s">
        <v>286</v>
      </c>
      <c r="U220" t="s">
        <v>291</v>
      </c>
      <c r="V220" t="s">
        <v>289</v>
      </c>
      <c r="W220" s="32"/>
      <c r="X220" s="32"/>
      <c r="Y220" s="26"/>
      <c r="Z220" s="26"/>
      <c r="AA220" s="27">
        <f>IF(TA[[#This Row],[Work Start time on Fault]]="NA","",(TA[[#This Row],[Fault Acknowledgement Time ]]-TA[[#This Row],[Fault Time]])*24)</f>
        <v>0</v>
      </c>
      <c r="AB220" s="27">
        <f>(TA[[#This Row],[Work Start time on Fault]]-TA[[#This Row],[Fault Time]])*24</f>
        <v>0</v>
      </c>
      <c r="AC220" s="26">
        <f>(TA[[#This Row],[Work Completion time on fault]]-TA[[#This Row],[Fault Time]])*24</f>
        <v>0</v>
      </c>
      <c r="AD220" s="27">
        <f>IFERROR((TA[[#This Row],[Work Completion time on fault]]-TA[[#This Row],[Fault Time]])*24,"")</f>
        <v>0</v>
      </c>
      <c r="AE220" t="s">
        <v>319</v>
      </c>
      <c r="AF220" t="s">
        <v>247</v>
      </c>
      <c r="AG220" s="2"/>
      <c r="AH220" s="35">
        <f>1-COS(RADIANS(TA[[#This Row],[Avg. Target Angle during Fault Time (Radians)]]-TA[[#This Row],[Angle of affected equipment ]]))</f>
        <v>0.11705240714107301</v>
      </c>
      <c r="AI220" s="27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43">
        <f t="shared" si="11"/>
        <v>2026</v>
      </c>
      <c r="C221" s="116">
        <f t="shared" si="12"/>
        <v>2025</v>
      </c>
      <c r="D221" s="2" t="s">
        <v>155</v>
      </c>
      <c r="E221" s="2" t="s">
        <v>155</v>
      </c>
      <c r="F221" s="30">
        <v>45748</v>
      </c>
      <c r="G221" s="2">
        <f>DAY(EOMONTH(TA[[#This Row],[Month Year]],0))</f>
        <v>30</v>
      </c>
      <c r="H221" s="21">
        <v>45759</v>
      </c>
      <c r="I221" s="32">
        <f>IFERROR(VLOOKUP(TA[[#This Row],[Date]],Raw_Data[[Date]:[Sunset Time (POA&lt;20 W/m2)]],3,0),"")</f>
        <v>0.26527777777777778</v>
      </c>
      <c r="J221" s="32">
        <f>IFERROR(VLOOKUP(TA[[#This Row],[Date]],Raw_Data[[Date]:[Sunset Time (POA&lt;20 W/m2)]],4,0),"")</f>
        <v>0.7631944444444444</v>
      </c>
      <c r="K221" s="27">
        <f>IFERROR((TA[[#This Row],[Sunset Time (POA&lt;20 W/m2)]]-TA[[#This Row],[Sunrise Time (POA&gt;20 W/m2)]])*24,"")</f>
        <v>11.95</v>
      </c>
      <c r="L221" s="2" t="s">
        <v>285</v>
      </c>
      <c r="M221" s="33">
        <f>IFERROR(VLOOKUP(TA[[#This Row],[Affected Equipment]],'Basic Data'!$I$2:$K$40,3,0),"")</f>
        <v>1.7241379310344799E-3</v>
      </c>
      <c r="N221">
        <v>-28</v>
      </c>
      <c r="O221" t="s">
        <v>133</v>
      </c>
      <c r="P221" s="114" t="s">
        <v>307</v>
      </c>
      <c r="Q221" s="113" t="s">
        <v>307</v>
      </c>
      <c r="R221">
        <v>117</v>
      </c>
      <c r="S221" s="2">
        <v>20</v>
      </c>
      <c r="T221" t="s">
        <v>286</v>
      </c>
      <c r="U221" t="s">
        <v>291</v>
      </c>
      <c r="V221" t="s">
        <v>289</v>
      </c>
      <c r="W221" s="32"/>
      <c r="X221" s="32"/>
      <c r="Y221" s="26"/>
      <c r="Z221" s="26"/>
      <c r="AA221" s="27">
        <f>IF(TA[[#This Row],[Work Start time on Fault]]="NA","",(TA[[#This Row],[Fault Acknowledgement Time ]]-TA[[#This Row],[Fault Time]])*24)</f>
        <v>0</v>
      </c>
      <c r="AB221" s="27">
        <f>(TA[[#This Row],[Work Start time on Fault]]-TA[[#This Row],[Fault Time]])*24</f>
        <v>0</v>
      </c>
      <c r="AC221" s="26">
        <f>(TA[[#This Row],[Work Completion time on fault]]-TA[[#This Row],[Fault Time]])*24</f>
        <v>0</v>
      </c>
      <c r="AD221" s="27">
        <f>IFERROR((TA[[#This Row],[Work Completion time on fault]]-TA[[#This Row],[Fault Time]])*24,"")</f>
        <v>0</v>
      </c>
      <c r="AE221" t="s">
        <v>319</v>
      </c>
      <c r="AF221" t="s">
        <v>247</v>
      </c>
      <c r="AG221" s="2"/>
      <c r="AH221" s="35">
        <f>1-COS(RADIANS(TA[[#This Row],[Avg. Target Angle during Fault Time (Radians)]]-TA[[#This Row],[Angle of affected equipment ]]))</f>
        <v>0.11705240714107301</v>
      </c>
      <c r="AI221" s="27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43">
        <f t="shared" si="11"/>
        <v>2026</v>
      </c>
      <c r="C222" s="116">
        <f t="shared" si="12"/>
        <v>2025</v>
      </c>
      <c r="D222" s="2" t="s">
        <v>155</v>
      </c>
      <c r="E222" s="2" t="s">
        <v>155</v>
      </c>
      <c r="F222" s="30">
        <v>45748</v>
      </c>
      <c r="G222" s="2">
        <f>DAY(EOMONTH(TA[[#This Row],[Month Year]],0))</f>
        <v>30</v>
      </c>
      <c r="H222" s="21">
        <v>45759</v>
      </c>
      <c r="I222" s="32">
        <f>IFERROR(VLOOKUP(TA[[#This Row],[Date]],Raw_Data[[Date]:[Sunset Time (POA&lt;20 W/m2)]],3,0),"")</f>
        <v>0.26527777777777778</v>
      </c>
      <c r="J222" s="32">
        <f>IFERROR(VLOOKUP(TA[[#This Row],[Date]],Raw_Data[[Date]:[Sunset Time (POA&lt;20 W/m2)]],4,0),"")</f>
        <v>0.7631944444444444</v>
      </c>
      <c r="K222" s="27">
        <f>IFERROR((TA[[#This Row],[Sunset Time (POA&lt;20 W/m2)]]-TA[[#This Row],[Sunrise Time (POA&gt;20 W/m2)]])*24,"")</f>
        <v>11.95</v>
      </c>
      <c r="L222" s="2" t="s">
        <v>285</v>
      </c>
      <c r="M222" s="33">
        <f>IFERROR(VLOOKUP(TA[[#This Row],[Affected Equipment]],'Basic Data'!$I$2:$K$40,3,0),"")</f>
        <v>1.7241379310344799E-3</v>
      </c>
      <c r="N222">
        <v>-28</v>
      </c>
      <c r="O222" t="s">
        <v>133</v>
      </c>
      <c r="P222" s="114" t="s">
        <v>307</v>
      </c>
      <c r="Q222" s="113" t="s">
        <v>307</v>
      </c>
      <c r="R222">
        <v>118</v>
      </c>
      <c r="S222" s="2">
        <v>22</v>
      </c>
      <c r="T222" t="s">
        <v>286</v>
      </c>
      <c r="U222" t="s">
        <v>291</v>
      </c>
      <c r="V222" t="s">
        <v>289</v>
      </c>
      <c r="W222" s="32"/>
      <c r="X222" s="32"/>
      <c r="Y222" s="26"/>
      <c r="Z222" s="26"/>
      <c r="AA222" s="27">
        <f>IF(TA[[#This Row],[Work Start time on Fault]]="NA","",(TA[[#This Row],[Fault Acknowledgement Time ]]-TA[[#This Row],[Fault Time]])*24)</f>
        <v>0</v>
      </c>
      <c r="AB222" s="27">
        <f>(TA[[#This Row],[Work Start time on Fault]]-TA[[#This Row],[Fault Time]])*24</f>
        <v>0</v>
      </c>
      <c r="AC222" s="26">
        <f>(TA[[#This Row],[Work Completion time on fault]]-TA[[#This Row],[Fault Time]])*24</f>
        <v>0</v>
      </c>
      <c r="AD222" s="27">
        <f>IFERROR((TA[[#This Row],[Work Completion time on fault]]-TA[[#This Row],[Fault Time]])*24,"")</f>
        <v>0</v>
      </c>
      <c r="AE222" t="s">
        <v>319</v>
      </c>
      <c r="AF222" t="s">
        <v>247</v>
      </c>
      <c r="AG222" s="2"/>
      <c r="AH222" s="35">
        <f>1-COS(RADIANS(TA[[#This Row],[Avg. Target Angle during Fault Time (Radians)]]-TA[[#This Row],[Angle of affected equipment ]]))</f>
        <v>0.11705240714107301</v>
      </c>
      <c r="AI222" s="27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43">
        <f t="shared" si="11"/>
        <v>2026</v>
      </c>
      <c r="C223" s="116">
        <f t="shared" si="12"/>
        <v>2025</v>
      </c>
      <c r="D223" s="2" t="s">
        <v>155</v>
      </c>
      <c r="E223" s="2" t="s">
        <v>155</v>
      </c>
      <c r="F223" s="30">
        <v>45748</v>
      </c>
      <c r="G223" s="2">
        <f>DAY(EOMONTH(TA[[#This Row],[Month Year]],0))</f>
        <v>30</v>
      </c>
      <c r="H223" s="21">
        <v>45759</v>
      </c>
      <c r="I223" s="32">
        <f>IFERROR(VLOOKUP(TA[[#This Row],[Date]],Raw_Data[[Date]:[Sunset Time (POA&lt;20 W/m2)]],3,0),"")</f>
        <v>0.26527777777777778</v>
      </c>
      <c r="J223" s="32">
        <f>IFERROR(VLOOKUP(TA[[#This Row],[Date]],Raw_Data[[Date]:[Sunset Time (POA&lt;20 W/m2)]],4,0),"")</f>
        <v>0.7631944444444444</v>
      </c>
      <c r="K223" s="27">
        <f>IFERROR((TA[[#This Row],[Sunset Time (POA&lt;20 W/m2)]]-TA[[#This Row],[Sunrise Time (POA&gt;20 W/m2)]])*24,"")</f>
        <v>11.95</v>
      </c>
      <c r="L223" s="2" t="s">
        <v>287</v>
      </c>
      <c r="M223" s="33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314</v>
      </c>
      <c r="Q223" s="2" t="s">
        <v>320</v>
      </c>
      <c r="R223">
        <v>45</v>
      </c>
      <c r="S223" s="2">
        <v>8</v>
      </c>
      <c r="T223" t="s">
        <v>288</v>
      </c>
      <c r="U223" t="s">
        <v>317</v>
      </c>
      <c r="V223" t="s">
        <v>292</v>
      </c>
      <c r="W223" s="32">
        <f>IFERROR(VLOOKUP(TA[[#This Row],[Date]],Raw_Data[[Date]:[Sunset Time (POA&lt;20 W/m2)]],3,0),"")</f>
        <v>0.26527777777777778</v>
      </c>
      <c r="X223" s="32">
        <f>IFERROR(VLOOKUP(TA[[#This Row],[Date]],Raw_Data[[Date]:[Sunset Time (POA&lt;20 W/m2)]],3,0),"")</f>
        <v>0.26527777777777778</v>
      </c>
      <c r="Y223" s="26"/>
      <c r="Z223" s="26">
        <v>0.76041666666666663</v>
      </c>
      <c r="AA223" s="27">
        <f>IF(TA[[#This Row],[Work Start time on Fault]]="NA","",(TA[[#This Row],[Fault Acknowledgement Time ]]-TA[[#This Row],[Fault Time]])*24)</f>
        <v>0</v>
      </c>
      <c r="AB223" s="27">
        <f>(TA[[#This Row],[Work Start time on Fault]]-TA[[#This Row],[Fault Time]])*24</f>
        <v>-6.3666666666666671</v>
      </c>
      <c r="AC223" s="26">
        <f>(TA[[#This Row],[Work Completion time on fault]]-TA[[#This Row],[Fault Time]])*24</f>
        <v>11.883333333333333</v>
      </c>
      <c r="AD223" s="27">
        <f>IFERROR((TA[[#This Row],[Work Completion time on fault]]-TA[[#This Row],[Fault Time]])*24,"")</f>
        <v>11.883333333333333</v>
      </c>
      <c r="AE223" t="s">
        <v>300</v>
      </c>
      <c r="AF223" t="s">
        <v>247</v>
      </c>
      <c r="AG223" s="2"/>
      <c r="AH223" s="35">
        <f>1-COS(RADIANS(TA[[#This Row],[Avg. Target Angle during Fault Time (Radians)]]-TA[[#This Row],[Angle of affected equipment ]]))</f>
        <v>0.11705240714107301</v>
      </c>
      <c r="AI223" s="27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43">
        <f t="shared" si="11"/>
        <v>2026</v>
      </c>
      <c r="C224" s="116">
        <f t="shared" si="12"/>
        <v>2025</v>
      </c>
      <c r="D224" s="2" t="s">
        <v>155</v>
      </c>
      <c r="E224" s="2" t="s">
        <v>155</v>
      </c>
      <c r="F224" s="30">
        <v>45748</v>
      </c>
      <c r="G224" s="2">
        <f>DAY(EOMONTH(TA[[#This Row],[Month Year]],0))</f>
        <v>30</v>
      </c>
      <c r="H224" s="21">
        <v>45759</v>
      </c>
      <c r="I224" s="32">
        <f>IFERROR(VLOOKUP(TA[[#This Row],[Date]],Raw_Data[[Date]:[Sunset Time (POA&lt;20 W/m2)]],3,0),"")</f>
        <v>0.26527777777777778</v>
      </c>
      <c r="J224" s="32">
        <f>IFERROR(VLOOKUP(TA[[#This Row],[Date]],Raw_Data[[Date]:[Sunset Time (POA&lt;20 W/m2)]],4,0),"")</f>
        <v>0.7631944444444444</v>
      </c>
      <c r="K224" s="27">
        <f>IFERROR((TA[[#This Row],[Sunset Time (POA&lt;20 W/m2)]]-TA[[#This Row],[Sunrise Time (POA&gt;20 W/m2)]])*24,"")</f>
        <v>11.95</v>
      </c>
      <c r="L224" s="2" t="s">
        <v>287</v>
      </c>
      <c r="M224" s="33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314</v>
      </c>
      <c r="Q224" s="2" t="s">
        <v>320</v>
      </c>
      <c r="R224">
        <v>47</v>
      </c>
      <c r="S224" s="2">
        <v>18</v>
      </c>
      <c r="T224" t="s">
        <v>288</v>
      </c>
      <c r="U224" t="s">
        <v>317</v>
      </c>
      <c r="V224" t="s">
        <v>292</v>
      </c>
      <c r="W224" s="32">
        <f>IFERROR(VLOOKUP(TA[[#This Row],[Date]],Raw_Data[[Date]:[Sunset Time (POA&lt;20 W/m2)]],3,0),"")</f>
        <v>0.26527777777777778</v>
      </c>
      <c r="X224" s="32">
        <f>IFERROR(VLOOKUP(TA[[#This Row],[Date]],Raw_Data[[Date]:[Sunset Time (POA&lt;20 W/m2)]],3,0),"")</f>
        <v>0.26527777777777778</v>
      </c>
      <c r="Y224" s="26"/>
      <c r="Z224" s="26">
        <v>0.76041666666666663</v>
      </c>
      <c r="AA224" s="27">
        <f>IF(TA[[#This Row],[Work Start time on Fault]]="NA","",(TA[[#This Row],[Fault Acknowledgement Time ]]-TA[[#This Row],[Fault Time]])*24)</f>
        <v>0</v>
      </c>
      <c r="AB224" s="27">
        <f>(TA[[#This Row],[Work Start time on Fault]]-TA[[#This Row],[Fault Time]])*24</f>
        <v>-6.3666666666666671</v>
      </c>
      <c r="AC224" s="26">
        <f>(TA[[#This Row],[Work Completion time on fault]]-TA[[#This Row],[Fault Time]])*24</f>
        <v>11.883333333333333</v>
      </c>
      <c r="AD224" s="27">
        <f>IFERROR((TA[[#This Row],[Work Completion time on fault]]-TA[[#This Row],[Fault Time]])*24,"")</f>
        <v>11.883333333333333</v>
      </c>
      <c r="AE224" t="s">
        <v>300</v>
      </c>
      <c r="AF224" t="s">
        <v>247</v>
      </c>
      <c r="AG224" s="2"/>
      <c r="AH224" s="35">
        <f>1-COS(RADIANS(TA[[#This Row],[Avg. Target Angle during Fault Time (Radians)]]-TA[[#This Row],[Angle of affected equipment ]]))</f>
        <v>0.11705240714107301</v>
      </c>
      <c r="AI224" s="27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43">
        <f t="shared" si="11"/>
        <v>2026</v>
      </c>
      <c r="C225" s="116">
        <f t="shared" si="12"/>
        <v>2025</v>
      </c>
      <c r="D225" s="2" t="s">
        <v>155</v>
      </c>
      <c r="E225" s="2" t="s">
        <v>155</v>
      </c>
      <c r="F225" s="30">
        <v>45748</v>
      </c>
      <c r="G225" s="2">
        <f>DAY(EOMONTH(TA[[#This Row],[Month Year]],0))</f>
        <v>30</v>
      </c>
      <c r="H225" s="21">
        <v>45759</v>
      </c>
      <c r="I225" s="32">
        <f>IFERROR(VLOOKUP(TA[[#This Row],[Date]],Raw_Data[[Date]:[Sunset Time (POA&lt;20 W/m2)]],3,0),"")</f>
        <v>0.26527777777777778</v>
      </c>
      <c r="J225" s="32">
        <f>IFERROR(VLOOKUP(TA[[#This Row],[Date]],Raw_Data[[Date]:[Sunset Time (POA&lt;20 W/m2)]],4,0),"")</f>
        <v>0.7631944444444444</v>
      </c>
      <c r="K225" s="27">
        <f>IFERROR((TA[[#This Row],[Sunset Time (POA&lt;20 W/m2)]]-TA[[#This Row],[Sunrise Time (POA&gt;20 W/m2)]])*24,"")</f>
        <v>11.95</v>
      </c>
      <c r="L225" s="2" t="s">
        <v>287</v>
      </c>
      <c r="M225" s="33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321</v>
      </c>
      <c r="Q225" s="2" t="s">
        <v>314</v>
      </c>
      <c r="R225">
        <v>30</v>
      </c>
      <c r="S225" s="2">
        <v>57</v>
      </c>
      <c r="T225" t="s">
        <v>288</v>
      </c>
      <c r="U225" t="s">
        <v>317</v>
      </c>
      <c r="V225" t="s">
        <v>292</v>
      </c>
      <c r="W225" s="32">
        <f>IFERROR(VLOOKUP(TA[[#This Row],[Date]],Raw_Data[[Date]:[Sunset Time (POA&lt;20 W/m2)]],3,0),"")</f>
        <v>0.26527777777777778</v>
      </c>
      <c r="X225" s="32">
        <f>IFERROR(VLOOKUP(TA[[#This Row],[Date]],Raw_Data[[Date]:[Sunset Time (POA&lt;20 W/m2)]],3,0),"")</f>
        <v>0.26527777777777778</v>
      </c>
      <c r="Y225" s="26"/>
      <c r="Z225" s="26">
        <v>0.76041666666666663</v>
      </c>
      <c r="AA225" s="27">
        <f>IF(TA[[#This Row],[Work Start time on Fault]]="NA","",(TA[[#This Row],[Fault Acknowledgement Time ]]-TA[[#This Row],[Fault Time]])*24)</f>
        <v>0</v>
      </c>
      <c r="AB225" s="27">
        <f>(TA[[#This Row],[Work Start time on Fault]]-TA[[#This Row],[Fault Time]])*24</f>
        <v>-6.3666666666666671</v>
      </c>
      <c r="AC225" s="26">
        <f>(TA[[#This Row],[Work Completion time on fault]]-TA[[#This Row],[Fault Time]])*24</f>
        <v>11.883333333333333</v>
      </c>
      <c r="AD225" s="27">
        <f>IFERROR((TA[[#This Row],[Work Completion time on fault]]-TA[[#This Row],[Fault Time]])*24,"")</f>
        <v>11.883333333333333</v>
      </c>
      <c r="AE225" t="s">
        <v>300</v>
      </c>
      <c r="AF225" t="s">
        <v>247</v>
      </c>
      <c r="AG225" s="2"/>
      <c r="AH225" s="35">
        <f>1-COS(RADIANS(TA[[#This Row],[Avg. Target Angle during Fault Time (Radians)]]-TA[[#This Row],[Angle of affected equipment ]]))</f>
        <v>0.11705240714107301</v>
      </c>
      <c r="AI225" s="27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43">
        <f t="shared" si="11"/>
        <v>2026</v>
      </c>
      <c r="C226" s="116">
        <f t="shared" si="12"/>
        <v>2025</v>
      </c>
      <c r="D226" s="2" t="s">
        <v>155</v>
      </c>
      <c r="E226" s="2" t="s">
        <v>155</v>
      </c>
      <c r="F226" s="30">
        <v>45748</v>
      </c>
      <c r="G226" s="2">
        <f>DAY(EOMONTH(TA[[#This Row],[Month Year]],0))</f>
        <v>30</v>
      </c>
      <c r="H226" s="21">
        <v>45759</v>
      </c>
      <c r="I226" s="32">
        <f>IFERROR(VLOOKUP(TA[[#This Row],[Date]],Raw_Data[[Date]:[Sunset Time (POA&lt;20 W/m2)]],3,0),"")</f>
        <v>0.26527777777777778</v>
      </c>
      <c r="J226" s="32">
        <f>IFERROR(VLOOKUP(TA[[#This Row],[Date]],Raw_Data[[Date]:[Sunset Time (POA&lt;20 W/m2)]],4,0),"")</f>
        <v>0.7631944444444444</v>
      </c>
      <c r="K226" s="27">
        <f>IFERROR((TA[[#This Row],[Sunset Time (POA&lt;20 W/m2)]]-TA[[#This Row],[Sunrise Time (POA&gt;20 W/m2)]])*24,"")</f>
        <v>11.95</v>
      </c>
      <c r="L226" s="2" t="s">
        <v>287</v>
      </c>
      <c r="M226" s="33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321</v>
      </c>
      <c r="Q226" s="2" t="s">
        <v>314</v>
      </c>
      <c r="R226">
        <v>31</v>
      </c>
      <c r="S226" s="2">
        <v>61</v>
      </c>
      <c r="T226" t="s">
        <v>288</v>
      </c>
      <c r="U226" t="s">
        <v>317</v>
      </c>
      <c r="V226" t="s">
        <v>292</v>
      </c>
      <c r="W226" s="32">
        <f>IFERROR(VLOOKUP(TA[[#This Row],[Date]],Raw_Data[[Date]:[Sunset Time (POA&lt;20 W/m2)]],3,0),"")</f>
        <v>0.26527777777777778</v>
      </c>
      <c r="X226" s="32">
        <f>IFERROR(VLOOKUP(TA[[#This Row],[Date]],Raw_Data[[Date]:[Sunset Time (POA&lt;20 W/m2)]],3,0),"")</f>
        <v>0.26527777777777778</v>
      </c>
      <c r="Y226" s="26"/>
      <c r="Z226" s="26">
        <v>0.76041666666666663</v>
      </c>
      <c r="AA226" s="27">
        <f>IF(TA[[#This Row],[Work Start time on Fault]]="NA","",(TA[[#This Row],[Fault Acknowledgement Time ]]-TA[[#This Row],[Fault Time]])*24)</f>
        <v>0</v>
      </c>
      <c r="AB226" s="27">
        <f>(TA[[#This Row],[Work Start time on Fault]]-TA[[#This Row],[Fault Time]])*24</f>
        <v>-6.3666666666666671</v>
      </c>
      <c r="AC226" s="26">
        <f>(TA[[#This Row],[Work Completion time on fault]]-TA[[#This Row],[Fault Time]])*24</f>
        <v>11.883333333333333</v>
      </c>
      <c r="AD226" s="27">
        <f>IFERROR((TA[[#This Row],[Work Completion time on fault]]-TA[[#This Row],[Fault Time]])*24,"")</f>
        <v>11.883333333333333</v>
      </c>
      <c r="AE226" t="s">
        <v>300</v>
      </c>
      <c r="AF226" t="s">
        <v>247</v>
      </c>
      <c r="AG226" s="2"/>
      <c r="AH226" s="35">
        <f>1-COS(RADIANS(TA[[#This Row],[Avg. Target Angle during Fault Time (Radians)]]-TA[[#This Row],[Angle of affected equipment ]]))</f>
        <v>0.11705240714107301</v>
      </c>
      <c r="AI226" s="27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43">
        <f t="shared" si="11"/>
        <v>2026</v>
      </c>
      <c r="C227" s="116">
        <f t="shared" si="12"/>
        <v>2025</v>
      </c>
      <c r="D227" s="2" t="s">
        <v>155</v>
      </c>
      <c r="E227" s="2" t="s">
        <v>155</v>
      </c>
      <c r="F227" s="30">
        <v>45748</v>
      </c>
      <c r="G227" s="2">
        <f>DAY(EOMONTH(TA[[#This Row],[Month Year]],0))</f>
        <v>30</v>
      </c>
      <c r="H227" s="21">
        <v>45759</v>
      </c>
      <c r="I227" s="32">
        <f>IFERROR(VLOOKUP(TA[[#This Row],[Date]],Raw_Data[[Date]:[Sunset Time (POA&lt;20 W/m2)]],3,0),"")</f>
        <v>0.26527777777777778</v>
      </c>
      <c r="J227" s="32">
        <f>IFERROR(VLOOKUP(TA[[#This Row],[Date]],Raw_Data[[Date]:[Sunset Time (POA&lt;20 W/m2)]],4,0),"")</f>
        <v>0.7631944444444444</v>
      </c>
      <c r="K227" s="27">
        <f>IFERROR((TA[[#This Row],[Sunset Time (POA&lt;20 W/m2)]]-TA[[#This Row],[Sunrise Time (POA&gt;20 W/m2)]])*24,"")</f>
        <v>11.95</v>
      </c>
      <c r="L227" s="2" t="s">
        <v>303</v>
      </c>
      <c r="M227" s="33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321</v>
      </c>
      <c r="Q227" s="2" t="s">
        <v>314</v>
      </c>
      <c r="R227">
        <v>26</v>
      </c>
      <c r="S227" s="2">
        <v>37</v>
      </c>
      <c r="T227" t="s">
        <v>288</v>
      </c>
      <c r="U227" t="s">
        <v>317</v>
      </c>
      <c r="V227" t="s">
        <v>292</v>
      </c>
      <c r="W227" s="32">
        <f>IFERROR(VLOOKUP(TA[[#This Row],[Date]],Raw_Data[[Date]:[Sunset Time (POA&lt;20 W/m2)]],3,0),"")</f>
        <v>0.26527777777777778</v>
      </c>
      <c r="X227" s="32">
        <f>IFERROR(VLOOKUP(TA[[#This Row],[Date]],Raw_Data[[Date]:[Sunset Time (POA&lt;20 W/m2)]],3,0),"")</f>
        <v>0.26527777777777778</v>
      </c>
      <c r="Y227" s="26"/>
      <c r="Z227" s="26">
        <v>0.76041666666666663</v>
      </c>
      <c r="AA227" s="27">
        <f>IF(TA[[#This Row],[Work Start time on Fault]]="NA","",(TA[[#This Row],[Fault Acknowledgement Time ]]-TA[[#This Row],[Fault Time]])*24)</f>
        <v>0</v>
      </c>
      <c r="AB227" s="27">
        <f>(TA[[#This Row],[Work Start time on Fault]]-TA[[#This Row],[Fault Time]])*24</f>
        <v>-6.3666666666666671</v>
      </c>
      <c r="AC227" s="26">
        <f>(TA[[#This Row],[Work Completion time on fault]]-TA[[#This Row],[Fault Time]])*24</f>
        <v>11.883333333333333</v>
      </c>
      <c r="AD227" s="27">
        <f>IFERROR((TA[[#This Row],[Work Completion time on fault]]-TA[[#This Row],[Fault Time]])*24,"")</f>
        <v>11.883333333333333</v>
      </c>
      <c r="AE227" t="s">
        <v>300</v>
      </c>
      <c r="AF227" t="s">
        <v>247</v>
      </c>
      <c r="AG227" s="2"/>
      <c r="AH227" s="35">
        <f>1-COS(RADIANS(TA[[#This Row],[Avg. Target Angle during Fault Time (Radians)]]-TA[[#This Row],[Angle of affected equipment ]]))</f>
        <v>0.11705240714107301</v>
      </c>
      <c r="AI227" s="27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43">
        <f t="shared" si="11"/>
        <v>2026</v>
      </c>
      <c r="C228" s="116">
        <f t="shared" si="12"/>
        <v>2025</v>
      </c>
      <c r="D228" s="2" t="s">
        <v>155</v>
      </c>
      <c r="E228" s="2" t="s">
        <v>155</v>
      </c>
      <c r="F228" s="30">
        <v>45748</v>
      </c>
      <c r="G228" s="2">
        <f>DAY(EOMONTH(TA[[#This Row],[Month Year]],0))</f>
        <v>30</v>
      </c>
      <c r="H228" s="21">
        <v>45759</v>
      </c>
      <c r="I228" s="32">
        <f>IFERROR(VLOOKUP(TA[[#This Row],[Date]],Raw_Data[[Date]:[Sunset Time (POA&lt;20 W/m2)]],3,0),"")</f>
        <v>0.26527777777777778</v>
      </c>
      <c r="J228" s="32">
        <f>IFERROR(VLOOKUP(TA[[#This Row],[Date]],Raw_Data[[Date]:[Sunset Time (POA&lt;20 W/m2)]],4,0),"")</f>
        <v>0.7631944444444444</v>
      </c>
      <c r="K228" s="27">
        <f>IFERROR((TA[[#This Row],[Sunset Time (POA&lt;20 W/m2)]]-TA[[#This Row],[Sunrise Time (POA&gt;20 W/m2)]])*24,"")</f>
        <v>11.95</v>
      </c>
      <c r="L228" s="2" t="s">
        <v>303</v>
      </c>
      <c r="M228" s="33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321</v>
      </c>
      <c r="Q228" s="2" t="s">
        <v>314</v>
      </c>
      <c r="R228">
        <v>27</v>
      </c>
      <c r="S228" s="2">
        <v>42</v>
      </c>
      <c r="T228" t="s">
        <v>288</v>
      </c>
      <c r="U228" t="s">
        <v>317</v>
      </c>
      <c r="V228" t="s">
        <v>292</v>
      </c>
      <c r="W228" s="32">
        <f>IFERROR(VLOOKUP(TA[[#This Row],[Date]],Raw_Data[[Date]:[Sunset Time (POA&lt;20 W/m2)]],3,0),"")</f>
        <v>0.26527777777777778</v>
      </c>
      <c r="X228" s="32">
        <f>IFERROR(VLOOKUP(TA[[#This Row],[Date]],Raw_Data[[Date]:[Sunset Time (POA&lt;20 W/m2)]],3,0),"")</f>
        <v>0.26527777777777778</v>
      </c>
      <c r="Y228" s="26"/>
      <c r="Z228" s="26">
        <v>0.76041666666666663</v>
      </c>
      <c r="AA228" s="27">
        <f>IF(TA[[#This Row],[Work Start time on Fault]]="NA","",(TA[[#This Row],[Fault Acknowledgement Time ]]-TA[[#This Row],[Fault Time]])*24)</f>
        <v>0</v>
      </c>
      <c r="AB228" s="27">
        <f>(TA[[#This Row],[Work Start time on Fault]]-TA[[#This Row],[Fault Time]])*24</f>
        <v>-6.3666666666666671</v>
      </c>
      <c r="AC228" s="26">
        <f>(TA[[#This Row],[Work Completion time on fault]]-TA[[#This Row],[Fault Time]])*24</f>
        <v>11.883333333333333</v>
      </c>
      <c r="AD228" s="27">
        <f>IFERROR((TA[[#This Row],[Work Completion time on fault]]-TA[[#This Row],[Fault Time]])*24,"")</f>
        <v>11.883333333333333</v>
      </c>
      <c r="AE228" t="s">
        <v>300</v>
      </c>
      <c r="AF228" t="s">
        <v>247</v>
      </c>
      <c r="AG228" s="2"/>
      <c r="AH228" s="35">
        <f>1-COS(RADIANS(TA[[#This Row],[Avg. Target Angle during Fault Time (Radians)]]-TA[[#This Row],[Angle of affected equipment ]]))</f>
        <v>0.11705240714107301</v>
      </c>
      <c r="AI228" s="27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43">
        <f t="shared" si="11"/>
        <v>2026</v>
      </c>
      <c r="C229" s="116">
        <f t="shared" si="12"/>
        <v>2025</v>
      </c>
      <c r="D229" s="2" t="s">
        <v>155</v>
      </c>
      <c r="E229" s="2" t="s">
        <v>155</v>
      </c>
      <c r="F229" s="30">
        <v>45748</v>
      </c>
      <c r="G229" s="2">
        <f>DAY(EOMONTH(TA[[#This Row],[Month Year]],0))</f>
        <v>30</v>
      </c>
      <c r="H229" s="21">
        <v>45760</v>
      </c>
      <c r="I229" s="32">
        <f>IFERROR(VLOOKUP(TA[[#This Row],[Date]],Raw_Data[[Date]:[Sunset Time (POA&lt;20 W/m2)]],3,0),"")</f>
        <v>0.26111111111111113</v>
      </c>
      <c r="J229" s="32">
        <f>IFERROR(VLOOKUP(TA[[#This Row],[Date]],Raw_Data[[Date]:[Sunset Time (POA&lt;20 W/m2)]],4,0),"")</f>
        <v>0.76388888888888884</v>
      </c>
      <c r="K229" s="27">
        <f>IFERROR((TA[[#This Row],[Sunset Time (POA&lt;20 W/m2)]]-TA[[#This Row],[Sunrise Time (POA&gt;20 W/m2)]])*24,"")</f>
        <v>12.066666666666666</v>
      </c>
      <c r="L229" s="2" t="s">
        <v>285</v>
      </c>
      <c r="M229" s="33">
        <f>IFERROR(VLOOKUP(TA[[#This Row],[Affected Equipment]],'Basic Data'!$I$2:$K$40,3,0),"")</f>
        <v>1.7241379310344799E-3</v>
      </c>
      <c r="N229">
        <v>-28</v>
      </c>
      <c r="O229" t="s">
        <v>135</v>
      </c>
      <c r="P229" s="114" t="s">
        <v>309</v>
      </c>
      <c r="Q229" s="113" t="s">
        <v>309</v>
      </c>
      <c r="R229">
        <v>130</v>
      </c>
      <c r="S229" s="2">
        <v>36</v>
      </c>
      <c r="T229" t="s">
        <v>286</v>
      </c>
      <c r="U229" t="s">
        <v>291</v>
      </c>
      <c r="V229" t="s">
        <v>289</v>
      </c>
      <c r="W229" s="32"/>
      <c r="X229" s="32"/>
      <c r="Y229" s="26"/>
      <c r="Z229" s="26"/>
      <c r="AA229" s="27">
        <f>IF(TA[[#This Row],[Work Start time on Fault]]="NA","",(TA[[#This Row],[Fault Acknowledgement Time ]]-TA[[#This Row],[Fault Time]])*24)</f>
        <v>0</v>
      </c>
      <c r="AB229" s="27">
        <f>(TA[[#This Row],[Work Start time on Fault]]-TA[[#This Row],[Fault Time]])*24</f>
        <v>0</v>
      </c>
      <c r="AC229" s="26">
        <f>(TA[[#This Row],[Work Completion time on fault]]-TA[[#This Row],[Fault Time]])*24</f>
        <v>0</v>
      </c>
      <c r="AD229" s="27">
        <f>IFERROR((TA[[#This Row],[Work Completion time on fault]]-TA[[#This Row],[Fault Time]])*24,"")</f>
        <v>0</v>
      </c>
      <c r="AE229" t="s">
        <v>319</v>
      </c>
      <c r="AF229" t="s">
        <v>247</v>
      </c>
      <c r="AG229" s="2"/>
      <c r="AH229" s="35">
        <f>1-COS(RADIANS(TA[[#This Row],[Avg. Target Angle during Fault Time (Radians)]]-TA[[#This Row],[Angle of affected equipment ]]))</f>
        <v>0.11705240714107301</v>
      </c>
      <c r="AI229" s="27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43">
        <f t="shared" si="11"/>
        <v>2026</v>
      </c>
      <c r="C230" s="116">
        <f t="shared" si="12"/>
        <v>2025</v>
      </c>
      <c r="D230" s="2" t="s">
        <v>155</v>
      </c>
      <c r="E230" s="2" t="s">
        <v>155</v>
      </c>
      <c r="F230" s="30">
        <v>45748</v>
      </c>
      <c r="G230" s="2">
        <f>DAY(EOMONTH(TA[[#This Row],[Month Year]],0))</f>
        <v>30</v>
      </c>
      <c r="H230" s="21">
        <v>45760</v>
      </c>
      <c r="I230" s="32">
        <f>IFERROR(VLOOKUP(TA[[#This Row],[Date]],Raw_Data[[Date]:[Sunset Time (POA&lt;20 W/m2)]],3,0),"")</f>
        <v>0.26111111111111113</v>
      </c>
      <c r="J230" s="32">
        <f>IFERROR(VLOOKUP(TA[[#This Row],[Date]],Raw_Data[[Date]:[Sunset Time (POA&lt;20 W/m2)]],4,0),"")</f>
        <v>0.76388888888888884</v>
      </c>
      <c r="K230" s="27">
        <f>IFERROR((TA[[#This Row],[Sunset Time (POA&lt;20 W/m2)]]-TA[[#This Row],[Sunrise Time (POA&gt;20 W/m2)]])*24,"")</f>
        <v>12.066666666666666</v>
      </c>
      <c r="L230" s="2" t="s">
        <v>285</v>
      </c>
      <c r="M230" s="33">
        <f>IFERROR(VLOOKUP(TA[[#This Row],[Affected Equipment]],'Basic Data'!$I$2:$K$40,3,0),"")</f>
        <v>1.7241379310344799E-3</v>
      </c>
      <c r="N230">
        <v>-28</v>
      </c>
      <c r="O230" t="s">
        <v>135</v>
      </c>
      <c r="P230" s="114" t="s">
        <v>309</v>
      </c>
      <c r="Q230" s="113" t="s">
        <v>309</v>
      </c>
      <c r="R230">
        <v>130</v>
      </c>
      <c r="S230" s="2">
        <v>37</v>
      </c>
      <c r="T230" t="s">
        <v>286</v>
      </c>
      <c r="U230" t="s">
        <v>291</v>
      </c>
      <c r="V230" t="s">
        <v>289</v>
      </c>
      <c r="W230" s="32"/>
      <c r="X230" s="32"/>
      <c r="Y230" s="26"/>
      <c r="Z230" s="26"/>
      <c r="AA230" s="27">
        <f>IF(TA[[#This Row],[Work Start time on Fault]]="NA","",(TA[[#This Row],[Fault Acknowledgement Time ]]-TA[[#This Row],[Fault Time]])*24)</f>
        <v>0</v>
      </c>
      <c r="AB230" s="27">
        <f>(TA[[#This Row],[Work Start time on Fault]]-TA[[#This Row],[Fault Time]])*24</f>
        <v>0</v>
      </c>
      <c r="AC230" s="26">
        <f>(TA[[#This Row],[Work Completion time on fault]]-TA[[#This Row],[Fault Time]])*24</f>
        <v>0</v>
      </c>
      <c r="AD230" s="27">
        <f>IFERROR((TA[[#This Row],[Work Completion time on fault]]-TA[[#This Row],[Fault Time]])*24,"")</f>
        <v>0</v>
      </c>
      <c r="AE230" t="s">
        <v>319</v>
      </c>
      <c r="AF230" t="s">
        <v>247</v>
      </c>
      <c r="AG230" s="2"/>
      <c r="AH230" s="35">
        <f>1-COS(RADIANS(TA[[#This Row],[Avg. Target Angle during Fault Time (Radians)]]-TA[[#This Row],[Angle of affected equipment ]]))</f>
        <v>0.11705240714107301</v>
      </c>
      <c r="AI230" s="27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43">
        <f t="shared" si="11"/>
        <v>2026</v>
      </c>
      <c r="C231" s="116">
        <f t="shared" si="12"/>
        <v>2025</v>
      </c>
      <c r="D231" s="2" t="s">
        <v>155</v>
      </c>
      <c r="E231" s="2" t="s">
        <v>155</v>
      </c>
      <c r="F231" s="30">
        <v>45748</v>
      </c>
      <c r="G231" s="2">
        <f>DAY(EOMONTH(TA[[#This Row],[Month Year]],0))</f>
        <v>30</v>
      </c>
      <c r="H231" s="21">
        <v>45760</v>
      </c>
      <c r="I231" s="32">
        <f>IFERROR(VLOOKUP(TA[[#This Row],[Date]],Raw_Data[[Date]:[Sunset Time (POA&lt;20 W/m2)]],3,0),"")</f>
        <v>0.26111111111111113</v>
      </c>
      <c r="J231" s="32">
        <f>IFERROR(VLOOKUP(TA[[#This Row],[Date]],Raw_Data[[Date]:[Sunset Time (POA&lt;20 W/m2)]],4,0),"")</f>
        <v>0.76388888888888884</v>
      </c>
      <c r="K231" s="27">
        <f>IFERROR((TA[[#This Row],[Sunset Time (POA&lt;20 W/m2)]]-TA[[#This Row],[Sunrise Time (POA&gt;20 W/m2)]])*24,"")</f>
        <v>12.066666666666666</v>
      </c>
      <c r="L231" s="2" t="s">
        <v>285</v>
      </c>
      <c r="M231" s="33">
        <f>IFERROR(VLOOKUP(TA[[#This Row],[Affected Equipment]],'Basic Data'!$I$2:$K$40,3,0),"")</f>
        <v>1.7241379310344799E-3</v>
      </c>
      <c r="N231">
        <v>-28</v>
      </c>
      <c r="O231" t="s">
        <v>135</v>
      </c>
      <c r="P231" s="114" t="s">
        <v>309</v>
      </c>
      <c r="Q231" s="113" t="s">
        <v>309</v>
      </c>
      <c r="R231">
        <v>131</v>
      </c>
      <c r="S231" s="2">
        <v>38</v>
      </c>
      <c r="T231" t="s">
        <v>286</v>
      </c>
      <c r="U231" t="s">
        <v>291</v>
      </c>
      <c r="V231" t="s">
        <v>289</v>
      </c>
      <c r="W231" s="32"/>
      <c r="X231" s="32"/>
      <c r="Y231" s="26"/>
      <c r="Z231" s="26"/>
      <c r="AA231" s="27">
        <f>IF(TA[[#This Row],[Work Start time on Fault]]="NA","",(TA[[#This Row],[Fault Acknowledgement Time ]]-TA[[#This Row],[Fault Time]])*24)</f>
        <v>0</v>
      </c>
      <c r="AB231" s="27">
        <f>(TA[[#This Row],[Work Start time on Fault]]-TA[[#This Row],[Fault Time]])*24</f>
        <v>0</v>
      </c>
      <c r="AC231" s="26">
        <f>(TA[[#This Row],[Work Completion time on fault]]-TA[[#This Row],[Fault Time]])*24</f>
        <v>0</v>
      </c>
      <c r="AD231" s="27">
        <f>IFERROR((TA[[#This Row],[Work Completion time on fault]]-TA[[#This Row],[Fault Time]])*24,"")</f>
        <v>0</v>
      </c>
      <c r="AE231" t="s">
        <v>319</v>
      </c>
      <c r="AF231" t="s">
        <v>247</v>
      </c>
      <c r="AG231" s="2"/>
      <c r="AH231" s="35">
        <f>1-COS(RADIANS(TA[[#This Row],[Avg. Target Angle during Fault Time (Radians)]]-TA[[#This Row],[Angle of affected equipment ]]))</f>
        <v>0.11705240714107301</v>
      </c>
      <c r="AI231" s="27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43">
        <f t="shared" si="11"/>
        <v>2026</v>
      </c>
      <c r="C232" s="116">
        <f t="shared" si="12"/>
        <v>2025</v>
      </c>
      <c r="D232" s="2" t="s">
        <v>155</v>
      </c>
      <c r="E232" s="2" t="s">
        <v>155</v>
      </c>
      <c r="F232" s="30">
        <v>45748</v>
      </c>
      <c r="G232" s="2">
        <f>DAY(EOMONTH(TA[[#This Row],[Month Year]],0))</f>
        <v>30</v>
      </c>
      <c r="H232" s="21">
        <v>45760</v>
      </c>
      <c r="I232" s="32">
        <f>IFERROR(VLOOKUP(TA[[#This Row],[Date]],Raw_Data[[Date]:[Sunset Time (POA&lt;20 W/m2)]],3,0),"")</f>
        <v>0.26111111111111113</v>
      </c>
      <c r="J232" s="32">
        <f>IFERROR(VLOOKUP(TA[[#This Row],[Date]],Raw_Data[[Date]:[Sunset Time (POA&lt;20 W/m2)]],4,0),"")</f>
        <v>0.76388888888888884</v>
      </c>
      <c r="K232" s="27">
        <f>IFERROR((TA[[#This Row],[Sunset Time (POA&lt;20 W/m2)]]-TA[[#This Row],[Sunrise Time (POA&gt;20 W/m2)]])*24,"")</f>
        <v>12.066666666666666</v>
      </c>
      <c r="L232" s="2" t="s">
        <v>285</v>
      </c>
      <c r="M232" s="33">
        <f>IFERROR(VLOOKUP(TA[[#This Row],[Affected Equipment]],'Basic Data'!$I$2:$K$40,3,0),"")</f>
        <v>1.7241379310344799E-3</v>
      </c>
      <c r="N232">
        <v>-28</v>
      </c>
      <c r="O232" t="s">
        <v>135</v>
      </c>
      <c r="P232" s="114" t="s">
        <v>309</v>
      </c>
      <c r="Q232" s="113" t="s">
        <v>309</v>
      </c>
      <c r="R232">
        <v>131</v>
      </c>
      <c r="S232" s="2">
        <v>39</v>
      </c>
      <c r="T232" t="s">
        <v>286</v>
      </c>
      <c r="U232" t="s">
        <v>291</v>
      </c>
      <c r="V232" t="s">
        <v>289</v>
      </c>
      <c r="W232" s="32"/>
      <c r="X232" s="32"/>
      <c r="Y232" s="26"/>
      <c r="Z232" s="26"/>
      <c r="AA232" s="27">
        <f>IF(TA[[#This Row],[Work Start time on Fault]]="NA","",(TA[[#This Row],[Fault Acknowledgement Time ]]-TA[[#This Row],[Fault Time]])*24)</f>
        <v>0</v>
      </c>
      <c r="AB232" s="27">
        <f>(TA[[#This Row],[Work Start time on Fault]]-TA[[#This Row],[Fault Time]])*24</f>
        <v>0</v>
      </c>
      <c r="AC232" s="26">
        <f>(TA[[#This Row],[Work Completion time on fault]]-TA[[#This Row],[Fault Time]])*24</f>
        <v>0</v>
      </c>
      <c r="AD232" s="27">
        <f>IFERROR((TA[[#This Row],[Work Completion time on fault]]-TA[[#This Row],[Fault Time]])*24,"")</f>
        <v>0</v>
      </c>
      <c r="AE232" t="s">
        <v>319</v>
      </c>
      <c r="AF232" t="s">
        <v>247</v>
      </c>
      <c r="AG232" s="2"/>
      <c r="AH232" s="35">
        <f>1-COS(RADIANS(TA[[#This Row],[Avg. Target Angle during Fault Time (Radians)]]-TA[[#This Row],[Angle of affected equipment ]]))</f>
        <v>0.11705240714107301</v>
      </c>
      <c r="AI232" s="27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43">
        <f t="shared" si="11"/>
        <v>2026</v>
      </c>
      <c r="C233" s="116">
        <f t="shared" si="12"/>
        <v>2025</v>
      </c>
      <c r="D233" s="2" t="s">
        <v>155</v>
      </c>
      <c r="E233" s="2" t="s">
        <v>155</v>
      </c>
      <c r="F233" s="30">
        <v>45748</v>
      </c>
      <c r="G233" s="2">
        <f>DAY(EOMONTH(TA[[#This Row],[Month Year]],0))</f>
        <v>30</v>
      </c>
      <c r="H233" s="21">
        <v>45760</v>
      </c>
      <c r="I233" s="32">
        <f>IFERROR(VLOOKUP(TA[[#This Row],[Date]],Raw_Data[[Date]:[Sunset Time (POA&lt;20 W/m2)]],3,0),"")</f>
        <v>0.26111111111111113</v>
      </c>
      <c r="J233" s="32">
        <f>IFERROR(VLOOKUP(TA[[#This Row],[Date]],Raw_Data[[Date]:[Sunset Time (POA&lt;20 W/m2)]],4,0),"")</f>
        <v>0.76388888888888884</v>
      </c>
      <c r="K233" s="27">
        <f>IFERROR((TA[[#This Row],[Sunset Time (POA&lt;20 W/m2)]]-TA[[#This Row],[Sunrise Time (POA&gt;20 W/m2)]])*24,"")</f>
        <v>12.066666666666666</v>
      </c>
      <c r="L233" s="2" t="s">
        <v>287</v>
      </c>
      <c r="M233" s="33">
        <f>IFERROR(VLOOKUP(TA[[#This Row],[Affected Equipment]],'Basic Data'!$I$2:$K$40,3,0),"")</f>
        <v>8.6206896551724102E-3</v>
      </c>
      <c r="N233">
        <v>-28</v>
      </c>
      <c r="O233" t="s">
        <v>135</v>
      </c>
      <c r="P233" s="114" t="s">
        <v>309</v>
      </c>
      <c r="Q233" s="2" t="s">
        <v>312</v>
      </c>
      <c r="R233">
        <v>133</v>
      </c>
      <c r="S233" s="2">
        <v>26</v>
      </c>
      <c r="T233" t="s">
        <v>288</v>
      </c>
      <c r="U233" t="s">
        <v>291</v>
      </c>
      <c r="V233" t="s">
        <v>305</v>
      </c>
      <c r="W233" s="32"/>
      <c r="X233" s="32"/>
      <c r="Y233" s="26"/>
      <c r="Z233" s="26"/>
      <c r="AA233" s="27">
        <f>IF(TA[[#This Row],[Work Start time on Fault]]="NA","",(TA[[#This Row],[Fault Acknowledgement Time ]]-TA[[#This Row],[Fault Time]])*24)</f>
        <v>0</v>
      </c>
      <c r="AB233" s="27">
        <f>(TA[[#This Row],[Work Start time on Fault]]-TA[[#This Row],[Fault Time]])*24</f>
        <v>0</v>
      </c>
      <c r="AC233" s="26">
        <f>(TA[[#This Row],[Work Completion time on fault]]-TA[[#This Row],[Fault Time]])*24</f>
        <v>0</v>
      </c>
      <c r="AD233" s="27">
        <f>IFERROR((TA[[#This Row],[Work Completion time on fault]]-TA[[#This Row],[Fault Time]])*24,"")</f>
        <v>0</v>
      </c>
      <c r="AE233" t="s">
        <v>319</v>
      </c>
      <c r="AF233" t="s">
        <v>247</v>
      </c>
      <c r="AG233" s="2"/>
      <c r="AH233" s="35">
        <f>1-COS(RADIANS(TA[[#This Row],[Avg. Target Angle during Fault Time (Radians)]]-TA[[#This Row],[Angle of affected equipment ]]))</f>
        <v>0.11705240714107301</v>
      </c>
      <c r="AI233" s="27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43">
        <f t="shared" si="11"/>
        <v>2026</v>
      </c>
      <c r="C234" s="116">
        <f t="shared" si="12"/>
        <v>2025</v>
      </c>
      <c r="D234" s="2" t="s">
        <v>155</v>
      </c>
      <c r="E234" s="2" t="s">
        <v>155</v>
      </c>
      <c r="F234" s="30">
        <v>45748</v>
      </c>
      <c r="G234" s="2">
        <f>DAY(EOMONTH(TA[[#This Row],[Month Year]],0))</f>
        <v>30</v>
      </c>
      <c r="H234" s="21">
        <v>45760</v>
      </c>
      <c r="I234" s="32">
        <f>IFERROR(VLOOKUP(TA[[#This Row],[Date]],Raw_Data[[Date]:[Sunset Time (POA&lt;20 W/m2)]],3,0),"")</f>
        <v>0.26111111111111113</v>
      </c>
      <c r="J234" s="32">
        <f>IFERROR(VLOOKUP(TA[[#This Row],[Date]],Raw_Data[[Date]:[Sunset Time (POA&lt;20 W/m2)]],4,0),"")</f>
        <v>0.76388888888888884</v>
      </c>
      <c r="K234" s="27">
        <f>IFERROR((TA[[#This Row],[Sunset Time (POA&lt;20 W/m2)]]-TA[[#This Row],[Sunrise Time (POA&gt;20 W/m2)]])*24,"")</f>
        <v>12.066666666666666</v>
      </c>
      <c r="L234" s="2" t="s">
        <v>285</v>
      </c>
      <c r="M234" s="33">
        <f>IFERROR(VLOOKUP(TA[[#This Row],[Affected Equipment]],'Basic Data'!$I$2:$K$40,3,0),"")</f>
        <v>1.7241379310344799E-3</v>
      </c>
      <c r="N234">
        <v>-28</v>
      </c>
      <c r="O234" t="s">
        <v>133</v>
      </c>
      <c r="P234" s="114" t="s">
        <v>307</v>
      </c>
      <c r="Q234" s="113" t="s">
        <v>308</v>
      </c>
      <c r="R234">
        <v>7</v>
      </c>
      <c r="S234" s="2">
        <v>32</v>
      </c>
      <c r="T234" t="s">
        <v>286</v>
      </c>
      <c r="U234" t="s">
        <v>291</v>
      </c>
      <c r="V234" t="s">
        <v>289</v>
      </c>
      <c r="W234" s="32"/>
      <c r="X234" s="32"/>
      <c r="Y234" s="26"/>
      <c r="Z234" s="26"/>
      <c r="AA234" s="27">
        <f>IF(TA[[#This Row],[Work Start time on Fault]]="NA","",(TA[[#This Row],[Fault Acknowledgement Time ]]-TA[[#This Row],[Fault Time]])*24)</f>
        <v>0</v>
      </c>
      <c r="AB234" s="27">
        <f>(TA[[#This Row],[Work Start time on Fault]]-TA[[#This Row],[Fault Time]])*24</f>
        <v>0</v>
      </c>
      <c r="AC234" s="26">
        <f>(TA[[#This Row],[Work Completion time on fault]]-TA[[#This Row],[Fault Time]])*24</f>
        <v>0</v>
      </c>
      <c r="AD234" s="27">
        <f>IFERROR((TA[[#This Row],[Work Completion time on fault]]-TA[[#This Row],[Fault Time]])*24,"")</f>
        <v>0</v>
      </c>
      <c r="AE234" t="s">
        <v>319</v>
      </c>
      <c r="AF234" t="s">
        <v>247</v>
      </c>
      <c r="AG234" s="2"/>
      <c r="AH234" s="35">
        <f>1-COS(RADIANS(TA[[#This Row],[Avg. Target Angle during Fault Time (Radians)]]-TA[[#This Row],[Angle of affected equipment ]]))</f>
        <v>0.11705240714107301</v>
      </c>
      <c r="AI234" s="27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43">
        <f t="shared" si="11"/>
        <v>2026</v>
      </c>
      <c r="C235" s="116">
        <f t="shared" si="12"/>
        <v>2025</v>
      </c>
      <c r="D235" s="2" t="s">
        <v>155</v>
      </c>
      <c r="E235" s="2" t="s">
        <v>155</v>
      </c>
      <c r="F235" s="30">
        <v>45748</v>
      </c>
      <c r="G235" s="2">
        <f>DAY(EOMONTH(TA[[#This Row],[Month Year]],0))</f>
        <v>30</v>
      </c>
      <c r="H235" s="21">
        <v>45760</v>
      </c>
      <c r="I235" s="32">
        <f>IFERROR(VLOOKUP(TA[[#This Row],[Date]],Raw_Data[[Date]:[Sunset Time (POA&lt;20 W/m2)]],3,0),"")</f>
        <v>0.26111111111111113</v>
      </c>
      <c r="J235" s="32">
        <f>IFERROR(VLOOKUP(TA[[#This Row],[Date]],Raw_Data[[Date]:[Sunset Time (POA&lt;20 W/m2)]],4,0),"")</f>
        <v>0.76388888888888884</v>
      </c>
      <c r="K235" s="27">
        <f>IFERROR((TA[[#This Row],[Sunset Time (POA&lt;20 W/m2)]]-TA[[#This Row],[Sunrise Time (POA&gt;20 W/m2)]])*24,"")</f>
        <v>12.066666666666666</v>
      </c>
      <c r="L235" s="2" t="s">
        <v>285</v>
      </c>
      <c r="M235" s="33">
        <f>IFERROR(VLOOKUP(TA[[#This Row],[Affected Equipment]],'Basic Data'!$I$2:$K$40,3,0),"")</f>
        <v>1.7241379310344799E-3</v>
      </c>
      <c r="N235">
        <v>-28</v>
      </c>
      <c r="O235" t="s">
        <v>137</v>
      </c>
      <c r="P235" s="114" t="s">
        <v>306</v>
      </c>
      <c r="Q235" s="113" t="s">
        <v>310</v>
      </c>
      <c r="R235">
        <v>166</v>
      </c>
      <c r="S235" s="2">
        <v>91</v>
      </c>
      <c r="T235" t="s">
        <v>286</v>
      </c>
      <c r="U235" t="s">
        <v>291</v>
      </c>
      <c r="V235" t="s">
        <v>289</v>
      </c>
      <c r="W235" s="32"/>
      <c r="X235" s="32"/>
      <c r="Y235" s="26"/>
      <c r="Z235" s="26"/>
      <c r="AA235" s="27">
        <f>IF(TA[[#This Row],[Work Start time on Fault]]="NA","",(TA[[#This Row],[Fault Acknowledgement Time ]]-TA[[#This Row],[Fault Time]])*24)</f>
        <v>0</v>
      </c>
      <c r="AB235" s="27">
        <f>(TA[[#This Row],[Work Start time on Fault]]-TA[[#This Row],[Fault Time]])*24</f>
        <v>0</v>
      </c>
      <c r="AC235" s="26">
        <f>(TA[[#This Row],[Work Completion time on fault]]-TA[[#This Row],[Fault Time]])*24</f>
        <v>0</v>
      </c>
      <c r="AD235" s="27">
        <f>IFERROR((TA[[#This Row],[Work Completion time on fault]]-TA[[#This Row],[Fault Time]])*24,"")</f>
        <v>0</v>
      </c>
      <c r="AE235" t="s">
        <v>319</v>
      </c>
      <c r="AF235" t="s">
        <v>247</v>
      </c>
      <c r="AG235" s="2"/>
      <c r="AH235" s="35">
        <f>1-COS(RADIANS(TA[[#This Row],[Avg. Target Angle during Fault Time (Radians)]]-TA[[#This Row],[Angle of affected equipment ]]))</f>
        <v>0.11705240714107301</v>
      </c>
      <c r="AI235" s="27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43">
        <f t="shared" si="11"/>
        <v>2026</v>
      </c>
      <c r="C236" s="116">
        <f t="shared" si="12"/>
        <v>2025</v>
      </c>
      <c r="D236" s="2" t="s">
        <v>155</v>
      </c>
      <c r="E236" s="2" t="s">
        <v>155</v>
      </c>
      <c r="F236" s="30">
        <v>45748</v>
      </c>
      <c r="G236" s="2">
        <f>DAY(EOMONTH(TA[[#This Row],[Month Year]],0))</f>
        <v>30</v>
      </c>
      <c r="H236" s="21">
        <v>45760</v>
      </c>
      <c r="I236" s="32">
        <f>IFERROR(VLOOKUP(TA[[#This Row],[Date]],Raw_Data[[Date]:[Sunset Time (POA&lt;20 W/m2)]],3,0),"")</f>
        <v>0.26111111111111113</v>
      </c>
      <c r="J236" s="32">
        <f>IFERROR(VLOOKUP(TA[[#This Row],[Date]],Raw_Data[[Date]:[Sunset Time (POA&lt;20 W/m2)]],4,0),"")</f>
        <v>0.76388888888888884</v>
      </c>
      <c r="K236" s="27">
        <f>IFERROR((TA[[#This Row],[Sunset Time (POA&lt;20 W/m2)]]-TA[[#This Row],[Sunrise Time (POA&gt;20 W/m2)]])*24,"")</f>
        <v>12.066666666666666</v>
      </c>
      <c r="L236" s="2" t="s">
        <v>285</v>
      </c>
      <c r="M236" s="33">
        <f>IFERROR(VLOOKUP(TA[[#This Row],[Affected Equipment]],'Basic Data'!$I$2:$K$40,3,0),"")</f>
        <v>1.7241379310344799E-3</v>
      </c>
      <c r="N236">
        <v>-28</v>
      </c>
      <c r="O236" t="s">
        <v>133</v>
      </c>
      <c r="P236" s="114" t="s">
        <v>307</v>
      </c>
      <c r="Q236" s="113" t="s">
        <v>307</v>
      </c>
      <c r="R236">
        <v>117</v>
      </c>
      <c r="S236" s="2">
        <v>20</v>
      </c>
      <c r="T236" t="s">
        <v>286</v>
      </c>
      <c r="U236" t="s">
        <v>291</v>
      </c>
      <c r="V236" t="s">
        <v>289</v>
      </c>
      <c r="W236" s="32"/>
      <c r="X236" s="32"/>
      <c r="Y236" s="26"/>
      <c r="Z236" s="26"/>
      <c r="AA236" s="27">
        <f>IF(TA[[#This Row],[Work Start time on Fault]]="NA","",(TA[[#This Row],[Fault Acknowledgement Time ]]-TA[[#This Row],[Fault Time]])*24)</f>
        <v>0</v>
      </c>
      <c r="AB236" s="27">
        <f>(TA[[#This Row],[Work Start time on Fault]]-TA[[#This Row],[Fault Time]])*24</f>
        <v>0</v>
      </c>
      <c r="AC236" s="26">
        <f>(TA[[#This Row],[Work Completion time on fault]]-TA[[#This Row],[Fault Time]])*24</f>
        <v>0</v>
      </c>
      <c r="AD236" s="27">
        <f>IFERROR((TA[[#This Row],[Work Completion time on fault]]-TA[[#This Row],[Fault Time]])*24,"")</f>
        <v>0</v>
      </c>
      <c r="AE236" t="s">
        <v>319</v>
      </c>
      <c r="AF236" t="s">
        <v>247</v>
      </c>
      <c r="AG236" s="2"/>
      <c r="AH236" s="35">
        <f>1-COS(RADIANS(TA[[#This Row],[Avg. Target Angle during Fault Time (Radians)]]-TA[[#This Row],[Angle of affected equipment ]]))</f>
        <v>0.11705240714107301</v>
      </c>
      <c r="AI236" s="27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43">
        <f t="shared" si="11"/>
        <v>2026</v>
      </c>
      <c r="C237" s="116">
        <f t="shared" si="12"/>
        <v>2025</v>
      </c>
      <c r="D237" s="2" t="s">
        <v>155</v>
      </c>
      <c r="E237" s="2" t="s">
        <v>155</v>
      </c>
      <c r="F237" s="30">
        <v>45748</v>
      </c>
      <c r="G237" s="2">
        <f>DAY(EOMONTH(TA[[#This Row],[Month Year]],0))</f>
        <v>30</v>
      </c>
      <c r="H237" s="21">
        <v>45760</v>
      </c>
      <c r="I237" s="32">
        <f>IFERROR(VLOOKUP(TA[[#This Row],[Date]],Raw_Data[[Date]:[Sunset Time (POA&lt;20 W/m2)]],3,0),"")</f>
        <v>0.26111111111111113</v>
      </c>
      <c r="J237" s="32">
        <f>IFERROR(VLOOKUP(TA[[#This Row],[Date]],Raw_Data[[Date]:[Sunset Time (POA&lt;20 W/m2)]],4,0),"")</f>
        <v>0.76388888888888884</v>
      </c>
      <c r="K237" s="27">
        <f>IFERROR((TA[[#This Row],[Sunset Time (POA&lt;20 W/m2)]]-TA[[#This Row],[Sunrise Time (POA&gt;20 W/m2)]])*24,"")</f>
        <v>12.066666666666666</v>
      </c>
      <c r="L237" s="2" t="s">
        <v>285</v>
      </c>
      <c r="M237" s="33">
        <f>IFERROR(VLOOKUP(TA[[#This Row],[Affected Equipment]],'Basic Data'!$I$2:$K$40,3,0),"")</f>
        <v>1.7241379310344799E-3</v>
      </c>
      <c r="N237">
        <v>-28</v>
      </c>
      <c r="O237" t="s">
        <v>133</v>
      </c>
      <c r="P237" s="114" t="s">
        <v>307</v>
      </c>
      <c r="Q237" s="113" t="s">
        <v>307</v>
      </c>
      <c r="R237">
        <v>118</v>
      </c>
      <c r="S237" s="2">
        <v>22</v>
      </c>
      <c r="T237" t="s">
        <v>286</v>
      </c>
      <c r="U237" t="s">
        <v>291</v>
      </c>
      <c r="V237" t="s">
        <v>289</v>
      </c>
      <c r="W237" s="32"/>
      <c r="X237" s="32"/>
      <c r="Y237" s="26"/>
      <c r="Z237" s="26"/>
      <c r="AA237" s="27">
        <f>IF(TA[[#This Row],[Work Start time on Fault]]="NA","",(TA[[#This Row],[Fault Acknowledgement Time ]]-TA[[#This Row],[Fault Time]])*24)</f>
        <v>0</v>
      </c>
      <c r="AB237" s="27">
        <f>(TA[[#This Row],[Work Start time on Fault]]-TA[[#This Row],[Fault Time]])*24</f>
        <v>0</v>
      </c>
      <c r="AC237" s="26">
        <f>(TA[[#This Row],[Work Completion time on fault]]-TA[[#This Row],[Fault Time]])*24</f>
        <v>0</v>
      </c>
      <c r="AD237" s="27">
        <f>IFERROR((TA[[#This Row],[Work Completion time on fault]]-TA[[#This Row],[Fault Time]])*24,"")</f>
        <v>0</v>
      </c>
      <c r="AE237" t="s">
        <v>319</v>
      </c>
      <c r="AF237" t="s">
        <v>247</v>
      </c>
      <c r="AG237" s="2"/>
      <c r="AH237" s="35">
        <f>1-COS(RADIANS(TA[[#This Row],[Avg. Target Angle during Fault Time (Radians)]]-TA[[#This Row],[Angle of affected equipment ]]))</f>
        <v>0.11705240714107301</v>
      </c>
      <c r="AI237" s="27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43">
        <f t="shared" si="11"/>
        <v>2026</v>
      </c>
      <c r="C238" s="116">
        <f t="shared" si="12"/>
        <v>2025</v>
      </c>
      <c r="D238" s="2" t="s">
        <v>155</v>
      </c>
      <c r="E238" s="2" t="s">
        <v>155</v>
      </c>
      <c r="F238" s="30">
        <v>45748</v>
      </c>
      <c r="G238" s="2">
        <f>DAY(EOMONTH(TA[[#This Row],[Month Year]],0))</f>
        <v>30</v>
      </c>
      <c r="H238" s="21">
        <v>45760</v>
      </c>
      <c r="I238" s="32">
        <f>IFERROR(VLOOKUP(TA[[#This Row],[Date]],Raw_Data[[Date]:[Sunset Time (POA&lt;20 W/m2)]],3,0),"")</f>
        <v>0.26111111111111113</v>
      </c>
      <c r="J238" s="32">
        <f>IFERROR(VLOOKUP(TA[[#This Row],[Date]],Raw_Data[[Date]:[Sunset Time (POA&lt;20 W/m2)]],4,0),"")</f>
        <v>0.76388888888888884</v>
      </c>
      <c r="K238" s="27">
        <f>IFERROR((TA[[#This Row],[Sunset Time (POA&lt;20 W/m2)]]-TA[[#This Row],[Sunrise Time (POA&gt;20 W/m2)]])*24,"")</f>
        <v>12.066666666666666</v>
      </c>
      <c r="L238" s="2" t="s">
        <v>287</v>
      </c>
      <c r="M238" s="33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314</v>
      </c>
      <c r="Q238" s="2" t="s">
        <v>320</v>
      </c>
      <c r="R238">
        <v>45</v>
      </c>
      <c r="S238" s="2">
        <v>8</v>
      </c>
      <c r="T238" t="s">
        <v>288</v>
      </c>
      <c r="U238" t="s">
        <v>317</v>
      </c>
      <c r="V238" t="s">
        <v>292</v>
      </c>
      <c r="W238" s="32">
        <f>IFERROR(VLOOKUP(TA[[#This Row],[Date]],Raw_Data[[Date]:[Sunset Time (POA&lt;20 W/m2)]],3,0),"")</f>
        <v>0.26111111111111113</v>
      </c>
      <c r="X238" s="32">
        <f>IFERROR(VLOOKUP(TA[[#This Row],[Date]],Raw_Data[[Date]:[Sunset Time (POA&lt;20 W/m2)]],3,0),"")</f>
        <v>0.26111111111111113</v>
      </c>
      <c r="Y238" s="26"/>
      <c r="Z238" s="26">
        <v>0.76041666666666663</v>
      </c>
      <c r="AA238" s="27">
        <f>IF(TA[[#This Row],[Work Start time on Fault]]="NA","",(TA[[#This Row],[Fault Acknowledgement Time ]]-TA[[#This Row],[Fault Time]])*24)</f>
        <v>0</v>
      </c>
      <c r="AB238" s="27">
        <f>(TA[[#This Row],[Work Start time on Fault]]-TA[[#This Row],[Fault Time]])*24</f>
        <v>-6.2666666666666675</v>
      </c>
      <c r="AC238" s="26">
        <f>(TA[[#This Row],[Work Completion time on fault]]-TA[[#This Row],[Fault Time]])*24</f>
        <v>11.983333333333333</v>
      </c>
      <c r="AD238" s="27">
        <f>IFERROR((TA[[#This Row],[Work Completion time on fault]]-TA[[#This Row],[Fault Time]])*24,"")</f>
        <v>11.983333333333333</v>
      </c>
      <c r="AE238" t="s">
        <v>300</v>
      </c>
      <c r="AF238" t="s">
        <v>247</v>
      </c>
      <c r="AG238" s="2"/>
      <c r="AH238" s="35">
        <f>1-COS(RADIANS(TA[[#This Row],[Avg. Target Angle during Fault Time (Radians)]]-TA[[#This Row],[Angle of affected equipment ]]))</f>
        <v>0.11705240714107301</v>
      </c>
      <c r="AI238" s="27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43">
        <f t="shared" si="11"/>
        <v>2026</v>
      </c>
      <c r="C239" s="116">
        <f t="shared" si="12"/>
        <v>2025</v>
      </c>
      <c r="D239" s="2" t="s">
        <v>155</v>
      </c>
      <c r="E239" s="2" t="s">
        <v>155</v>
      </c>
      <c r="F239" s="30">
        <v>45748</v>
      </c>
      <c r="G239" s="2">
        <f>DAY(EOMONTH(TA[[#This Row],[Month Year]],0))</f>
        <v>30</v>
      </c>
      <c r="H239" s="21">
        <v>45760</v>
      </c>
      <c r="I239" s="32">
        <f>IFERROR(VLOOKUP(TA[[#This Row],[Date]],Raw_Data[[Date]:[Sunset Time (POA&lt;20 W/m2)]],3,0),"")</f>
        <v>0.26111111111111113</v>
      </c>
      <c r="J239" s="32">
        <f>IFERROR(VLOOKUP(TA[[#This Row],[Date]],Raw_Data[[Date]:[Sunset Time (POA&lt;20 W/m2)]],4,0),"")</f>
        <v>0.76388888888888884</v>
      </c>
      <c r="K239" s="27">
        <f>IFERROR((TA[[#This Row],[Sunset Time (POA&lt;20 W/m2)]]-TA[[#This Row],[Sunrise Time (POA&gt;20 W/m2)]])*24,"")</f>
        <v>12.066666666666666</v>
      </c>
      <c r="L239" s="2" t="s">
        <v>287</v>
      </c>
      <c r="M239" s="33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314</v>
      </c>
      <c r="Q239" s="2" t="s">
        <v>320</v>
      </c>
      <c r="R239">
        <v>47</v>
      </c>
      <c r="S239" s="2">
        <v>18</v>
      </c>
      <c r="T239" t="s">
        <v>288</v>
      </c>
      <c r="U239" t="s">
        <v>317</v>
      </c>
      <c r="V239" t="s">
        <v>292</v>
      </c>
      <c r="W239" s="32">
        <f>IFERROR(VLOOKUP(TA[[#This Row],[Date]],Raw_Data[[Date]:[Sunset Time (POA&lt;20 W/m2)]],3,0),"")</f>
        <v>0.26111111111111113</v>
      </c>
      <c r="X239" s="32">
        <f>IFERROR(VLOOKUP(TA[[#This Row],[Date]],Raw_Data[[Date]:[Sunset Time (POA&lt;20 W/m2)]],3,0),"")</f>
        <v>0.26111111111111113</v>
      </c>
      <c r="Y239" s="26"/>
      <c r="Z239" s="26">
        <v>0.76041666666666663</v>
      </c>
      <c r="AA239" s="27">
        <f>IF(TA[[#This Row],[Work Start time on Fault]]="NA","",(TA[[#This Row],[Fault Acknowledgement Time ]]-TA[[#This Row],[Fault Time]])*24)</f>
        <v>0</v>
      </c>
      <c r="AB239" s="27">
        <f>(TA[[#This Row],[Work Start time on Fault]]-TA[[#This Row],[Fault Time]])*24</f>
        <v>-6.2666666666666675</v>
      </c>
      <c r="AC239" s="26">
        <f>(TA[[#This Row],[Work Completion time on fault]]-TA[[#This Row],[Fault Time]])*24</f>
        <v>11.983333333333333</v>
      </c>
      <c r="AD239" s="27">
        <f>IFERROR((TA[[#This Row],[Work Completion time on fault]]-TA[[#This Row],[Fault Time]])*24,"")</f>
        <v>11.983333333333333</v>
      </c>
      <c r="AE239" t="s">
        <v>300</v>
      </c>
      <c r="AF239" t="s">
        <v>247</v>
      </c>
      <c r="AG239" s="2"/>
      <c r="AH239" s="35">
        <f>1-COS(RADIANS(TA[[#This Row],[Avg. Target Angle during Fault Time (Radians)]]-TA[[#This Row],[Angle of affected equipment ]]))</f>
        <v>0.11705240714107301</v>
      </c>
      <c r="AI239" s="27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43">
        <f t="shared" si="11"/>
        <v>2026</v>
      </c>
      <c r="C240" s="116">
        <f t="shared" si="12"/>
        <v>2025</v>
      </c>
      <c r="D240" s="2" t="s">
        <v>155</v>
      </c>
      <c r="E240" s="2" t="s">
        <v>155</v>
      </c>
      <c r="F240" s="30">
        <v>45748</v>
      </c>
      <c r="G240" s="2">
        <f>DAY(EOMONTH(TA[[#This Row],[Month Year]],0))</f>
        <v>30</v>
      </c>
      <c r="H240" s="21">
        <v>45760</v>
      </c>
      <c r="I240" s="32">
        <f>IFERROR(VLOOKUP(TA[[#This Row],[Date]],Raw_Data[[Date]:[Sunset Time (POA&lt;20 W/m2)]],3,0),"")</f>
        <v>0.26111111111111113</v>
      </c>
      <c r="J240" s="32">
        <f>IFERROR(VLOOKUP(TA[[#This Row],[Date]],Raw_Data[[Date]:[Sunset Time (POA&lt;20 W/m2)]],4,0),"")</f>
        <v>0.76388888888888884</v>
      </c>
      <c r="K240" s="27">
        <f>IFERROR((TA[[#This Row],[Sunset Time (POA&lt;20 W/m2)]]-TA[[#This Row],[Sunrise Time (POA&gt;20 W/m2)]])*24,"")</f>
        <v>12.066666666666666</v>
      </c>
      <c r="L240" s="2" t="s">
        <v>287</v>
      </c>
      <c r="M240" s="33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321</v>
      </c>
      <c r="Q240" s="2" t="s">
        <v>314</v>
      </c>
      <c r="R240">
        <v>30</v>
      </c>
      <c r="S240" s="2">
        <v>57</v>
      </c>
      <c r="T240" t="s">
        <v>288</v>
      </c>
      <c r="U240" t="s">
        <v>317</v>
      </c>
      <c r="V240" t="s">
        <v>292</v>
      </c>
      <c r="W240" s="32">
        <f>IFERROR(VLOOKUP(TA[[#This Row],[Date]],Raw_Data[[Date]:[Sunset Time (POA&lt;20 W/m2)]],3,0),"")</f>
        <v>0.26111111111111113</v>
      </c>
      <c r="X240" s="32">
        <f>IFERROR(VLOOKUP(TA[[#This Row],[Date]],Raw_Data[[Date]:[Sunset Time (POA&lt;20 W/m2)]],3,0),"")</f>
        <v>0.26111111111111113</v>
      </c>
      <c r="Y240" s="26"/>
      <c r="Z240" s="26">
        <v>0.76041666666666663</v>
      </c>
      <c r="AA240" s="27">
        <f>IF(TA[[#This Row],[Work Start time on Fault]]="NA","",(TA[[#This Row],[Fault Acknowledgement Time ]]-TA[[#This Row],[Fault Time]])*24)</f>
        <v>0</v>
      </c>
      <c r="AB240" s="27">
        <f>(TA[[#This Row],[Work Start time on Fault]]-TA[[#This Row],[Fault Time]])*24</f>
        <v>-6.2666666666666675</v>
      </c>
      <c r="AC240" s="26">
        <f>(TA[[#This Row],[Work Completion time on fault]]-TA[[#This Row],[Fault Time]])*24</f>
        <v>11.983333333333333</v>
      </c>
      <c r="AD240" s="27">
        <f>IFERROR((TA[[#This Row],[Work Completion time on fault]]-TA[[#This Row],[Fault Time]])*24,"")</f>
        <v>11.983333333333333</v>
      </c>
      <c r="AE240" t="s">
        <v>300</v>
      </c>
      <c r="AF240" t="s">
        <v>247</v>
      </c>
      <c r="AG240" s="2"/>
      <c r="AH240" s="35">
        <f>1-COS(RADIANS(TA[[#This Row],[Avg. Target Angle during Fault Time (Radians)]]-TA[[#This Row],[Angle of affected equipment ]]))</f>
        <v>0.11705240714107301</v>
      </c>
      <c r="AI240" s="27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43">
        <f t="shared" si="11"/>
        <v>2026</v>
      </c>
      <c r="C241" s="116">
        <f t="shared" si="12"/>
        <v>2025</v>
      </c>
      <c r="D241" s="2" t="s">
        <v>155</v>
      </c>
      <c r="E241" s="2" t="s">
        <v>155</v>
      </c>
      <c r="F241" s="30">
        <v>45748</v>
      </c>
      <c r="G241" s="2">
        <f>DAY(EOMONTH(TA[[#This Row],[Month Year]],0))</f>
        <v>30</v>
      </c>
      <c r="H241" s="21">
        <v>45760</v>
      </c>
      <c r="I241" s="32">
        <f>IFERROR(VLOOKUP(TA[[#This Row],[Date]],Raw_Data[[Date]:[Sunset Time (POA&lt;20 W/m2)]],3,0),"")</f>
        <v>0.26111111111111113</v>
      </c>
      <c r="J241" s="32">
        <f>IFERROR(VLOOKUP(TA[[#This Row],[Date]],Raw_Data[[Date]:[Sunset Time (POA&lt;20 W/m2)]],4,0),"")</f>
        <v>0.76388888888888884</v>
      </c>
      <c r="K241" s="27">
        <f>IFERROR((TA[[#This Row],[Sunset Time (POA&lt;20 W/m2)]]-TA[[#This Row],[Sunrise Time (POA&gt;20 W/m2)]])*24,"")</f>
        <v>12.066666666666666</v>
      </c>
      <c r="L241" s="2" t="s">
        <v>287</v>
      </c>
      <c r="M241" s="33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321</v>
      </c>
      <c r="Q241" s="2" t="s">
        <v>314</v>
      </c>
      <c r="R241">
        <v>31</v>
      </c>
      <c r="S241" s="2">
        <v>61</v>
      </c>
      <c r="T241" t="s">
        <v>288</v>
      </c>
      <c r="U241" t="s">
        <v>317</v>
      </c>
      <c r="V241" t="s">
        <v>292</v>
      </c>
      <c r="W241" s="32">
        <f>IFERROR(VLOOKUP(TA[[#This Row],[Date]],Raw_Data[[Date]:[Sunset Time (POA&lt;20 W/m2)]],3,0),"")</f>
        <v>0.26111111111111113</v>
      </c>
      <c r="X241" s="32">
        <f>IFERROR(VLOOKUP(TA[[#This Row],[Date]],Raw_Data[[Date]:[Sunset Time (POA&lt;20 W/m2)]],3,0),"")</f>
        <v>0.26111111111111113</v>
      </c>
      <c r="Y241" s="26"/>
      <c r="Z241" s="26">
        <v>0.76041666666666663</v>
      </c>
      <c r="AA241" s="27">
        <f>IF(TA[[#This Row],[Work Start time on Fault]]="NA","",(TA[[#This Row],[Fault Acknowledgement Time ]]-TA[[#This Row],[Fault Time]])*24)</f>
        <v>0</v>
      </c>
      <c r="AB241" s="27">
        <f>(TA[[#This Row],[Work Start time on Fault]]-TA[[#This Row],[Fault Time]])*24</f>
        <v>-6.2666666666666675</v>
      </c>
      <c r="AC241" s="26">
        <f>(TA[[#This Row],[Work Completion time on fault]]-TA[[#This Row],[Fault Time]])*24</f>
        <v>11.983333333333333</v>
      </c>
      <c r="AD241" s="27">
        <f>IFERROR((TA[[#This Row],[Work Completion time on fault]]-TA[[#This Row],[Fault Time]])*24,"")</f>
        <v>11.983333333333333</v>
      </c>
      <c r="AE241" t="s">
        <v>300</v>
      </c>
      <c r="AF241" t="s">
        <v>247</v>
      </c>
      <c r="AG241" s="2"/>
      <c r="AH241" s="35">
        <f>1-COS(RADIANS(TA[[#This Row],[Avg. Target Angle during Fault Time (Radians)]]-TA[[#This Row],[Angle of affected equipment ]]))</f>
        <v>0.11705240714107301</v>
      </c>
      <c r="AI241" s="27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43">
        <f t="shared" si="11"/>
        <v>2026</v>
      </c>
      <c r="C242" s="116">
        <f t="shared" si="12"/>
        <v>2025</v>
      </c>
      <c r="D242" s="2" t="s">
        <v>155</v>
      </c>
      <c r="E242" s="2" t="s">
        <v>155</v>
      </c>
      <c r="F242" s="30">
        <v>45748</v>
      </c>
      <c r="G242" s="2">
        <f>DAY(EOMONTH(TA[[#This Row],[Month Year]],0))</f>
        <v>30</v>
      </c>
      <c r="H242" s="21">
        <v>45760</v>
      </c>
      <c r="I242" s="32">
        <f>IFERROR(VLOOKUP(TA[[#This Row],[Date]],Raw_Data[[Date]:[Sunset Time (POA&lt;20 W/m2)]],3,0),"")</f>
        <v>0.26111111111111113</v>
      </c>
      <c r="J242" s="32">
        <f>IFERROR(VLOOKUP(TA[[#This Row],[Date]],Raw_Data[[Date]:[Sunset Time (POA&lt;20 W/m2)]],4,0),"")</f>
        <v>0.76388888888888884</v>
      </c>
      <c r="K242" s="27">
        <f>IFERROR((TA[[#This Row],[Sunset Time (POA&lt;20 W/m2)]]-TA[[#This Row],[Sunrise Time (POA&gt;20 W/m2)]])*24,"")</f>
        <v>12.066666666666666</v>
      </c>
      <c r="L242" s="2" t="s">
        <v>303</v>
      </c>
      <c r="M242" s="33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321</v>
      </c>
      <c r="Q242" s="2" t="s">
        <v>314</v>
      </c>
      <c r="R242">
        <v>26</v>
      </c>
      <c r="S242" s="2">
        <v>37</v>
      </c>
      <c r="T242" t="s">
        <v>288</v>
      </c>
      <c r="U242" t="s">
        <v>317</v>
      </c>
      <c r="V242" t="s">
        <v>292</v>
      </c>
      <c r="W242" s="32">
        <f>IFERROR(VLOOKUP(TA[[#This Row],[Date]],Raw_Data[[Date]:[Sunset Time (POA&lt;20 W/m2)]],3,0),"")</f>
        <v>0.26111111111111113</v>
      </c>
      <c r="X242" s="32">
        <f>IFERROR(VLOOKUP(TA[[#This Row],[Date]],Raw_Data[[Date]:[Sunset Time (POA&lt;20 W/m2)]],3,0),"")</f>
        <v>0.26111111111111113</v>
      </c>
      <c r="Y242" s="26"/>
      <c r="Z242" s="26">
        <v>0.76041666666666663</v>
      </c>
      <c r="AA242" s="27">
        <f>IF(TA[[#This Row],[Work Start time on Fault]]="NA","",(TA[[#This Row],[Fault Acknowledgement Time ]]-TA[[#This Row],[Fault Time]])*24)</f>
        <v>0</v>
      </c>
      <c r="AB242" s="27">
        <f>(TA[[#This Row],[Work Start time on Fault]]-TA[[#This Row],[Fault Time]])*24</f>
        <v>-6.2666666666666675</v>
      </c>
      <c r="AC242" s="26">
        <f>(TA[[#This Row],[Work Completion time on fault]]-TA[[#This Row],[Fault Time]])*24</f>
        <v>11.983333333333333</v>
      </c>
      <c r="AD242" s="27">
        <f>IFERROR((TA[[#This Row],[Work Completion time on fault]]-TA[[#This Row],[Fault Time]])*24,"")</f>
        <v>11.983333333333333</v>
      </c>
      <c r="AE242" t="s">
        <v>300</v>
      </c>
      <c r="AF242" t="s">
        <v>247</v>
      </c>
      <c r="AG242" s="2"/>
      <c r="AH242" s="35">
        <f>1-COS(RADIANS(TA[[#This Row],[Avg. Target Angle during Fault Time (Radians)]]-TA[[#This Row],[Angle of affected equipment ]]))</f>
        <v>0.11705240714107301</v>
      </c>
      <c r="AI242" s="27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43">
        <f t="shared" si="11"/>
        <v>2026</v>
      </c>
      <c r="C243" s="116">
        <f t="shared" si="12"/>
        <v>2025</v>
      </c>
      <c r="D243" s="2" t="s">
        <v>155</v>
      </c>
      <c r="E243" s="2" t="s">
        <v>155</v>
      </c>
      <c r="F243" s="30">
        <v>45748</v>
      </c>
      <c r="G243" s="2">
        <f>DAY(EOMONTH(TA[[#This Row],[Month Year]],0))</f>
        <v>30</v>
      </c>
      <c r="H243" s="21">
        <v>45760</v>
      </c>
      <c r="I243" s="32">
        <f>IFERROR(VLOOKUP(TA[[#This Row],[Date]],Raw_Data[[Date]:[Sunset Time (POA&lt;20 W/m2)]],3,0),"")</f>
        <v>0.26111111111111113</v>
      </c>
      <c r="J243" s="32">
        <f>IFERROR(VLOOKUP(TA[[#This Row],[Date]],Raw_Data[[Date]:[Sunset Time (POA&lt;20 W/m2)]],4,0),"")</f>
        <v>0.76388888888888884</v>
      </c>
      <c r="K243" s="27">
        <f>IFERROR((TA[[#This Row],[Sunset Time (POA&lt;20 W/m2)]]-TA[[#This Row],[Sunrise Time (POA&gt;20 W/m2)]])*24,"")</f>
        <v>12.066666666666666</v>
      </c>
      <c r="L243" s="2" t="s">
        <v>303</v>
      </c>
      <c r="M243" s="33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321</v>
      </c>
      <c r="Q243" s="2" t="s">
        <v>314</v>
      </c>
      <c r="R243">
        <v>27</v>
      </c>
      <c r="S243" s="2">
        <v>42</v>
      </c>
      <c r="T243" t="s">
        <v>288</v>
      </c>
      <c r="U243" t="s">
        <v>317</v>
      </c>
      <c r="V243" t="s">
        <v>292</v>
      </c>
      <c r="W243" s="32">
        <f>IFERROR(VLOOKUP(TA[[#This Row],[Date]],Raw_Data[[Date]:[Sunset Time (POA&lt;20 W/m2)]],3,0),"")</f>
        <v>0.26111111111111113</v>
      </c>
      <c r="X243" s="32">
        <f>IFERROR(VLOOKUP(TA[[#This Row],[Date]],Raw_Data[[Date]:[Sunset Time (POA&lt;20 W/m2)]],3,0),"")</f>
        <v>0.26111111111111113</v>
      </c>
      <c r="Y243" s="26"/>
      <c r="Z243" s="26">
        <v>0.76041666666666663</v>
      </c>
      <c r="AA243" s="27">
        <f>IF(TA[[#This Row],[Work Start time on Fault]]="NA","",(TA[[#This Row],[Fault Acknowledgement Time ]]-TA[[#This Row],[Fault Time]])*24)</f>
        <v>0</v>
      </c>
      <c r="AB243" s="27">
        <f>(TA[[#This Row],[Work Start time on Fault]]-TA[[#This Row],[Fault Time]])*24</f>
        <v>-6.2666666666666675</v>
      </c>
      <c r="AC243" s="26">
        <f>(TA[[#This Row],[Work Completion time on fault]]-TA[[#This Row],[Fault Time]])*24</f>
        <v>11.983333333333333</v>
      </c>
      <c r="AD243" s="27">
        <f>IFERROR((TA[[#This Row],[Work Completion time on fault]]-TA[[#This Row],[Fault Time]])*24,"")</f>
        <v>11.983333333333333</v>
      </c>
      <c r="AE243" t="s">
        <v>300</v>
      </c>
      <c r="AF243" t="s">
        <v>247</v>
      </c>
      <c r="AG243" s="2"/>
      <c r="AH243" s="35">
        <f>1-COS(RADIANS(TA[[#This Row],[Avg. Target Angle during Fault Time (Radians)]]-TA[[#This Row],[Angle of affected equipment ]]))</f>
        <v>0.11705240714107301</v>
      </c>
      <c r="AI243" s="27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43">
        <f t="shared" si="11"/>
        <v>2026</v>
      </c>
      <c r="C244" s="116">
        <f t="shared" si="12"/>
        <v>2025</v>
      </c>
      <c r="D244" s="2" t="s">
        <v>155</v>
      </c>
      <c r="E244" s="2" t="s">
        <v>155</v>
      </c>
      <c r="F244" s="30">
        <v>45748</v>
      </c>
      <c r="G244" s="2">
        <f>DAY(EOMONTH(TA[[#This Row],[Month Year]],0))</f>
        <v>30</v>
      </c>
      <c r="H244" s="21">
        <v>45761</v>
      </c>
      <c r="I244" s="32">
        <f>IFERROR(VLOOKUP(TA[[#This Row],[Date]],Raw_Data[[Date]:[Sunset Time (POA&lt;20 W/m2)]],3,0),"")</f>
        <v>0.26041666666666669</v>
      </c>
      <c r="J244" s="32">
        <f>IFERROR(VLOOKUP(TA[[#This Row],[Date]],Raw_Data[[Date]:[Sunset Time (POA&lt;20 W/m2)]],4,0),"")</f>
        <v>0.76388888888888884</v>
      </c>
      <c r="K244" s="27">
        <f>IFERROR((TA[[#This Row],[Sunset Time (POA&lt;20 W/m2)]]-TA[[#This Row],[Sunrise Time (POA&gt;20 W/m2)]])*24,"")</f>
        <v>12.08333333333333</v>
      </c>
      <c r="L244" s="2" t="s">
        <v>285</v>
      </c>
      <c r="M244" s="33">
        <f>IFERROR(VLOOKUP(TA[[#This Row],[Affected Equipment]],'Basic Data'!$I$2:$K$40,3,0),"")</f>
        <v>1.7241379310344799E-3</v>
      </c>
      <c r="N244">
        <v>-28</v>
      </c>
      <c r="O244" t="s">
        <v>135</v>
      </c>
      <c r="P244" s="114" t="s">
        <v>309</v>
      </c>
      <c r="Q244" s="113" t="s">
        <v>309</v>
      </c>
      <c r="R244">
        <v>130</v>
      </c>
      <c r="S244" s="2">
        <v>37</v>
      </c>
      <c r="T244" t="s">
        <v>286</v>
      </c>
      <c r="U244" t="s">
        <v>291</v>
      </c>
      <c r="V244" t="s">
        <v>289</v>
      </c>
      <c r="W244" s="32"/>
      <c r="X244" s="32"/>
      <c r="Y244" s="26"/>
      <c r="Z244" s="26"/>
      <c r="AA244" s="27">
        <f>IF(TA[[#This Row],[Work Start time on Fault]]="NA","",(TA[[#This Row],[Fault Acknowledgement Time ]]-TA[[#This Row],[Fault Time]])*24)</f>
        <v>0</v>
      </c>
      <c r="AB244" s="27">
        <f>(TA[[#This Row],[Work Start time on Fault]]-TA[[#This Row],[Fault Time]])*24</f>
        <v>0</v>
      </c>
      <c r="AC244" s="26">
        <f>(TA[[#This Row],[Work Completion time on fault]]-TA[[#This Row],[Fault Time]])*24</f>
        <v>0</v>
      </c>
      <c r="AD244" s="27">
        <f>IFERROR((TA[[#This Row],[Work Completion time on fault]]-TA[[#This Row],[Fault Time]])*24,"")</f>
        <v>0</v>
      </c>
      <c r="AE244" t="s">
        <v>319</v>
      </c>
      <c r="AF244" t="s">
        <v>247</v>
      </c>
      <c r="AG244" s="2"/>
      <c r="AH244" s="35">
        <f>1-COS(RADIANS(TA[[#This Row],[Avg. Target Angle during Fault Time (Radians)]]-TA[[#This Row],[Angle of affected equipment ]]))</f>
        <v>0.11705240714107301</v>
      </c>
      <c r="AI244" s="27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43">
        <f t="shared" si="11"/>
        <v>2026</v>
      </c>
      <c r="C245" s="116">
        <f t="shared" si="12"/>
        <v>2025</v>
      </c>
      <c r="D245" s="2" t="s">
        <v>155</v>
      </c>
      <c r="E245" s="2" t="s">
        <v>155</v>
      </c>
      <c r="F245" s="30">
        <v>45748</v>
      </c>
      <c r="G245" s="2">
        <f>DAY(EOMONTH(TA[[#This Row],[Month Year]],0))</f>
        <v>30</v>
      </c>
      <c r="H245" s="21">
        <v>45761</v>
      </c>
      <c r="I245" s="32">
        <f>IFERROR(VLOOKUP(TA[[#This Row],[Date]],Raw_Data[[Date]:[Sunset Time (POA&lt;20 W/m2)]],3,0),"")</f>
        <v>0.26041666666666669</v>
      </c>
      <c r="J245" s="32">
        <f>IFERROR(VLOOKUP(TA[[#This Row],[Date]],Raw_Data[[Date]:[Sunset Time (POA&lt;20 W/m2)]],4,0),"")</f>
        <v>0.76388888888888884</v>
      </c>
      <c r="K245" s="27">
        <f>IFERROR((TA[[#This Row],[Sunset Time (POA&lt;20 W/m2)]]-TA[[#This Row],[Sunrise Time (POA&gt;20 W/m2)]])*24,"")</f>
        <v>12.08333333333333</v>
      </c>
      <c r="L245" s="2" t="s">
        <v>285</v>
      </c>
      <c r="M245" s="33">
        <f>IFERROR(VLOOKUP(TA[[#This Row],[Affected Equipment]],'Basic Data'!$I$2:$K$40,3,0),"")</f>
        <v>1.7241379310344799E-3</v>
      </c>
      <c r="N245">
        <v>-28</v>
      </c>
      <c r="O245" t="s">
        <v>135</v>
      </c>
      <c r="P245" s="114" t="s">
        <v>309</v>
      </c>
      <c r="Q245" s="113" t="s">
        <v>309</v>
      </c>
      <c r="R245">
        <v>131</v>
      </c>
      <c r="S245" s="2">
        <v>38</v>
      </c>
      <c r="T245" t="s">
        <v>286</v>
      </c>
      <c r="U245" t="s">
        <v>291</v>
      </c>
      <c r="V245" t="s">
        <v>289</v>
      </c>
      <c r="W245" s="32"/>
      <c r="X245" s="32"/>
      <c r="Y245" s="26"/>
      <c r="Z245" s="26"/>
      <c r="AA245" s="27">
        <f>IF(TA[[#This Row],[Work Start time on Fault]]="NA","",(TA[[#This Row],[Fault Acknowledgement Time ]]-TA[[#This Row],[Fault Time]])*24)</f>
        <v>0</v>
      </c>
      <c r="AB245" s="27">
        <f>(TA[[#This Row],[Work Start time on Fault]]-TA[[#This Row],[Fault Time]])*24</f>
        <v>0</v>
      </c>
      <c r="AC245" s="26">
        <f>(TA[[#This Row],[Work Completion time on fault]]-TA[[#This Row],[Fault Time]])*24</f>
        <v>0</v>
      </c>
      <c r="AD245" s="27">
        <f>IFERROR((TA[[#This Row],[Work Completion time on fault]]-TA[[#This Row],[Fault Time]])*24,"")</f>
        <v>0</v>
      </c>
      <c r="AE245" t="s">
        <v>319</v>
      </c>
      <c r="AF245" t="s">
        <v>247</v>
      </c>
      <c r="AG245" s="2"/>
      <c r="AH245" s="35">
        <f>1-COS(RADIANS(TA[[#This Row],[Avg. Target Angle during Fault Time (Radians)]]-TA[[#This Row],[Angle of affected equipment ]]))</f>
        <v>0.11705240714107301</v>
      </c>
      <c r="AI245" s="27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43">
        <f t="shared" si="11"/>
        <v>2026</v>
      </c>
      <c r="C246" s="116">
        <f t="shared" si="12"/>
        <v>2025</v>
      </c>
      <c r="D246" s="2" t="s">
        <v>155</v>
      </c>
      <c r="E246" s="2" t="s">
        <v>155</v>
      </c>
      <c r="F246" s="30">
        <v>45748</v>
      </c>
      <c r="G246" s="2">
        <f>DAY(EOMONTH(TA[[#This Row],[Month Year]],0))</f>
        <v>30</v>
      </c>
      <c r="H246" s="21">
        <v>45761</v>
      </c>
      <c r="I246" s="32">
        <f>IFERROR(VLOOKUP(TA[[#This Row],[Date]],Raw_Data[[Date]:[Sunset Time (POA&lt;20 W/m2)]],3,0),"")</f>
        <v>0.26041666666666669</v>
      </c>
      <c r="J246" s="32">
        <f>IFERROR(VLOOKUP(TA[[#This Row],[Date]],Raw_Data[[Date]:[Sunset Time (POA&lt;20 W/m2)]],4,0),"")</f>
        <v>0.76388888888888884</v>
      </c>
      <c r="K246" s="27">
        <f>IFERROR((TA[[#This Row],[Sunset Time (POA&lt;20 W/m2)]]-TA[[#This Row],[Sunrise Time (POA&gt;20 W/m2)]])*24,"")</f>
        <v>12.08333333333333</v>
      </c>
      <c r="L246" s="2" t="s">
        <v>285</v>
      </c>
      <c r="M246" s="33">
        <f>IFERROR(VLOOKUP(TA[[#This Row],[Affected Equipment]],'Basic Data'!$I$2:$K$40,3,0),"")</f>
        <v>1.7241379310344799E-3</v>
      </c>
      <c r="N246">
        <v>-28</v>
      </c>
      <c r="O246" t="s">
        <v>135</v>
      </c>
      <c r="P246" s="114" t="s">
        <v>309</v>
      </c>
      <c r="Q246" s="113" t="s">
        <v>309</v>
      </c>
      <c r="R246">
        <v>131</v>
      </c>
      <c r="S246" s="2">
        <v>39</v>
      </c>
      <c r="T246" t="s">
        <v>286</v>
      </c>
      <c r="U246" t="s">
        <v>291</v>
      </c>
      <c r="V246" t="s">
        <v>289</v>
      </c>
      <c r="W246" s="32"/>
      <c r="X246" s="32"/>
      <c r="Y246" s="26"/>
      <c r="Z246" s="26"/>
      <c r="AA246" s="27">
        <f>IF(TA[[#This Row],[Work Start time on Fault]]="NA","",(TA[[#This Row],[Fault Acknowledgement Time ]]-TA[[#This Row],[Fault Time]])*24)</f>
        <v>0</v>
      </c>
      <c r="AB246" s="27">
        <f>(TA[[#This Row],[Work Start time on Fault]]-TA[[#This Row],[Fault Time]])*24</f>
        <v>0</v>
      </c>
      <c r="AC246" s="26">
        <f>(TA[[#This Row],[Work Completion time on fault]]-TA[[#This Row],[Fault Time]])*24</f>
        <v>0</v>
      </c>
      <c r="AD246" s="27">
        <f>IFERROR((TA[[#This Row],[Work Completion time on fault]]-TA[[#This Row],[Fault Time]])*24,"")</f>
        <v>0</v>
      </c>
      <c r="AE246" t="s">
        <v>319</v>
      </c>
      <c r="AF246" t="s">
        <v>247</v>
      </c>
      <c r="AG246" s="2"/>
      <c r="AH246" s="35">
        <f>1-COS(RADIANS(TA[[#This Row],[Avg. Target Angle during Fault Time (Radians)]]-TA[[#This Row],[Angle of affected equipment ]]))</f>
        <v>0.11705240714107301</v>
      </c>
      <c r="AI246" s="27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43">
        <f t="shared" si="11"/>
        <v>2026</v>
      </c>
      <c r="C247" s="116">
        <f t="shared" si="12"/>
        <v>2025</v>
      </c>
      <c r="D247" s="2" t="s">
        <v>155</v>
      </c>
      <c r="E247" s="2" t="s">
        <v>155</v>
      </c>
      <c r="F247" s="30">
        <v>45748</v>
      </c>
      <c r="G247" s="2">
        <f>DAY(EOMONTH(TA[[#This Row],[Month Year]],0))</f>
        <v>30</v>
      </c>
      <c r="H247" s="21">
        <v>45761</v>
      </c>
      <c r="I247" s="32">
        <f>IFERROR(VLOOKUP(TA[[#This Row],[Date]],Raw_Data[[Date]:[Sunset Time (POA&lt;20 W/m2)]],3,0),"")</f>
        <v>0.26041666666666669</v>
      </c>
      <c r="J247" s="32">
        <f>IFERROR(VLOOKUP(TA[[#This Row],[Date]],Raw_Data[[Date]:[Sunset Time (POA&lt;20 W/m2)]],4,0),"")</f>
        <v>0.76388888888888884</v>
      </c>
      <c r="K247" s="27">
        <f>IFERROR((TA[[#This Row],[Sunset Time (POA&lt;20 W/m2)]]-TA[[#This Row],[Sunrise Time (POA&gt;20 W/m2)]])*24,"")</f>
        <v>12.08333333333333</v>
      </c>
      <c r="L247" s="2" t="s">
        <v>287</v>
      </c>
      <c r="M247" s="33">
        <f>IFERROR(VLOOKUP(TA[[#This Row],[Affected Equipment]],'Basic Data'!$I$2:$K$40,3,0),"")</f>
        <v>8.6206896551724102E-3</v>
      </c>
      <c r="N247">
        <v>-28</v>
      </c>
      <c r="O247" t="s">
        <v>135</v>
      </c>
      <c r="P247" s="114" t="s">
        <v>309</v>
      </c>
      <c r="Q247" s="2" t="s">
        <v>312</v>
      </c>
      <c r="R247">
        <v>133</v>
      </c>
      <c r="S247" s="2">
        <v>26</v>
      </c>
      <c r="T247" t="s">
        <v>288</v>
      </c>
      <c r="U247" t="s">
        <v>291</v>
      </c>
      <c r="V247" t="s">
        <v>305</v>
      </c>
      <c r="W247" s="32"/>
      <c r="X247" s="32"/>
      <c r="Y247" s="26"/>
      <c r="Z247" s="26"/>
      <c r="AA247" s="27">
        <f>IF(TA[[#This Row],[Work Start time on Fault]]="NA","",(TA[[#This Row],[Fault Acknowledgement Time ]]-TA[[#This Row],[Fault Time]])*24)</f>
        <v>0</v>
      </c>
      <c r="AB247" s="27">
        <f>(TA[[#This Row],[Work Start time on Fault]]-TA[[#This Row],[Fault Time]])*24</f>
        <v>0</v>
      </c>
      <c r="AC247" s="26">
        <f>(TA[[#This Row],[Work Completion time on fault]]-TA[[#This Row],[Fault Time]])*24</f>
        <v>0</v>
      </c>
      <c r="AD247" s="27">
        <f>IFERROR((TA[[#This Row],[Work Completion time on fault]]-TA[[#This Row],[Fault Time]])*24,"")</f>
        <v>0</v>
      </c>
      <c r="AE247" t="s">
        <v>319</v>
      </c>
      <c r="AF247" t="s">
        <v>247</v>
      </c>
      <c r="AG247" s="2"/>
      <c r="AH247" s="35">
        <f>1-COS(RADIANS(TA[[#This Row],[Avg. Target Angle during Fault Time (Radians)]]-TA[[#This Row],[Angle of affected equipment ]]))</f>
        <v>0.11705240714107301</v>
      </c>
      <c r="AI247" s="27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43">
        <f t="shared" si="11"/>
        <v>2026</v>
      </c>
      <c r="C248" s="116">
        <f t="shared" si="12"/>
        <v>2025</v>
      </c>
      <c r="D248" s="2" t="s">
        <v>155</v>
      </c>
      <c r="E248" s="2" t="s">
        <v>155</v>
      </c>
      <c r="F248" s="30">
        <v>45748</v>
      </c>
      <c r="G248" s="2">
        <f>DAY(EOMONTH(TA[[#This Row],[Month Year]],0))</f>
        <v>30</v>
      </c>
      <c r="H248" s="21">
        <v>45761</v>
      </c>
      <c r="I248" s="32">
        <f>IFERROR(VLOOKUP(TA[[#This Row],[Date]],Raw_Data[[Date]:[Sunset Time (POA&lt;20 W/m2)]],3,0),"")</f>
        <v>0.26041666666666669</v>
      </c>
      <c r="J248" s="32">
        <f>IFERROR(VLOOKUP(TA[[#This Row],[Date]],Raw_Data[[Date]:[Sunset Time (POA&lt;20 W/m2)]],4,0),"")</f>
        <v>0.76388888888888884</v>
      </c>
      <c r="K248" s="27">
        <f>IFERROR((TA[[#This Row],[Sunset Time (POA&lt;20 W/m2)]]-TA[[#This Row],[Sunrise Time (POA&gt;20 W/m2)]])*24,"")</f>
        <v>12.08333333333333</v>
      </c>
      <c r="L248" s="2" t="s">
        <v>285</v>
      </c>
      <c r="M248" s="33">
        <f>IFERROR(VLOOKUP(TA[[#This Row],[Affected Equipment]],'Basic Data'!$I$2:$K$40,3,0),"")</f>
        <v>1.7241379310344799E-3</v>
      </c>
      <c r="N248">
        <v>-28</v>
      </c>
      <c r="O248" t="s">
        <v>133</v>
      </c>
      <c r="P248" s="114" t="s">
        <v>307</v>
      </c>
      <c r="Q248" s="113" t="s">
        <v>308</v>
      </c>
      <c r="R248">
        <v>7</v>
      </c>
      <c r="S248" s="2">
        <v>32</v>
      </c>
      <c r="T248" t="s">
        <v>286</v>
      </c>
      <c r="U248" t="s">
        <v>291</v>
      </c>
      <c r="V248" t="s">
        <v>289</v>
      </c>
      <c r="W248" s="32"/>
      <c r="X248" s="32"/>
      <c r="Y248" s="26"/>
      <c r="Z248" s="26"/>
      <c r="AA248" s="27">
        <f>IF(TA[[#This Row],[Work Start time on Fault]]="NA","",(TA[[#This Row],[Fault Acknowledgement Time ]]-TA[[#This Row],[Fault Time]])*24)</f>
        <v>0</v>
      </c>
      <c r="AB248" s="27">
        <f>(TA[[#This Row],[Work Start time on Fault]]-TA[[#This Row],[Fault Time]])*24</f>
        <v>0</v>
      </c>
      <c r="AC248" s="26">
        <f>(TA[[#This Row],[Work Completion time on fault]]-TA[[#This Row],[Fault Time]])*24</f>
        <v>0</v>
      </c>
      <c r="AD248" s="27">
        <f>IFERROR((TA[[#This Row],[Work Completion time on fault]]-TA[[#This Row],[Fault Time]])*24,"")</f>
        <v>0</v>
      </c>
      <c r="AE248" t="s">
        <v>319</v>
      </c>
      <c r="AF248" t="s">
        <v>247</v>
      </c>
      <c r="AG248" s="2"/>
      <c r="AH248" s="35">
        <f>1-COS(RADIANS(TA[[#This Row],[Avg. Target Angle during Fault Time (Radians)]]-TA[[#This Row],[Angle of affected equipment ]]))</f>
        <v>0.11705240714107301</v>
      </c>
      <c r="AI248" s="27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43">
        <f t="shared" si="11"/>
        <v>2026</v>
      </c>
      <c r="C249" s="116">
        <f t="shared" si="12"/>
        <v>2025</v>
      </c>
      <c r="D249" s="2" t="s">
        <v>155</v>
      </c>
      <c r="E249" s="2" t="s">
        <v>155</v>
      </c>
      <c r="F249" s="30">
        <v>45748</v>
      </c>
      <c r="G249" s="2">
        <f>DAY(EOMONTH(TA[[#This Row],[Month Year]],0))</f>
        <v>30</v>
      </c>
      <c r="H249" s="21">
        <v>45761</v>
      </c>
      <c r="I249" s="32">
        <f>IFERROR(VLOOKUP(TA[[#This Row],[Date]],Raw_Data[[Date]:[Sunset Time (POA&lt;20 W/m2)]],3,0),"")</f>
        <v>0.26041666666666669</v>
      </c>
      <c r="J249" s="32">
        <f>IFERROR(VLOOKUP(TA[[#This Row],[Date]],Raw_Data[[Date]:[Sunset Time (POA&lt;20 W/m2)]],4,0),"")</f>
        <v>0.76388888888888884</v>
      </c>
      <c r="K249" s="27">
        <f>IFERROR((TA[[#This Row],[Sunset Time (POA&lt;20 W/m2)]]-TA[[#This Row],[Sunrise Time (POA&gt;20 W/m2)]])*24,"")</f>
        <v>12.08333333333333</v>
      </c>
      <c r="L249" s="2" t="s">
        <v>285</v>
      </c>
      <c r="M249" s="33">
        <f>IFERROR(VLOOKUP(TA[[#This Row],[Affected Equipment]],'Basic Data'!$I$2:$K$40,3,0),"")</f>
        <v>1.7241379310344799E-3</v>
      </c>
      <c r="N249">
        <v>-28</v>
      </c>
      <c r="O249" t="s">
        <v>137</v>
      </c>
      <c r="P249" s="114" t="s">
        <v>306</v>
      </c>
      <c r="Q249" s="113" t="s">
        <v>310</v>
      </c>
      <c r="R249">
        <v>166</v>
      </c>
      <c r="S249" s="2">
        <v>91</v>
      </c>
      <c r="T249" t="s">
        <v>286</v>
      </c>
      <c r="U249" t="s">
        <v>291</v>
      </c>
      <c r="V249" t="s">
        <v>289</v>
      </c>
      <c r="W249" s="32"/>
      <c r="X249" s="32"/>
      <c r="Y249" s="26"/>
      <c r="Z249" s="26"/>
      <c r="AA249" s="27">
        <f>IF(TA[[#This Row],[Work Start time on Fault]]="NA","",(TA[[#This Row],[Fault Acknowledgement Time ]]-TA[[#This Row],[Fault Time]])*24)</f>
        <v>0</v>
      </c>
      <c r="AB249" s="27">
        <f>(TA[[#This Row],[Work Start time on Fault]]-TA[[#This Row],[Fault Time]])*24</f>
        <v>0</v>
      </c>
      <c r="AC249" s="26">
        <f>(TA[[#This Row],[Work Completion time on fault]]-TA[[#This Row],[Fault Time]])*24</f>
        <v>0</v>
      </c>
      <c r="AD249" s="27">
        <f>IFERROR((TA[[#This Row],[Work Completion time on fault]]-TA[[#This Row],[Fault Time]])*24,"")</f>
        <v>0</v>
      </c>
      <c r="AE249" t="s">
        <v>319</v>
      </c>
      <c r="AF249" t="s">
        <v>247</v>
      </c>
      <c r="AG249" s="2"/>
      <c r="AH249" s="35">
        <f>1-COS(RADIANS(TA[[#This Row],[Avg. Target Angle during Fault Time (Radians)]]-TA[[#This Row],[Angle of affected equipment ]]))</f>
        <v>0.11705240714107301</v>
      </c>
      <c r="AI249" s="27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43">
        <f t="shared" si="11"/>
        <v>2026</v>
      </c>
      <c r="C250" s="116">
        <f t="shared" si="12"/>
        <v>2025</v>
      </c>
      <c r="D250" s="2" t="s">
        <v>155</v>
      </c>
      <c r="E250" s="2" t="s">
        <v>155</v>
      </c>
      <c r="F250" s="30">
        <v>45748</v>
      </c>
      <c r="G250" s="2">
        <f>DAY(EOMONTH(TA[[#This Row],[Month Year]],0))</f>
        <v>30</v>
      </c>
      <c r="H250" s="21">
        <v>45761</v>
      </c>
      <c r="I250" s="32">
        <f>IFERROR(VLOOKUP(TA[[#This Row],[Date]],Raw_Data[[Date]:[Sunset Time (POA&lt;20 W/m2)]],3,0),"")</f>
        <v>0.26041666666666669</v>
      </c>
      <c r="J250" s="32">
        <f>IFERROR(VLOOKUP(TA[[#This Row],[Date]],Raw_Data[[Date]:[Sunset Time (POA&lt;20 W/m2)]],4,0),"")</f>
        <v>0.76388888888888884</v>
      </c>
      <c r="K250" s="27">
        <f>IFERROR((TA[[#This Row],[Sunset Time (POA&lt;20 W/m2)]]-TA[[#This Row],[Sunrise Time (POA&gt;20 W/m2)]])*24,"")</f>
        <v>12.08333333333333</v>
      </c>
      <c r="L250" s="2" t="s">
        <v>285</v>
      </c>
      <c r="M250" s="33">
        <f>IFERROR(VLOOKUP(TA[[#This Row],[Affected Equipment]],'Basic Data'!$I$2:$K$40,3,0),"")</f>
        <v>1.7241379310344799E-3</v>
      </c>
      <c r="N250">
        <v>-28</v>
      </c>
      <c r="O250" t="s">
        <v>133</v>
      </c>
      <c r="P250" s="114" t="s">
        <v>307</v>
      </c>
      <c r="Q250" s="113" t="s">
        <v>307</v>
      </c>
      <c r="R250">
        <v>117</v>
      </c>
      <c r="S250" s="2">
        <v>20</v>
      </c>
      <c r="T250" t="s">
        <v>286</v>
      </c>
      <c r="U250" t="s">
        <v>291</v>
      </c>
      <c r="V250" t="s">
        <v>289</v>
      </c>
      <c r="W250" s="32"/>
      <c r="X250" s="32"/>
      <c r="Y250" s="26"/>
      <c r="Z250" s="26"/>
      <c r="AA250" s="27">
        <f>IF(TA[[#This Row],[Work Start time on Fault]]="NA","",(TA[[#This Row],[Fault Acknowledgement Time ]]-TA[[#This Row],[Fault Time]])*24)</f>
        <v>0</v>
      </c>
      <c r="AB250" s="27">
        <f>(TA[[#This Row],[Work Start time on Fault]]-TA[[#This Row],[Fault Time]])*24</f>
        <v>0</v>
      </c>
      <c r="AC250" s="26">
        <f>(TA[[#This Row],[Work Completion time on fault]]-TA[[#This Row],[Fault Time]])*24</f>
        <v>0</v>
      </c>
      <c r="AD250" s="27">
        <f>IFERROR((TA[[#This Row],[Work Completion time on fault]]-TA[[#This Row],[Fault Time]])*24,"")</f>
        <v>0</v>
      </c>
      <c r="AE250" t="s">
        <v>319</v>
      </c>
      <c r="AF250" t="s">
        <v>247</v>
      </c>
      <c r="AG250" s="2"/>
      <c r="AH250" s="35">
        <f>1-COS(RADIANS(TA[[#This Row],[Avg. Target Angle during Fault Time (Radians)]]-TA[[#This Row],[Angle of affected equipment ]]))</f>
        <v>0.11705240714107301</v>
      </c>
      <c r="AI250" s="27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43">
        <f t="shared" si="11"/>
        <v>2026</v>
      </c>
      <c r="C251" s="116">
        <f t="shared" si="12"/>
        <v>2025</v>
      </c>
      <c r="D251" s="2" t="s">
        <v>155</v>
      </c>
      <c r="E251" s="2" t="s">
        <v>155</v>
      </c>
      <c r="F251" s="30">
        <v>45748</v>
      </c>
      <c r="G251" s="2">
        <f>DAY(EOMONTH(TA[[#This Row],[Month Year]],0))</f>
        <v>30</v>
      </c>
      <c r="H251" s="21">
        <v>45761</v>
      </c>
      <c r="I251" s="32">
        <f>IFERROR(VLOOKUP(TA[[#This Row],[Date]],Raw_Data[[Date]:[Sunset Time (POA&lt;20 W/m2)]],3,0),"")</f>
        <v>0.26041666666666669</v>
      </c>
      <c r="J251" s="32">
        <f>IFERROR(VLOOKUP(TA[[#This Row],[Date]],Raw_Data[[Date]:[Sunset Time (POA&lt;20 W/m2)]],4,0),"")</f>
        <v>0.76388888888888884</v>
      </c>
      <c r="K251" s="27">
        <f>IFERROR((TA[[#This Row],[Sunset Time (POA&lt;20 W/m2)]]-TA[[#This Row],[Sunrise Time (POA&gt;20 W/m2)]])*24,"")</f>
        <v>12.08333333333333</v>
      </c>
      <c r="L251" s="2" t="s">
        <v>285</v>
      </c>
      <c r="M251" s="33">
        <f>IFERROR(VLOOKUP(TA[[#This Row],[Affected Equipment]],'Basic Data'!$I$2:$K$40,3,0),"")</f>
        <v>1.7241379310344799E-3</v>
      </c>
      <c r="N251">
        <v>-28</v>
      </c>
      <c r="O251" t="s">
        <v>133</v>
      </c>
      <c r="P251" s="114" t="s">
        <v>307</v>
      </c>
      <c r="Q251" s="113" t="s">
        <v>307</v>
      </c>
      <c r="R251">
        <v>118</v>
      </c>
      <c r="S251" s="2">
        <v>22</v>
      </c>
      <c r="T251" t="s">
        <v>286</v>
      </c>
      <c r="U251" t="s">
        <v>291</v>
      </c>
      <c r="V251" t="s">
        <v>289</v>
      </c>
      <c r="W251" s="32"/>
      <c r="X251" s="32"/>
      <c r="Y251" s="26"/>
      <c r="Z251" s="26"/>
      <c r="AA251" s="27">
        <f>IF(TA[[#This Row],[Work Start time on Fault]]="NA","",(TA[[#This Row],[Fault Acknowledgement Time ]]-TA[[#This Row],[Fault Time]])*24)</f>
        <v>0</v>
      </c>
      <c r="AB251" s="27">
        <f>(TA[[#This Row],[Work Start time on Fault]]-TA[[#This Row],[Fault Time]])*24</f>
        <v>0</v>
      </c>
      <c r="AC251" s="26">
        <f>(TA[[#This Row],[Work Completion time on fault]]-TA[[#This Row],[Fault Time]])*24</f>
        <v>0</v>
      </c>
      <c r="AD251" s="27">
        <f>IFERROR((TA[[#This Row],[Work Completion time on fault]]-TA[[#This Row],[Fault Time]])*24,"")</f>
        <v>0</v>
      </c>
      <c r="AE251" t="s">
        <v>319</v>
      </c>
      <c r="AF251" t="s">
        <v>247</v>
      </c>
      <c r="AG251" s="2"/>
      <c r="AH251" s="35">
        <f>1-COS(RADIANS(TA[[#This Row],[Avg. Target Angle during Fault Time (Radians)]]-TA[[#This Row],[Angle of affected equipment ]]))</f>
        <v>0.11705240714107301</v>
      </c>
      <c r="AI251" s="27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43">
        <f t="shared" si="11"/>
        <v>2026</v>
      </c>
      <c r="C252" s="116">
        <f t="shared" si="12"/>
        <v>2025</v>
      </c>
      <c r="D252" s="2" t="s">
        <v>155</v>
      </c>
      <c r="E252" s="2" t="s">
        <v>155</v>
      </c>
      <c r="F252" s="30">
        <v>45748</v>
      </c>
      <c r="G252" s="2">
        <f>DAY(EOMONTH(TA[[#This Row],[Month Year]],0))</f>
        <v>30</v>
      </c>
      <c r="H252" s="21">
        <v>45761</v>
      </c>
      <c r="I252" s="32">
        <f>IFERROR(VLOOKUP(TA[[#This Row],[Date]],Raw_Data[[Date]:[Sunset Time (POA&lt;20 W/m2)]],3,0),"")</f>
        <v>0.26041666666666669</v>
      </c>
      <c r="J252" s="32">
        <f>IFERROR(VLOOKUP(TA[[#This Row],[Date]],Raw_Data[[Date]:[Sunset Time (POA&lt;20 W/m2)]],4,0),"")</f>
        <v>0.76388888888888884</v>
      </c>
      <c r="K252" s="27">
        <f>IFERROR((TA[[#This Row],[Sunset Time (POA&lt;20 W/m2)]]-TA[[#This Row],[Sunrise Time (POA&gt;20 W/m2)]])*24,"")</f>
        <v>12.08333333333333</v>
      </c>
      <c r="L252" s="2" t="s">
        <v>287</v>
      </c>
      <c r="M252" s="33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314</v>
      </c>
      <c r="Q252" s="2" t="s">
        <v>320</v>
      </c>
      <c r="R252">
        <v>45</v>
      </c>
      <c r="S252" s="2">
        <v>8</v>
      </c>
      <c r="T252" t="s">
        <v>288</v>
      </c>
      <c r="U252" t="s">
        <v>317</v>
      </c>
      <c r="V252" t="s">
        <v>292</v>
      </c>
      <c r="W252" s="32">
        <f>IFERROR(VLOOKUP(TA[[#This Row],[Date]],Raw_Data[[Date]:[Sunset Time (POA&lt;20 W/m2)]],3,0),"")</f>
        <v>0.26041666666666669</v>
      </c>
      <c r="X252" s="32">
        <f>IFERROR(VLOOKUP(TA[[#This Row],[Date]],Raw_Data[[Date]:[Sunset Time (POA&lt;20 W/m2)]],3,0),"")</f>
        <v>0.26041666666666669</v>
      </c>
      <c r="Y252" s="26"/>
      <c r="Z252" s="26">
        <v>0.76041666666666663</v>
      </c>
      <c r="AA252" s="27">
        <f>IF(TA[[#This Row],[Work Start time on Fault]]="NA","",(TA[[#This Row],[Fault Acknowledgement Time ]]-TA[[#This Row],[Fault Time]])*24)</f>
        <v>0</v>
      </c>
      <c r="AB252" s="27">
        <f>(TA[[#This Row],[Work Start time on Fault]]-TA[[#This Row],[Fault Time]])*24</f>
        <v>-6.25</v>
      </c>
      <c r="AC252" s="26">
        <f>(TA[[#This Row],[Work Completion time on fault]]-TA[[#This Row],[Fault Time]])*24</f>
        <v>11.999999999999998</v>
      </c>
      <c r="AD252" s="27">
        <f>IFERROR((TA[[#This Row],[Work Completion time on fault]]-TA[[#This Row],[Fault Time]])*24,"")</f>
        <v>11.999999999999998</v>
      </c>
      <c r="AE252" t="s">
        <v>300</v>
      </c>
      <c r="AF252" t="s">
        <v>247</v>
      </c>
      <c r="AG252" s="2"/>
      <c r="AH252" s="35">
        <f>1-COS(RADIANS(TA[[#This Row],[Avg. Target Angle during Fault Time (Radians)]]-TA[[#This Row],[Angle of affected equipment ]]))</f>
        <v>0.11705240714107301</v>
      </c>
      <c r="AI252" s="27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43">
        <f t="shared" si="11"/>
        <v>2026</v>
      </c>
      <c r="C253" s="116">
        <f t="shared" si="12"/>
        <v>2025</v>
      </c>
      <c r="D253" s="2" t="s">
        <v>155</v>
      </c>
      <c r="E253" s="2" t="s">
        <v>155</v>
      </c>
      <c r="F253" s="30">
        <v>45748</v>
      </c>
      <c r="G253" s="2">
        <f>DAY(EOMONTH(TA[[#This Row],[Month Year]],0))</f>
        <v>30</v>
      </c>
      <c r="H253" s="21">
        <v>45761</v>
      </c>
      <c r="I253" s="32">
        <f>IFERROR(VLOOKUP(TA[[#This Row],[Date]],Raw_Data[[Date]:[Sunset Time (POA&lt;20 W/m2)]],3,0),"")</f>
        <v>0.26041666666666669</v>
      </c>
      <c r="J253" s="32">
        <f>IFERROR(VLOOKUP(TA[[#This Row],[Date]],Raw_Data[[Date]:[Sunset Time (POA&lt;20 W/m2)]],4,0),"")</f>
        <v>0.76388888888888884</v>
      </c>
      <c r="K253" s="27">
        <f>IFERROR((TA[[#This Row],[Sunset Time (POA&lt;20 W/m2)]]-TA[[#This Row],[Sunrise Time (POA&gt;20 W/m2)]])*24,"")</f>
        <v>12.08333333333333</v>
      </c>
      <c r="L253" s="2" t="s">
        <v>287</v>
      </c>
      <c r="M253" s="33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314</v>
      </c>
      <c r="Q253" s="2" t="s">
        <v>320</v>
      </c>
      <c r="R253">
        <v>47</v>
      </c>
      <c r="S253" s="2">
        <v>18</v>
      </c>
      <c r="T253" t="s">
        <v>288</v>
      </c>
      <c r="U253" t="s">
        <v>317</v>
      </c>
      <c r="V253" t="s">
        <v>292</v>
      </c>
      <c r="W253" s="32">
        <f>IFERROR(VLOOKUP(TA[[#This Row],[Date]],Raw_Data[[Date]:[Sunset Time (POA&lt;20 W/m2)]],3,0),"")</f>
        <v>0.26041666666666669</v>
      </c>
      <c r="X253" s="32">
        <f>IFERROR(VLOOKUP(TA[[#This Row],[Date]],Raw_Data[[Date]:[Sunset Time (POA&lt;20 W/m2)]],3,0),"")</f>
        <v>0.26041666666666669</v>
      </c>
      <c r="Y253" s="26"/>
      <c r="Z253" s="26">
        <v>0.76041666666666663</v>
      </c>
      <c r="AA253" s="27">
        <f>IF(TA[[#This Row],[Work Start time on Fault]]="NA","",(TA[[#This Row],[Fault Acknowledgement Time ]]-TA[[#This Row],[Fault Time]])*24)</f>
        <v>0</v>
      </c>
      <c r="AB253" s="27">
        <f>(TA[[#This Row],[Work Start time on Fault]]-TA[[#This Row],[Fault Time]])*24</f>
        <v>-6.25</v>
      </c>
      <c r="AC253" s="26">
        <f>(TA[[#This Row],[Work Completion time on fault]]-TA[[#This Row],[Fault Time]])*24</f>
        <v>11.999999999999998</v>
      </c>
      <c r="AD253" s="27">
        <f>IFERROR((TA[[#This Row],[Work Completion time on fault]]-TA[[#This Row],[Fault Time]])*24,"")</f>
        <v>11.999999999999998</v>
      </c>
      <c r="AE253" t="s">
        <v>300</v>
      </c>
      <c r="AF253" t="s">
        <v>247</v>
      </c>
      <c r="AG253" s="2"/>
      <c r="AH253" s="35">
        <f>1-COS(RADIANS(TA[[#This Row],[Avg. Target Angle during Fault Time (Radians)]]-TA[[#This Row],[Angle of affected equipment ]]))</f>
        <v>0.11705240714107301</v>
      </c>
      <c r="AI253" s="27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43">
        <f t="shared" si="11"/>
        <v>2026</v>
      </c>
      <c r="C254" s="116">
        <f t="shared" si="12"/>
        <v>2025</v>
      </c>
      <c r="D254" s="2" t="s">
        <v>155</v>
      </c>
      <c r="E254" s="2" t="s">
        <v>155</v>
      </c>
      <c r="F254" s="30">
        <v>45748</v>
      </c>
      <c r="G254" s="2">
        <f>DAY(EOMONTH(TA[[#This Row],[Month Year]],0))</f>
        <v>30</v>
      </c>
      <c r="H254" s="21">
        <v>45761</v>
      </c>
      <c r="I254" s="32">
        <f>IFERROR(VLOOKUP(TA[[#This Row],[Date]],Raw_Data[[Date]:[Sunset Time (POA&lt;20 W/m2)]],3,0),"")</f>
        <v>0.26041666666666669</v>
      </c>
      <c r="J254" s="32">
        <f>IFERROR(VLOOKUP(TA[[#This Row],[Date]],Raw_Data[[Date]:[Sunset Time (POA&lt;20 W/m2)]],4,0),"")</f>
        <v>0.76388888888888884</v>
      </c>
      <c r="K254" s="27">
        <f>IFERROR((TA[[#This Row],[Sunset Time (POA&lt;20 W/m2)]]-TA[[#This Row],[Sunrise Time (POA&gt;20 W/m2)]])*24,"")</f>
        <v>12.08333333333333</v>
      </c>
      <c r="L254" s="2" t="s">
        <v>287</v>
      </c>
      <c r="M254" s="33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321</v>
      </c>
      <c r="Q254" s="2" t="s">
        <v>314</v>
      </c>
      <c r="R254">
        <v>30</v>
      </c>
      <c r="S254" s="2">
        <v>57</v>
      </c>
      <c r="T254" t="s">
        <v>288</v>
      </c>
      <c r="U254" t="s">
        <v>317</v>
      </c>
      <c r="V254" t="s">
        <v>292</v>
      </c>
      <c r="W254" s="32">
        <f>IFERROR(VLOOKUP(TA[[#This Row],[Date]],Raw_Data[[Date]:[Sunset Time (POA&lt;20 W/m2)]],3,0),"")</f>
        <v>0.26041666666666669</v>
      </c>
      <c r="X254" s="32">
        <f>IFERROR(VLOOKUP(TA[[#This Row],[Date]],Raw_Data[[Date]:[Sunset Time (POA&lt;20 W/m2)]],3,0),"")</f>
        <v>0.26041666666666669</v>
      </c>
      <c r="Y254" s="26"/>
      <c r="Z254" s="26">
        <v>0.76041666666666663</v>
      </c>
      <c r="AA254" s="27">
        <f>IF(TA[[#This Row],[Work Start time on Fault]]="NA","",(TA[[#This Row],[Fault Acknowledgement Time ]]-TA[[#This Row],[Fault Time]])*24)</f>
        <v>0</v>
      </c>
      <c r="AB254" s="27">
        <f>(TA[[#This Row],[Work Start time on Fault]]-TA[[#This Row],[Fault Time]])*24</f>
        <v>-6.25</v>
      </c>
      <c r="AC254" s="26">
        <f>(TA[[#This Row],[Work Completion time on fault]]-TA[[#This Row],[Fault Time]])*24</f>
        <v>11.999999999999998</v>
      </c>
      <c r="AD254" s="27">
        <f>IFERROR((TA[[#This Row],[Work Completion time on fault]]-TA[[#This Row],[Fault Time]])*24,"")</f>
        <v>11.999999999999998</v>
      </c>
      <c r="AE254" t="s">
        <v>300</v>
      </c>
      <c r="AF254" t="s">
        <v>247</v>
      </c>
      <c r="AG254" s="2"/>
      <c r="AH254" s="35">
        <f>1-COS(RADIANS(TA[[#This Row],[Avg. Target Angle during Fault Time (Radians)]]-TA[[#This Row],[Angle of affected equipment ]]))</f>
        <v>0.11705240714107301</v>
      </c>
      <c r="AI254" s="27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43">
        <f t="shared" si="11"/>
        <v>2026</v>
      </c>
      <c r="C255" s="116">
        <f t="shared" si="12"/>
        <v>2025</v>
      </c>
      <c r="D255" s="2" t="s">
        <v>155</v>
      </c>
      <c r="E255" s="2" t="s">
        <v>155</v>
      </c>
      <c r="F255" s="30">
        <v>45748</v>
      </c>
      <c r="G255" s="2">
        <f>DAY(EOMONTH(TA[[#This Row],[Month Year]],0))</f>
        <v>30</v>
      </c>
      <c r="H255" s="21">
        <v>45761</v>
      </c>
      <c r="I255" s="32">
        <f>IFERROR(VLOOKUP(TA[[#This Row],[Date]],Raw_Data[[Date]:[Sunset Time (POA&lt;20 W/m2)]],3,0),"")</f>
        <v>0.26041666666666669</v>
      </c>
      <c r="J255" s="32">
        <f>IFERROR(VLOOKUP(TA[[#This Row],[Date]],Raw_Data[[Date]:[Sunset Time (POA&lt;20 W/m2)]],4,0),"")</f>
        <v>0.76388888888888884</v>
      </c>
      <c r="K255" s="27">
        <f>IFERROR((TA[[#This Row],[Sunset Time (POA&lt;20 W/m2)]]-TA[[#This Row],[Sunrise Time (POA&gt;20 W/m2)]])*24,"")</f>
        <v>12.08333333333333</v>
      </c>
      <c r="L255" s="2" t="s">
        <v>287</v>
      </c>
      <c r="M255" s="33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321</v>
      </c>
      <c r="Q255" s="2" t="s">
        <v>314</v>
      </c>
      <c r="R255">
        <v>31</v>
      </c>
      <c r="S255" s="2">
        <v>61</v>
      </c>
      <c r="T255" t="s">
        <v>288</v>
      </c>
      <c r="U255" t="s">
        <v>317</v>
      </c>
      <c r="V255" t="s">
        <v>292</v>
      </c>
      <c r="W255" s="32">
        <f>IFERROR(VLOOKUP(TA[[#This Row],[Date]],Raw_Data[[Date]:[Sunset Time (POA&lt;20 W/m2)]],3,0),"")</f>
        <v>0.26041666666666669</v>
      </c>
      <c r="X255" s="32">
        <f>IFERROR(VLOOKUP(TA[[#This Row],[Date]],Raw_Data[[Date]:[Sunset Time (POA&lt;20 W/m2)]],3,0),"")</f>
        <v>0.26041666666666669</v>
      </c>
      <c r="Y255" s="26"/>
      <c r="Z255" s="26">
        <v>0.76041666666666663</v>
      </c>
      <c r="AA255" s="27">
        <f>IF(TA[[#This Row],[Work Start time on Fault]]="NA","",(TA[[#This Row],[Fault Acknowledgement Time ]]-TA[[#This Row],[Fault Time]])*24)</f>
        <v>0</v>
      </c>
      <c r="AB255" s="27">
        <f>(TA[[#This Row],[Work Start time on Fault]]-TA[[#This Row],[Fault Time]])*24</f>
        <v>-6.25</v>
      </c>
      <c r="AC255" s="26">
        <f>(TA[[#This Row],[Work Completion time on fault]]-TA[[#This Row],[Fault Time]])*24</f>
        <v>11.999999999999998</v>
      </c>
      <c r="AD255" s="27">
        <f>IFERROR((TA[[#This Row],[Work Completion time on fault]]-TA[[#This Row],[Fault Time]])*24,"")</f>
        <v>11.999999999999998</v>
      </c>
      <c r="AE255" t="s">
        <v>300</v>
      </c>
      <c r="AF255" t="s">
        <v>247</v>
      </c>
      <c r="AG255" s="2"/>
      <c r="AH255" s="35">
        <f>1-COS(RADIANS(TA[[#This Row],[Avg. Target Angle during Fault Time (Radians)]]-TA[[#This Row],[Angle of affected equipment ]]))</f>
        <v>0.11705240714107301</v>
      </c>
      <c r="AI255" s="27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43">
        <f t="shared" si="11"/>
        <v>2026</v>
      </c>
      <c r="C256" s="116">
        <f t="shared" si="12"/>
        <v>2025</v>
      </c>
      <c r="D256" s="2" t="s">
        <v>155</v>
      </c>
      <c r="E256" s="2" t="s">
        <v>155</v>
      </c>
      <c r="F256" s="30">
        <v>45748</v>
      </c>
      <c r="G256" s="2">
        <f>DAY(EOMONTH(TA[[#This Row],[Month Year]],0))</f>
        <v>30</v>
      </c>
      <c r="H256" s="21">
        <v>45761</v>
      </c>
      <c r="I256" s="32">
        <f>IFERROR(VLOOKUP(TA[[#This Row],[Date]],Raw_Data[[Date]:[Sunset Time (POA&lt;20 W/m2)]],3,0),"")</f>
        <v>0.26041666666666669</v>
      </c>
      <c r="J256" s="32">
        <f>IFERROR(VLOOKUP(TA[[#This Row],[Date]],Raw_Data[[Date]:[Sunset Time (POA&lt;20 W/m2)]],4,0),"")</f>
        <v>0.76388888888888884</v>
      </c>
      <c r="K256" s="27">
        <f>IFERROR((TA[[#This Row],[Sunset Time (POA&lt;20 W/m2)]]-TA[[#This Row],[Sunrise Time (POA&gt;20 W/m2)]])*24,"")</f>
        <v>12.08333333333333</v>
      </c>
      <c r="L256" s="2" t="s">
        <v>303</v>
      </c>
      <c r="M256" s="33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321</v>
      </c>
      <c r="Q256" s="2" t="s">
        <v>314</v>
      </c>
      <c r="R256">
        <v>26</v>
      </c>
      <c r="S256" s="2">
        <v>37</v>
      </c>
      <c r="T256" t="s">
        <v>288</v>
      </c>
      <c r="U256" t="s">
        <v>317</v>
      </c>
      <c r="V256" t="s">
        <v>292</v>
      </c>
      <c r="W256" s="32">
        <f>IFERROR(VLOOKUP(TA[[#This Row],[Date]],Raw_Data[[Date]:[Sunset Time (POA&lt;20 W/m2)]],3,0),"")</f>
        <v>0.26041666666666669</v>
      </c>
      <c r="X256" s="32">
        <f>IFERROR(VLOOKUP(TA[[#This Row],[Date]],Raw_Data[[Date]:[Sunset Time (POA&lt;20 W/m2)]],3,0),"")</f>
        <v>0.26041666666666669</v>
      </c>
      <c r="Y256" s="26"/>
      <c r="Z256" s="26">
        <v>0.76041666666666663</v>
      </c>
      <c r="AA256" s="27">
        <f>IF(TA[[#This Row],[Work Start time on Fault]]="NA","",(TA[[#This Row],[Fault Acknowledgement Time ]]-TA[[#This Row],[Fault Time]])*24)</f>
        <v>0</v>
      </c>
      <c r="AB256" s="27">
        <f>(TA[[#This Row],[Work Start time on Fault]]-TA[[#This Row],[Fault Time]])*24</f>
        <v>-6.25</v>
      </c>
      <c r="AC256" s="26">
        <f>(TA[[#This Row],[Work Completion time on fault]]-TA[[#This Row],[Fault Time]])*24</f>
        <v>11.999999999999998</v>
      </c>
      <c r="AD256" s="27">
        <f>IFERROR((TA[[#This Row],[Work Completion time on fault]]-TA[[#This Row],[Fault Time]])*24,"")</f>
        <v>11.999999999999998</v>
      </c>
      <c r="AE256" t="s">
        <v>300</v>
      </c>
      <c r="AF256" t="s">
        <v>247</v>
      </c>
      <c r="AG256" s="2"/>
      <c r="AH256" s="35">
        <f>1-COS(RADIANS(TA[[#This Row],[Avg. Target Angle during Fault Time (Radians)]]-TA[[#This Row],[Angle of affected equipment ]]))</f>
        <v>0.11705240714107301</v>
      </c>
      <c r="AI256" s="27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43">
        <f t="shared" si="11"/>
        <v>2026</v>
      </c>
      <c r="C257" s="116">
        <f t="shared" si="12"/>
        <v>2025</v>
      </c>
      <c r="D257" s="2" t="s">
        <v>155</v>
      </c>
      <c r="E257" s="2" t="s">
        <v>155</v>
      </c>
      <c r="F257" s="30">
        <v>45748</v>
      </c>
      <c r="G257" s="2">
        <f>DAY(EOMONTH(TA[[#This Row],[Month Year]],0))</f>
        <v>30</v>
      </c>
      <c r="H257" s="21">
        <v>45761</v>
      </c>
      <c r="I257" s="32">
        <f>IFERROR(VLOOKUP(TA[[#This Row],[Date]],Raw_Data[[Date]:[Sunset Time (POA&lt;20 W/m2)]],3,0),"")</f>
        <v>0.26041666666666669</v>
      </c>
      <c r="J257" s="32">
        <f>IFERROR(VLOOKUP(TA[[#This Row],[Date]],Raw_Data[[Date]:[Sunset Time (POA&lt;20 W/m2)]],4,0),"")</f>
        <v>0.76388888888888884</v>
      </c>
      <c r="K257" s="27">
        <f>IFERROR((TA[[#This Row],[Sunset Time (POA&lt;20 W/m2)]]-TA[[#This Row],[Sunrise Time (POA&gt;20 W/m2)]])*24,"")</f>
        <v>12.08333333333333</v>
      </c>
      <c r="L257" s="2" t="s">
        <v>303</v>
      </c>
      <c r="M257" s="33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321</v>
      </c>
      <c r="Q257" s="2" t="s">
        <v>314</v>
      </c>
      <c r="R257">
        <v>27</v>
      </c>
      <c r="S257" s="2">
        <v>42</v>
      </c>
      <c r="T257" t="s">
        <v>288</v>
      </c>
      <c r="U257" t="s">
        <v>317</v>
      </c>
      <c r="V257" t="s">
        <v>292</v>
      </c>
      <c r="W257" s="32">
        <f>IFERROR(VLOOKUP(TA[[#This Row],[Date]],Raw_Data[[Date]:[Sunset Time (POA&lt;20 W/m2)]],3,0),"")</f>
        <v>0.26041666666666669</v>
      </c>
      <c r="X257" s="32">
        <f>IFERROR(VLOOKUP(TA[[#This Row],[Date]],Raw_Data[[Date]:[Sunset Time (POA&lt;20 W/m2)]],3,0),"")</f>
        <v>0.26041666666666669</v>
      </c>
      <c r="Y257" s="26"/>
      <c r="Z257" s="26">
        <v>0.76041666666666663</v>
      </c>
      <c r="AA257" s="27">
        <f>IF(TA[[#This Row],[Work Start time on Fault]]="NA","",(TA[[#This Row],[Fault Acknowledgement Time ]]-TA[[#This Row],[Fault Time]])*24)</f>
        <v>0</v>
      </c>
      <c r="AB257" s="27">
        <f>(TA[[#This Row],[Work Start time on Fault]]-TA[[#This Row],[Fault Time]])*24</f>
        <v>-6.25</v>
      </c>
      <c r="AC257" s="26">
        <f>(TA[[#This Row],[Work Completion time on fault]]-TA[[#This Row],[Fault Time]])*24</f>
        <v>11.999999999999998</v>
      </c>
      <c r="AD257" s="27">
        <f>IFERROR((TA[[#This Row],[Work Completion time on fault]]-TA[[#This Row],[Fault Time]])*24,"")</f>
        <v>11.999999999999998</v>
      </c>
      <c r="AE257" t="s">
        <v>300</v>
      </c>
      <c r="AF257" t="s">
        <v>247</v>
      </c>
      <c r="AG257" s="2"/>
      <c r="AH257" s="35">
        <f>1-COS(RADIANS(TA[[#This Row],[Avg. Target Angle during Fault Time (Radians)]]-TA[[#This Row],[Angle of affected equipment ]]))</f>
        <v>0.11705240714107301</v>
      </c>
      <c r="AI257" s="27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43">
        <f t="shared" si="11"/>
        <v>2026</v>
      </c>
      <c r="C258" s="116">
        <f t="shared" si="12"/>
        <v>2025</v>
      </c>
      <c r="D258" s="2" t="s">
        <v>155</v>
      </c>
      <c r="E258" s="2" t="s">
        <v>155</v>
      </c>
      <c r="F258" s="30">
        <v>45748</v>
      </c>
      <c r="G258" s="2">
        <f>DAY(EOMONTH(TA[[#This Row],[Month Year]],0))</f>
        <v>30</v>
      </c>
      <c r="H258" s="21">
        <v>45762</v>
      </c>
      <c r="I258" s="32">
        <f>IFERROR(VLOOKUP(TA[[#This Row],[Date]],Raw_Data[[Date]:[Sunset Time (POA&lt;20 W/m2)]],3,0),"")</f>
        <v>0.2590277777777778</v>
      </c>
      <c r="J258" s="32">
        <f>IFERROR(VLOOKUP(TA[[#This Row],[Date]],Raw_Data[[Date]:[Sunset Time (POA&lt;20 W/m2)]],4,0),"")</f>
        <v>0.7680555555555556</v>
      </c>
      <c r="K258" s="27">
        <f>IFERROR((TA[[#This Row],[Sunset Time (POA&lt;20 W/m2)]]-TA[[#This Row],[Sunrise Time (POA&gt;20 W/m2)]])*24,"")</f>
        <v>12.216666666666669</v>
      </c>
      <c r="L258" s="2" t="s">
        <v>285</v>
      </c>
      <c r="M258" s="33">
        <f>IFERROR(VLOOKUP(TA[[#This Row],[Affected Equipment]],'Basic Data'!$I$2:$K$40,3,0),"")</f>
        <v>1.7241379310344799E-3</v>
      </c>
      <c r="N258">
        <v>-28</v>
      </c>
      <c r="O258" t="s">
        <v>135</v>
      </c>
      <c r="P258" s="114" t="s">
        <v>309</v>
      </c>
      <c r="Q258" s="113" t="s">
        <v>309</v>
      </c>
      <c r="R258">
        <v>130</v>
      </c>
      <c r="S258" s="2">
        <v>37</v>
      </c>
      <c r="T258" t="s">
        <v>286</v>
      </c>
      <c r="U258" t="s">
        <v>291</v>
      </c>
      <c r="V258" t="s">
        <v>289</v>
      </c>
      <c r="W258" s="32"/>
      <c r="X258" s="32"/>
      <c r="Y258" s="26"/>
      <c r="Z258" s="26"/>
      <c r="AA258" s="27">
        <f>IF(TA[[#This Row],[Work Start time on Fault]]="NA","",(TA[[#This Row],[Fault Acknowledgement Time ]]-TA[[#This Row],[Fault Time]])*24)</f>
        <v>0</v>
      </c>
      <c r="AB258" s="27">
        <f>(TA[[#This Row],[Work Start time on Fault]]-TA[[#This Row],[Fault Time]])*24</f>
        <v>0</v>
      </c>
      <c r="AC258" s="26">
        <f>(TA[[#This Row],[Work Completion time on fault]]-TA[[#This Row],[Fault Time]])*24</f>
        <v>0</v>
      </c>
      <c r="AD258" s="27">
        <f>IFERROR((TA[[#This Row],[Work Completion time on fault]]-TA[[#This Row],[Fault Time]])*24,"")</f>
        <v>0</v>
      </c>
      <c r="AE258" t="s">
        <v>319</v>
      </c>
      <c r="AF258" t="s">
        <v>247</v>
      </c>
      <c r="AG258" s="2"/>
      <c r="AH258" s="35">
        <f>1-COS(RADIANS(TA[[#This Row],[Avg. Target Angle during Fault Time (Radians)]]-TA[[#This Row],[Angle of affected equipment ]]))</f>
        <v>0.11705240714107301</v>
      </c>
      <c r="AI258" s="27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43">
        <f t="shared" si="11"/>
        <v>2026</v>
      </c>
      <c r="C259" s="116">
        <f t="shared" si="12"/>
        <v>2025</v>
      </c>
      <c r="D259" s="2" t="s">
        <v>155</v>
      </c>
      <c r="E259" s="2" t="s">
        <v>155</v>
      </c>
      <c r="F259" s="30">
        <v>45748</v>
      </c>
      <c r="G259" s="2">
        <f>DAY(EOMONTH(TA[[#This Row],[Month Year]],0))</f>
        <v>30</v>
      </c>
      <c r="H259" s="21">
        <v>45762</v>
      </c>
      <c r="I259" s="32">
        <f>IFERROR(VLOOKUP(TA[[#This Row],[Date]],Raw_Data[[Date]:[Sunset Time (POA&lt;20 W/m2)]],3,0),"")</f>
        <v>0.2590277777777778</v>
      </c>
      <c r="J259" s="32">
        <f>IFERROR(VLOOKUP(TA[[#This Row],[Date]],Raw_Data[[Date]:[Sunset Time (POA&lt;20 W/m2)]],4,0),"")</f>
        <v>0.7680555555555556</v>
      </c>
      <c r="K259" s="27">
        <f>IFERROR((TA[[#This Row],[Sunset Time (POA&lt;20 W/m2)]]-TA[[#This Row],[Sunrise Time (POA&gt;20 W/m2)]])*24,"")</f>
        <v>12.216666666666669</v>
      </c>
      <c r="L259" s="2" t="s">
        <v>285</v>
      </c>
      <c r="M259" s="33">
        <f>IFERROR(VLOOKUP(TA[[#This Row],[Affected Equipment]],'Basic Data'!$I$2:$K$40,3,0),"")</f>
        <v>1.7241379310344799E-3</v>
      </c>
      <c r="N259">
        <v>-28</v>
      </c>
      <c r="O259" t="s">
        <v>135</v>
      </c>
      <c r="P259" s="114" t="s">
        <v>309</v>
      </c>
      <c r="Q259" s="113" t="s">
        <v>309</v>
      </c>
      <c r="R259">
        <v>131</v>
      </c>
      <c r="S259" s="2">
        <v>38</v>
      </c>
      <c r="T259" t="s">
        <v>286</v>
      </c>
      <c r="U259" t="s">
        <v>291</v>
      </c>
      <c r="V259" t="s">
        <v>289</v>
      </c>
      <c r="W259" s="32"/>
      <c r="X259" s="32"/>
      <c r="Y259" s="26"/>
      <c r="Z259" s="26"/>
      <c r="AA259" s="27">
        <f>IF(TA[[#This Row],[Work Start time on Fault]]="NA","",(TA[[#This Row],[Fault Acknowledgement Time ]]-TA[[#This Row],[Fault Time]])*24)</f>
        <v>0</v>
      </c>
      <c r="AB259" s="27">
        <f>(TA[[#This Row],[Work Start time on Fault]]-TA[[#This Row],[Fault Time]])*24</f>
        <v>0</v>
      </c>
      <c r="AC259" s="26">
        <f>(TA[[#This Row],[Work Completion time on fault]]-TA[[#This Row],[Fault Time]])*24</f>
        <v>0</v>
      </c>
      <c r="AD259" s="27">
        <f>IFERROR((TA[[#This Row],[Work Completion time on fault]]-TA[[#This Row],[Fault Time]])*24,"")</f>
        <v>0</v>
      </c>
      <c r="AE259" t="s">
        <v>319</v>
      </c>
      <c r="AF259" t="s">
        <v>247</v>
      </c>
      <c r="AG259" s="2"/>
      <c r="AH259" s="35">
        <f>1-COS(RADIANS(TA[[#This Row],[Avg. Target Angle during Fault Time (Radians)]]-TA[[#This Row],[Angle of affected equipment ]]))</f>
        <v>0.11705240714107301</v>
      </c>
      <c r="AI259" s="27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43">
        <f t="shared" si="11"/>
        <v>2026</v>
      </c>
      <c r="C260" s="116">
        <f t="shared" si="12"/>
        <v>2025</v>
      </c>
      <c r="D260" s="2" t="s">
        <v>155</v>
      </c>
      <c r="E260" s="2" t="s">
        <v>155</v>
      </c>
      <c r="F260" s="30">
        <v>45748</v>
      </c>
      <c r="G260" s="2">
        <f>DAY(EOMONTH(TA[[#This Row],[Month Year]],0))</f>
        <v>30</v>
      </c>
      <c r="H260" s="21">
        <v>45762</v>
      </c>
      <c r="I260" s="32">
        <f>IFERROR(VLOOKUP(TA[[#This Row],[Date]],Raw_Data[[Date]:[Sunset Time (POA&lt;20 W/m2)]],3,0),"")</f>
        <v>0.2590277777777778</v>
      </c>
      <c r="J260" s="32">
        <f>IFERROR(VLOOKUP(TA[[#This Row],[Date]],Raw_Data[[Date]:[Sunset Time (POA&lt;20 W/m2)]],4,0),"")</f>
        <v>0.7680555555555556</v>
      </c>
      <c r="K260" s="27">
        <f>IFERROR((TA[[#This Row],[Sunset Time (POA&lt;20 W/m2)]]-TA[[#This Row],[Sunrise Time (POA&gt;20 W/m2)]])*24,"")</f>
        <v>12.216666666666669</v>
      </c>
      <c r="L260" s="2" t="s">
        <v>285</v>
      </c>
      <c r="M260" s="33">
        <f>IFERROR(VLOOKUP(TA[[#This Row],[Affected Equipment]],'Basic Data'!$I$2:$K$40,3,0),"")</f>
        <v>1.7241379310344799E-3</v>
      </c>
      <c r="N260">
        <v>-28</v>
      </c>
      <c r="O260" t="s">
        <v>135</v>
      </c>
      <c r="P260" s="114" t="s">
        <v>309</v>
      </c>
      <c r="Q260" s="113" t="s">
        <v>309</v>
      </c>
      <c r="R260">
        <v>131</v>
      </c>
      <c r="S260" s="2">
        <v>39</v>
      </c>
      <c r="T260" t="s">
        <v>286</v>
      </c>
      <c r="U260" t="s">
        <v>291</v>
      </c>
      <c r="V260" t="s">
        <v>289</v>
      </c>
      <c r="W260" s="32"/>
      <c r="X260" s="32"/>
      <c r="Y260" s="26"/>
      <c r="Z260" s="26"/>
      <c r="AA260" s="27">
        <f>IF(TA[[#This Row],[Work Start time on Fault]]="NA","",(TA[[#This Row],[Fault Acknowledgement Time ]]-TA[[#This Row],[Fault Time]])*24)</f>
        <v>0</v>
      </c>
      <c r="AB260" s="27">
        <f>(TA[[#This Row],[Work Start time on Fault]]-TA[[#This Row],[Fault Time]])*24</f>
        <v>0</v>
      </c>
      <c r="AC260" s="26">
        <f>(TA[[#This Row],[Work Completion time on fault]]-TA[[#This Row],[Fault Time]])*24</f>
        <v>0</v>
      </c>
      <c r="AD260" s="27">
        <f>IFERROR((TA[[#This Row],[Work Completion time on fault]]-TA[[#This Row],[Fault Time]])*24,"")</f>
        <v>0</v>
      </c>
      <c r="AE260" t="s">
        <v>319</v>
      </c>
      <c r="AF260" t="s">
        <v>247</v>
      </c>
      <c r="AG260" s="2"/>
      <c r="AH260" s="35">
        <f>1-COS(RADIANS(TA[[#This Row],[Avg. Target Angle during Fault Time (Radians)]]-TA[[#This Row],[Angle of affected equipment ]]))</f>
        <v>0.11705240714107301</v>
      </c>
      <c r="AI260" s="27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43">
        <f t="shared" ref="B261:B324" si="14">YEAR(H261)+IF(MONTH(H261)&gt;=4,1,0)</f>
        <v>2026</v>
      </c>
      <c r="C261" s="116">
        <f t="shared" ref="C261:C324" si="15">YEAR(H261)</f>
        <v>2025</v>
      </c>
      <c r="D261" s="2" t="s">
        <v>155</v>
      </c>
      <c r="E261" s="2" t="s">
        <v>155</v>
      </c>
      <c r="F261" s="30">
        <v>45748</v>
      </c>
      <c r="G261" s="2">
        <f>DAY(EOMONTH(TA[[#This Row],[Month Year]],0))</f>
        <v>30</v>
      </c>
      <c r="H261" s="21">
        <v>45762</v>
      </c>
      <c r="I261" s="32">
        <f>IFERROR(VLOOKUP(TA[[#This Row],[Date]],Raw_Data[[Date]:[Sunset Time (POA&lt;20 W/m2)]],3,0),"")</f>
        <v>0.2590277777777778</v>
      </c>
      <c r="J261" s="32">
        <f>IFERROR(VLOOKUP(TA[[#This Row],[Date]],Raw_Data[[Date]:[Sunset Time (POA&lt;20 W/m2)]],4,0),"")</f>
        <v>0.7680555555555556</v>
      </c>
      <c r="K261" s="27">
        <f>IFERROR((TA[[#This Row],[Sunset Time (POA&lt;20 W/m2)]]-TA[[#This Row],[Sunrise Time (POA&gt;20 W/m2)]])*24,"")</f>
        <v>12.216666666666669</v>
      </c>
      <c r="L261" s="2" t="s">
        <v>287</v>
      </c>
      <c r="M261" s="33">
        <f>IFERROR(VLOOKUP(TA[[#This Row],[Affected Equipment]],'Basic Data'!$I$2:$K$40,3,0),"")</f>
        <v>8.6206896551724102E-3</v>
      </c>
      <c r="N261">
        <v>-28</v>
      </c>
      <c r="O261" t="s">
        <v>135</v>
      </c>
      <c r="P261" s="114" t="s">
        <v>309</v>
      </c>
      <c r="Q261" s="2" t="s">
        <v>312</v>
      </c>
      <c r="R261">
        <v>133</v>
      </c>
      <c r="S261" s="2">
        <v>26</v>
      </c>
      <c r="T261" t="s">
        <v>288</v>
      </c>
      <c r="U261" t="s">
        <v>291</v>
      </c>
      <c r="V261" t="s">
        <v>305</v>
      </c>
      <c r="W261" s="32"/>
      <c r="X261" s="32"/>
      <c r="Y261" s="26"/>
      <c r="Z261" s="26"/>
      <c r="AA261" s="27">
        <f>IF(TA[[#This Row],[Work Start time on Fault]]="NA","",(TA[[#This Row],[Fault Acknowledgement Time ]]-TA[[#This Row],[Fault Time]])*24)</f>
        <v>0</v>
      </c>
      <c r="AB261" s="27">
        <f>(TA[[#This Row],[Work Start time on Fault]]-TA[[#This Row],[Fault Time]])*24</f>
        <v>0</v>
      </c>
      <c r="AC261" s="26">
        <f>(TA[[#This Row],[Work Completion time on fault]]-TA[[#This Row],[Fault Time]])*24</f>
        <v>0</v>
      </c>
      <c r="AD261" s="27">
        <f>IFERROR((TA[[#This Row],[Work Completion time on fault]]-TA[[#This Row],[Fault Time]])*24,"")</f>
        <v>0</v>
      </c>
      <c r="AE261" t="s">
        <v>319</v>
      </c>
      <c r="AF261" t="s">
        <v>247</v>
      </c>
      <c r="AG261" s="2"/>
      <c r="AH261" s="35">
        <f>1-COS(RADIANS(TA[[#This Row],[Avg. Target Angle during Fault Time (Radians)]]-TA[[#This Row],[Angle of affected equipment ]]))</f>
        <v>0.11705240714107301</v>
      </c>
      <c r="AI261" s="27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43">
        <f t="shared" si="14"/>
        <v>2026</v>
      </c>
      <c r="C262" s="116">
        <f t="shared" si="15"/>
        <v>2025</v>
      </c>
      <c r="D262" s="2" t="s">
        <v>155</v>
      </c>
      <c r="E262" s="2" t="s">
        <v>155</v>
      </c>
      <c r="F262" s="30">
        <v>45748</v>
      </c>
      <c r="G262" s="2">
        <f>DAY(EOMONTH(TA[[#This Row],[Month Year]],0))</f>
        <v>30</v>
      </c>
      <c r="H262" s="21">
        <v>45762</v>
      </c>
      <c r="I262" s="32">
        <f>IFERROR(VLOOKUP(TA[[#This Row],[Date]],Raw_Data[[Date]:[Sunset Time (POA&lt;20 W/m2)]],3,0),"")</f>
        <v>0.2590277777777778</v>
      </c>
      <c r="J262" s="32">
        <f>IFERROR(VLOOKUP(TA[[#This Row],[Date]],Raw_Data[[Date]:[Sunset Time (POA&lt;20 W/m2)]],4,0),"")</f>
        <v>0.7680555555555556</v>
      </c>
      <c r="K262" s="27">
        <f>IFERROR((TA[[#This Row],[Sunset Time (POA&lt;20 W/m2)]]-TA[[#This Row],[Sunrise Time (POA&gt;20 W/m2)]])*24,"")</f>
        <v>12.216666666666669</v>
      </c>
      <c r="L262" s="2" t="s">
        <v>285</v>
      </c>
      <c r="M262" s="33">
        <f>IFERROR(VLOOKUP(TA[[#This Row],[Affected Equipment]],'Basic Data'!$I$2:$K$40,3,0),"")</f>
        <v>1.7241379310344799E-3</v>
      </c>
      <c r="N262">
        <v>-28</v>
      </c>
      <c r="O262" t="s">
        <v>133</v>
      </c>
      <c r="P262" s="114" t="s">
        <v>307</v>
      </c>
      <c r="Q262" s="113" t="s">
        <v>308</v>
      </c>
      <c r="R262">
        <v>7</v>
      </c>
      <c r="S262" s="2">
        <v>32</v>
      </c>
      <c r="T262" t="s">
        <v>286</v>
      </c>
      <c r="U262" t="s">
        <v>291</v>
      </c>
      <c r="V262" t="s">
        <v>289</v>
      </c>
      <c r="W262" s="32"/>
      <c r="X262" s="32"/>
      <c r="Y262" s="26"/>
      <c r="Z262" s="26"/>
      <c r="AA262" s="27">
        <f>IF(TA[[#This Row],[Work Start time on Fault]]="NA","",(TA[[#This Row],[Fault Acknowledgement Time ]]-TA[[#This Row],[Fault Time]])*24)</f>
        <v>0</v>
      </c>
      <c r="AB262" s="27">
        <f>(TA[[#This Row],[Work Start time on Fault]]-TA[[#This Row],[Fault Time]])*24</f>
        <v>0</v>
      </c>
      <c r="AC262" s="26">
        <f>(TA[[#This Row],[Work Completion time on fault]]-TA[[#This Row],[Fault Time]])*24</f>
        <v>0</v>
      </c>
      <c r="AD262" s="27">
        <f>IFERROR((TA[[#This Row],[Work Completion time on fault]]-TA[[#This Row],[Fault Time]])*24,"")</f>
        <v>0</v>
      </c>
      <c r="AE262" t="s">
        <v>319</v>
      </c>
      <c r="AF262" t="s">
        <v>247</v>
      </c>
      <c r="AG262" s="2"/>
      <c r="AH262" s="35">
        <f>1-COS(RADIANS(TA[[#This Row],[Avg. Target Angle during Fault Time (Radians)]]-TA[[#This Row],[Angle of affected equipment ]]))</f>
        <v>0.11705240714107301</v>
      </c>
      <c r="AI262" s="27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43">
        <f t="shared" si="14"/>
        <v>2026</v>
      </c>
      <c r="C263" s="116">
        <f t="shared" si="15"/>
        <v>2025</v>
      </c>
      <c r="D263" s="2" t="s">
        <v>155</v>
      </c>
      <c r="E263" s="2" t="s">
        <v>155</v>
      </c>
      <c r="F263" s="30">
        <v>45748</v>
      </c>
      <c r="G263" s="2">
        <f>DAY(EOMONTH(TA[[#This Row],[Month Year]],0))</f>
        <v>30</v>
      </c>
      <c r="H263" s="21">
        <v>45762</v>
      </c>
      <c r="I263" s="32">
        <f>IFERROR(VLOOKUP(TA[[#This Row],[Date]],Raw_Data[[Date]:[Sunset Time (POA&lt;20 W/m2)]],3,0),"")</f>
        <v>0.2590277777777778</v>
      </c>
      <c r="J263" s="32">
        <f>IFERROR(VLOOKUP(TA[[#This Row],[Date]],Raw_Data[[Date]:[Sunset Time (POA&lt;20 W/m2)]],4,0),"")</f>
        <v>0.7680555555555556</v>
      </c>
      <c r="K263" s="27">
        <f>IFERROR((TA[[#This Row],[Sunset Time (POA&lt;20 W/m2)]]-TA[[#This Row],[Sunrise Time (POA&gt;20 W/m2)]])*24,"")</f>
        <v>12.216666666666669</v>
      </c>
      <c r="L263" s="2" t="s">
        <v>285</v>
      </c>
      <c r="M263" s="33">
        <f>IFERROR(VLOOKUP(TA[[#This Row],[Affected Equipment]],'Basic Data'!$I$2:$K$40,3,0),"")</f>
        <v>1.7241379310344799E-3</v>
      </c>
      <c r="N263">
        <v>-28</v>
      </c>
      <c r="O263" t="s">
        <v>137</v>
      </c>
      <c r="P263" s="114" t="s">
        <v>306</v>
      </c>
      <c r="Q263" s="113" t="s">
        <v>310</v>
      </c>
      <c r="R263">
        <v>166</v>
      </c>
      <c r="S263" s="2">
        <v>91</v>
      </c>
      <c r="T263" t="s">
        <v>286</v>
      </c>
      <c r="U263" t="s">
        <v>291</v>
      </c>
      <c r="V263" t="s">
        <v>289</v>
      </c>
      <c r="W263" s="32"/>
      <c r="X263" s="32"/>
      <c r="Y263" s="26"/>
      <c r="Z263" s="26"/>
      <c r="AA263" s="27">
        <f>IF(TA[[#This Row],[Work Start time on Fault]]="NA","",(TA[[#This Row],[Fault Acknowledgement Time ]]-TA[[#This Row],[Fault Time]])*24)</f>
        <v>0</v>
      </c>
      <c r="AB263" s="27">
        <f>(TA[[#This Row],[Work Start time on Fault]]-TA[[#This Row],[Fault Time]])*24</f>
        <v>0</v>
      </c>
      <c r="AC263" s="26">
        <f>(TA[[#This Row],[Work Completion time on fault]]-TA[[#This Row],[Fault Time]])*24</f>
        <v>0</v>
      </c>
      <c r="AD263" s="27">
        <f>IFERROR((TA[[#This Row],[Work Completion time on fault]]-TA[[#This Row],[Fault Time]])*24,"")</f>
        <v>0</v>
      </c>
      <c r="AE263" t="s">
        <v>319</v>
      </c>
      <c r="AF263" t="s">
        <v>247</v>
      </c>
      <c r="AG263" s="2"/>
      <c r="AH263" s="35">
        <f>1-COS(RADIANS(TA[[#This Row],[Avg. Target Angle during Fault Time (Radians)]]-TA[[#This Row],[Angle of affected equipment ]]))</f>
        <v>0.11705240714107301</v>
      </c>
      <c r="AI263" s="27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43">
        <f t="shared" si="14"/>
        <v>2026</v>
      </c>
      <c r="C264" s="116">
        <f t="shared" si="15"/>
        <v>2025</v>
      </c>
      <c r="D264" s="2" t="s">
        <v>155</v>
      </c>
      <c r="E264" s="2" t="s">
        <v>155</v>
      </c>
      <c r="F264" s="30">
        <v>45748</v>
      </c>
      <c r="G264" s="2">
        <f>DAY(EOMONTH(TA[[#This Row],[Month Year]],0))</f>
        <v>30</v>
      </c>
      <c r="H264" s="21">
        <v>45762</v>
      </c>
      <c r="I264" s="32">
        <f>IFERROR(VLOOKUP(TA[[#This Row],[Date]],Raw_Data[[Date]:[Sunset Time (POA&lt;20 W/m2)]],3,0),"")</f>
        <v>0.2590277777777778</v>
      </c>
      <c r="J264" s="32">
        <f>IFERROR(VLOOKUP(TA[[#This Row],[Date]],Raw_Data[[Date]:[Sunset Time (POA&lt;20 W/m2)]],4,0),"")</f>
        <v>0.7680555555555556</v>
      </c>
      <c r="K264" s="27">
        <f>IFERROR((TA[[#This Row],[Sunset Time (POA&lt;20 W/m2)]]-TA[[#This Row],[Sunrise Time (POA&gt;20 W/m2)]])*24,"")</f>
        <v>12.216666666666669</v>
      </c>
      <c r="L264" s="2" t="s">
        <v>285</v>
      </c>
      <c r="M264" s="33">
        <f>IFERROR(VLOOKUP(TA[[#This Row],[Affected Equipment]],'Basic Data'!$I$2:$K$40,3,0),"")</f>
        <v>1.7241379310344799E-3</v>
      </c>
      <c r="N264">
        <v>-28</v>
      </c>
      <c r="O264" t="s">
        <v>133</v>
      </c>
      <c r="P264" s="114" t="s">
        <v>307</v>
      </c>
      <c r="Q264" s="113" t="s">
        <v>307</v>
      </c>
      <c r="R264">
        <v>117</v>
      </c>
      <c r="S264" s="2">
        <v>20</v>
      </c>
      <c r="T264" t="s">
        <v>286</v>
      </c>
      <c r="U264" t="s">
        <v>291</v>
      </c>
      <c r="V264" t="s">
        <v>289</v>
      </c>
      <c r="W264" s="32"/>
      <c r="X264" s="32"/>
      <c r="Y264" s="26"/>
      <c r="Z264" s="26"/>
      <c r="AA264" s="27">
        <f>IF(TA[[#This Row],[Work Start time on Fault]]="NA","",(TA[[#This Row],[Fault Acknowledgement Time ]]-TA[[#This Row],[Fault Time]])*24)</f>
        <v>0</v>
      </c>
      <c r="AB264" s="27">
        <f>(TA[[#This Row],[Work Start time on Fault]]-TA[[#This Row],[Fault Time]])*24</f>
        <v>0</v>
      </c>
      <c r="AC264" s="26">
        <f>(TA[[#This Row],[Work Completion time on fault]]-TA[[#This Row],[Fault Time]])*24</f>
        <v>0</v>
      </c>
      <c r="AD264" s="27">
        <f>IFERROR((TA[[#This Row],[Work Completion time on fault]]-TA[[#This Row],[Fault Time]])*24,"")</f>
        <v>0</v>
      </c>
      <c r="AE264" t="s">
        <v>319</v>
      </c>
      <c r="AF264" t="s">
        <v>247</v>
      </c>
      <c r="AG264" s="2"/>
      <c r="AH264" s="35">
        <f>1-COS(RADIANS(TA[[#This Row],[Avg. Target Angle during Fault Time (Radians)]]-TA[[#This Row],[Angle of affected equipment ]]))</f>
        <v>0.11705240714107301</v>
      </c>
      <c r="AI264" s="27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43">
        <f t="shared" si="14"/>
        <v>2026</v>
      </c>
      <c r="C265" s="116">
        <f t="shared" si="15"/>
        <v>2025</v>
      </c>
      <c r="D265" s="2" t="s">
        <v>155</v>
      </c>
      <c r="E265" s="2" t="s">
        <v>155</v>
      </c>
      <c r="F265" s="30">
        <v>45748</v>
      </c>
      <c r="G265" s="2">
        <f>DAY(EOMONTH(TA[[#This Row],[Month Year]],0))</f>
        <v>30</v>
      </c>
      <c r="H265" s="21">
        <v>45762</v>
      </c>
      <c r="I265" s="32">
        <f>IFERROR(VLOOKUP(TA[[#This Row],[Date]],Raw_Data[[Date]:[Sunset Time (POA&lt;20 W/m2)]],3,0),"")</f>
        <v>0.2590277777777778</v>
      </c>
      <c r="J265" s="32">
        <f>IFERROR(VLOOKUP(TA[[#This Row],[Date]],Raw_Data[[Date]:[Sunset Time (POA&lt;20 W/m2)]],4,0),"")</f>
        <v>0.7680555555555556</v>
      </c>
      <c r="K265" s="27">
        <f>IFERROR((TA[[#This Row],[Sunset Time (POA&lt;20 W/m2)]]-TA[[#This Row],[Sunrise Time (POA&gt;20 W/m2)]])*24,"")</f>
        <v>12.216666666666669</v>
      </c>
      <c r="L265" s="2" t="s">
        <v>285</v>
      </c>
      <c r="M265" s="33">
        <f>IFERROR(VLOOKUP(TA[[#This Row],[Affected Equipment]],'Basic Data'!$I$2:$K$40,3,0),"")</f>
        <v>1.7241379310344799E-3</v>
      </c>
      <c r="N265">
        <v>-28</v>
      </c>
      <c r="O265" t="s">
        <v>133</v>
      </c>
      <c r="P265" s="114" t="s">
        <v>307</v>
      </c>
      <c r="Q265" s="113" t="s">
        <v>307</v>
      </c>
      <c r="R265">
        <v>118</v>
      </c>
      <c r="S265" s="2">
        <v>22</v>
      </c>
      <c r="T265" t="s">
        <v>286</v>
      </c>
      <c r="U265" t="s">
        <v>291</v>
      </c>
      <c r="V265" t="s">
        <v>289</v>
      </c>
      <c r="W265" s="32"/>
      <c r="X265" s="32"/>
      <c r="Y265" s="26"/>
      <c r="Z265" s="26"/>
      <c r="AA265" s="27">
        <f>IF(TA[[#This Row],[Work Start time on Fault]]="NA","",(TA[[#This Row],[Fault Acknowledgement Time ]]-TA[[#This Row],[Fault Time]])*24)</f>
        <v>0</v>
      </c>
      <c r="AB265" s="27">
        <f>(TA[[#This Row],[Work Start time on Fault]]-TA[[#This Row],[Fault Time]])*24</f>
        <v>0</v>
      </c>
      <c r="AC265" s="26">
        <f>(TA[[#This Row],[Work Completion time on fault]]-TA[[#This Row],[Fault Time]])*24</f>
        <v>0</v>
      </c>
      <c r="AD265" s="27">
        <f>IFERROR((TA[[#This Row],[Work Completion time on fault]]-TA[[#This Row],[Fault Time]])*24,"")</f>
        <v>0</v>
      </c>
      <c r="AE265" t="s">
        <v>319</v>
      </c>
      <c r="AF265" t="s">
        <v>247</v>
      </c>
      <c r="AG265" s="2"/>
      <c r="AH265" s="35">
        <f>1-COS(RADIANS(TA[[#This Row],[Avg. Target Angle during Fault Time (Radians)]]-TA[[#This Row],[Angle of affected equipment ]]))</f>
        <v>0.11705240714107301</v>
      </c>
      <c r="AI265" s="27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43">
        <f t="shared" si="14"/>
        <v>2026</v>
      </c>
      <c r="C266" s="116">
        <f t="shared" si="15"/>
        <v>2025</v>
      </c>
      <c r="D266" s="2" t="s">
        <v>155</v>
      </c>
      <c r="E266" s="2" t="s">
        <v>155</v>
      </c>
      <c r="F266" s="30">
        <v>45748</v>
      </c>
      <c r="G266" s="2">
        <f>DAY(EOMONTH(TA[[#This Row],[Month Year]],0))</f>
        <v>30</v>
      </c>
      <c r="H266" s="21">
        <v>45762</v>
      </c>
      <c r="I266" s="32">
        <f>IFERROR(VLOOKUP(TA[[#This Row],[Date]],Raw_Data[[Date]:[Sunset Time (POA&lt;20 W/m2)]],3,0),"")</f>
        <v>0.2590277777777778</v>
      </c>
      <c r="J266" s="32">
        <f>IFERROR(VLOOKUP(TA[[#This Row],[Date]],Raw_Data[[Date]:[Sunset Time (POA&lt;20 W/m2)]],4,0),"")</f>
        <v>0.7680555555555556</v>
      </c>
      <c r="K266" s="27">
        <f>IFERROR((TA[[#This Row],[Sunset Time (POA&lt;20 W/m2)]]-TA[[#This Row],[Sunrise Time (POA&gt;20 W/m2)]])*24,"")</f>
        <v>12.216666666666669</v>
      </c>
      <c r="L266" s="2" t="s">
        <v>287</v>
      </c>
      <c r="M266" s="33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314</v>
      </c>
      <c r="Q266" s="2" t="s">
        <v>320</v>
      </c>
      <c r="R266">
        <v>45</v>
      </c>
      <c r="S266" s="2">
        <v>8</v>
      </c>
      <c r="T266" t="s">
        <v>288</v>
      </c>
      <c r="U266" t="s">
        <v>317</v>
      </c>
      <c r="V266" t="s">
        <v>292</v>
      </c>
      <c r="W266" s="32">
        <f>IFERROR(VLOOKUP(TA[[#This Row],[Date]],Raw_Data[[Date]:[Sunset Time (POA&lt;20 W/m2)]],3,0),"")</f>
        <v>0.2590277777777778</v>
      </c>
      <c r="X266" s="32">
        <f>IFERROR(VLOOKUP(TA[[#This Row],[Date]],Raw_Data[[Date]:[Sunset Time (POA&lt;20 W/m2)]],3,0),"")</f>
        <v>0.2590277777777778</v>
      </c>
      <c r="Y266" s="26"/>
      <c r="Z266" s="26">
        <v>0.76041666666666663</v>
      </c>
      <c r="AA266" s="27">
        <f>IF(TA[[#This Row],[Work Start time on Fault]]="NA","",(TA[[#This Row],[Fault Acknowledgement Time ]]-TA[[#This Row],[Fault Time]])*24)</f>
        <v>0</v>
      </c>
      <c r="AB266" s="27">
        <f>(TA[[#This Row],[Work Start time on Fault]]-TA[[#This Row],[Fault Time]])*24</f>
        <v>-6.2166666666666668</v>
      </c>
      <c r="AC266" s="26">
        <f>(TA[[#This Row],[Work Completion time on fault]]-TA[[#This Row],[Fault Time]])*24</f>
        <v>12.033333333333333</v>
      </c>
      <c r="AD266" s="27">
        <f>IFERROR((TA[[#This Row],[Work Completion time on fault]]-TA[[#This Row],[Fault Time]])*24,"")</f>
        <v>12.033333333333333</v>
      </c>
      <c r="AE266" t="s">
        <v>300</v>
      </c>
      <c r="AF266" t="s">
        <v>247</v>
      </c>
      <c r="AG266" s="2"/>
      <c r="AH266" s="35">
        <f>1-COS(RADIANS(TA[[#This Row],[Avg. Target Angle during Fault Time (Radians)]]-TA[[#This Row],[Angle of affected equipment ]]))</f>
        <v>0.11705240714107301</v>
      </c>
      <c r="AI266" s="27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43">
        <f t="shared" si="14"/>
        <v>2026</v>
      </c>
      <c r="C267" s="116">
        <f t="shared" si="15"/>
        <v>2025</v>
      </c>
      <c r="D267" s="2" t="s">
        <v>155</v>
      </c>
      <c r="E267" s="2" t="s">
        <v>155</v>
      </c>
      <c r="F267" s="30">
        <v>45748</v>
      </c>
      <c r="G267" s="2">
        <f>DAY(EOMONTH(TA[[#This Row],[Month Year]],0))</f>
        <v>30</v>
      </c>
      <c r="H267" s="21">
        <v>45762</v>
      </c>
      <c r="I267" s="32">
        <f>IFERROR(VLOOKUP(TA[[#This Row],[Date]],Raw_Data[[Date]:[Sunset Time (POA&lt;20 W/m2)]],3,0),"")</f>
        <v>0.2590277777777778</v>
      </c>
      <c r="J267" s="32">
        <f>IFERROR(VLOOKUP(TA[[#This Row],[Date]],Raw_Data[[Date]:[Sunset Time (POA&lt;20 W/m2)]],4,0),"")</f>
        <v>0.7680555555555556</v>
      </c>
      <c r="K267" s="27">
        <f>IFERROR((TA[[#This Row],[Sunset Time (POA&lt;20 W/m2)]]-TA[[#This Row],[Sunrise Time (POA&gt;20 W/m2)]])*24,"")</f>
        <v>12.216666666666669</v>
      </c>
      <c r="L267" s="2" t="s">
        <v>287</v>
      </c>
      <c r="M267" s="33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314</v>
      </c>
      <c r="Q267" s="2" t="s">
        <v>320</v>
      </c>
      <c r="R267">
        <v>47</v>
      </c>
      <c r="S267" s="2">
        <v>18</v>
      </c>
      <c r="T267" t="s">
        <v>288</v>
      </c>
      <c r="U267" t="s">
        <v>317</v>
      </c>
      <c r="V267" t="s">
        <v>292</v>
      </c>
      <c r="W267" s="32">
        <f>IFERROR(VLOOKUP(TA[[#This Row],[Date]],Raw_Data[[Date]:[Sunset Time (POA&lt;20 W/m2)]],3,0),"")</f>
        <v>0.2590277777777778</v>
      </c>
      <c r="X267" s="32">
        <f>IFERROR(VLOOKUP(TA[[#This Row],[Date]],Raw_Data[[Date]:[Sunset Time (POA&lt;20 W/m2)]],3,0),"")</f>
        <v>0.2590277777777778</v>
      </c>
      <c r="Y267" s="26"/>
      <c r="Z267" s="26">
        <v>0.76041666666666663</v>
      </c>
      <c r="AA267" s="27">
        <f>IF(TA[[#This Row],[Work Start time on Fault]]="NA","",(TA[[#This Row],[Fault Acknowledgement Time ]]-TA[[#This Row],[Fault Time]])*24)</f>
        <v>0</v>
      </c>
      <c r="AB267" s="27">
        <f>(TA[[#This Row],[Work Start time on Fault]]-TA[[#This Row],[Fault Time]])*24</f>
        <v>-6.2166666666666668</v>
      </c>
      <c r="AC267" s="26">
        <f>(TA[[#This Row],[Work Completion time on fault]]-TA[[#This Row],[Fault Time]])*24</f>
        <v>12.033333333333333</v>
      </c>
      <c r="AD267" s="27">
        <f>IFERROR((TA[[#This Row],[Work Completion time on fault]]-TA[[#This Row],[Fault Time]])*24,"")</f>
        <v>12.033333333333333</v>
      </c>
      <c r="AE267" t="s">
        <v>300</v>
      </c>
      <c r="AF267" t="s">
        <v>247</v>
      </c>
      <c r="AG267" s="2"/>
      <c r="AH267" s="35">
        <f>1-COS(RADIANS(TA[[#This Row],[Avg. Target Angle during Fault Time (Radians)]]-TA[[#This Row],[Angle of affected equipment ]]))</f>
        <v>0.11705240714107301</v>
      </c>
      <c r="AI267" s="27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43">
        <f t="shared" si="14"/>
        <v>2026</v>
      </c>
      <c r="C268" s="116">
        <f t="shared" si="15"/>
        <v>2025</v>
      </c>
      <c r="D268" s="2" t="s">
        <v>155</v>
      </c>
      <c r="E268" s="2" t="s">
        <v>155</v>
      </c>
      <c r="F268" s="30">
        <v>45748</v>
      </c>
      <c r="G268" s="2">
        <f>DAY(EOMONTH(TA[[#This Row],[Month Year]],0))</f>
        <v>30</v>
      </c>
      <c r="H268" s="21">
        <v>45762</v>
      </c>
      <c r="I268" s="32">
        <f>IFERROR(VLOOKUP(TA[[#This Row],[Date]],Raw_Data[[Date]:[Sunset Time (POA&lt;20 W/m2)]],3,0),"")</f>
        <v>0.2590277777777778</v>
      </c>
      <c r="J268" s="32">
        <f>IFERROR(VLOOKUP(TA[[#This Row],[Date]],Raw_Data[[Date]:[Sunset Time (POA&lt;20 W/m2)]],4,0),"")</f>
        <v>0.7680555555555556</v>
      </c>
      <c r="K268" s="27">
        <f>IFERROR((TA[[#This Row],[Sunset Time (POA&lt;20 W/m2)]]-TA[[#This Row],[Sunrise Time (POA&gt;20 W/m2)]])*24,"")</f>
        <v>12.216666666666669</v>
      </c>
      <c r="L268" s="2" t="s">
        <v>287</v>
      </c>
      <c r="M268" s="33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321</v>
      </c>
      <c r="Q268" s="2" t="s">
        <v>314</v>
      </c>
      <c r="R268">
        <v>30</v>
      </c>
      <c r="S268" s="2">
        <v>57</v>
      </c>
      <c r="T268" t="s">
        <v>288</v>
      </c>
      <c r="U268" t="s">
        <v>317</v>
      </c>
      <c r="V268" t="s">
        <v>292</v>
      </c>
      <c r="W268" s="32">
        <f>IFERROR(VLOOKUP(TA[[#This Row],[Date]],Raw_Data[[Date]:[Sunset Time (POA&lt;20 W/m2)]],3,0),"")</f>
        <v>0.2590277777777778</v>
      </c>
      <c r="X268" s="32">
        <f>IFERROR(VLOOKUP(TA[[#This Row],[Date]],Raw_Data[[Date]:[Sunset Time (POA&lt;20 W/m2)]],3,0),"")</f>
        <v>0.2590277777777778</v>
      </c>
      <c r="Y268" s="26"/>
      <c r="Z268" s="26">
        <v>0.76041666666666663</v>
      </c>
      <c r="AA268" s="27">
        <f>IF(TA[[#This Row],[Work Start time on Fault]]="NA","",(TA[[#This Row],[Fault Acknowledgement Time ]]-TA[[#This Row],[Fault Time]])*24)</f>
        <v>0</v>
      </c>
      <c r="AB268" s="27">
        <f>(TA[[#This Row],[Work Start time on Fault]]-TA[[#This Row],[Fault Time]])*24</f>
        <v>-6.2166666666666668</v>
      </c>
      <c r="AC268" s="26">
        <f>(TA[[#This Row],[Work Completion time on fault]]-TA[[#This Row],[Fault Time]])*24</f>
        <v>12.033333333333333</v>
      </c>
      <c r="AD268" s="27">
        <f>IFERROR((TA[[#This Row],[Work Completion time on fault]]-TA[[#This Row],[Fault Time]])*24,"")</f>
        <v>12.033333333333333</v>
      </c>
      <c r="AE268" t="s">
        <v>300</v>
      </c>
      <c r="AF268" t="s">
        <v>247</v>
      </c>
      <c r="AG268" s="2"/>
      <c r="AH268" s="35">
        <f>1-COS(RADIANS(TA[[#This Row],[Avg. Target Angle during Fault Time (Radians)]]-TA[[#This Row],[Angle of affected equipment ]]))</f>
        <v>0.11705240714107301</v>
      </c>
      <c r="AI268" s="27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43">
        <f t="shared" si="14"/>
        <v>2026</v>
      </c>
      <c r="C269" s="116">
        <f t="shared" si="15"/>
        <v>2025</v>
      </c>
      <c r="D269" s="2" t="s">
        <v>155</v>
      </c>
      <c r="E269" s="2" t="s">
        <v>155</v>
      </c>
      <c r="F269" s="30">
        <v>45748</v>
      </c>
      <c r="G269" s="2">
        <f>DAY(EOMONTH(TA[[#This Row],[Month Year]],0))</f>
        <v>30</v>
      </c>
      <c r="H269" s="21">
        <v>45762</v>
      </c>
      <c r="I269" s="32">
        <f>IFERROR(VLOOKUP(TA[[#This Row],[Date]],Raw_Data[[Date]:[Sunset Time (POA&lt;20 W/m2)]],3,0),"")</f>
        <v>0.2590277777777778</v>
      </c>
      <c r="J269" s="32">
        <f>IFERROR(VLOOKUP(TA[[#This Row],[Date]],Raw_Data[[Date]:[Sunset Time (POA&lt;20 W/m2)]],4,0),"")</f>
        <v>0.7680555555555556</v>
      </c>
      <c r="K269" s="27">
        <f>IFERROR((TA[[#This Row],[Sunset Time (POA&lt;20 W/m2)]]-TA[[#This Row],[Sunrise Time (POA&gt;20 W/m2)]])*24,"")</f>
        <v>12.216666666666669</v>
      </c>
      <c r="L269" s="2" t="s">
        <v>287</v>
      </c>
      <c r="M269" s="33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321</v>
      </c>
      <c r="Q269" s="2" t="s">
        <v>314</v>
      </c>
      <c r="R269">
        <v>31</v>
      </c>
      <c r="S269" s="2">
        <v>61</v>
      </c>
      <c r="T269" t="s">
        <v>288</v>
      </c>
      <c r="U269" t="s">
        <v>317</v>
      </c>
      <c r="V269" t="s">
        <v>292</v>
      </c>
      <c r="W269" s="32">
        <f>IFERROR(VLOOKUP(TA[[#This Row],[Date]],Raw_Data[[Date]:[Sunset Time (POA&lt;20 W/m2)]],3,0),"")</f>
        <v>0.2590277777777778</v>
      </c>
      <c r="X269" s="32">
        <f>IFERROR(VLOOKUP(TA[[#This Row],[Date]],Raw_Data[[Date]:[Sunset Time (POA&lt;20 W/m2)]],3,0),"")</f>
        <v>0.2590277777777778</v>
      </c>
      <c r="Y269" s="26"/>
      <c r="Z269" s="26">
        <v>0.76041666666666663</v>
      </c>
      <c r="AA269" s="27">
        <f>IF(TA[[#This Row],[Work Start time on Fault]]="NA","",(TA[[#This Row],[Fault Acknowledgement Time ]]-TA[[#This Row],[Fault Time]])*24)</f>
        <v>0</v>
      </c>
      <c r="AB269" s="27">
        <f>(TA[[#This Row],[Work Start time on Fault]]-TA[[#This Row],[Fault Time]])*24</f>
        <v>-6.2166666666666668</v>
      </c>
      <c r="AC269" s="26">
        <f>(TA[[#This Row],[Work Completion time on fault]]-TA[[#This Row],[Fault Time]])*24</f>
        <v>12.033333333333333</v>
      </c>
      <c r="AD269" s="27">
        <f>IFERROR((TA[[#This Row],[Work Completion time on fault]]-TA[[#This Row],[Fault Time]])*24,"")</f>
        <v>12.033333333333333</v>
      </c>
      <c r="AE269" t="s">
        <v>300</v>
      </c>
      <c r="AF269" t="s">
        <v>247</v>
      </c>
      <c r="AG269" s="2"/>
      <c r="AH269" s="35">
        <f>1-COS(RADIANS(TA[[#This Row],[Avg. Target Angle during Fault Time (Radians)]]-TA[[#This Row],[Angle of affected equipment ]]))</f>
        <v>0.11705240714107301</v>
      </c>
      <c r="AI269" s="27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43">
        <f t="shared" si="14"/>
        <v>2026</v>
      </c>
      <c r="C270" s="116">
        <f t="shared" si="15"/>
        <v>2025</v>
      </c>
      <c r="D270" s="2" t="s">
        <v>155</v>
      </c>
      <c r="E270" s="2" t="s">
        <v>155</v>
      </c>
      <c r="F270" s="30">
        <v>45748</v>
      </c>
      <c r="G270" s="2">
        <f>DAY(EOMONTH(TA[[#This Row],[Month Year]],0))</f>
        <v>30</v>
      </c>
      <c r="H270" s="21">
        <v>45762</v>
      </c>
      <c r="I270" s="32">
        <f>IFERROR(VLOOKUP(TA[[#This Row],[Date]],Raw_Data[[Date]:[Sunset Time (POA&lt;20 W/m2)]],3,0),"")</f>
        <v>0.2590277777777778</v>
      </c>
      <c r="J270" s="32">
        <f>IFERROR(VLOOKUP(TA[[#This Row],[Date]],Raw_Data[[Date]:[Sunset Time (POA&lt;20 W/m2)]],4,0),"")</f>
        <v>0.7680555555555556</v>
      </c>
      <c r="K270" s="27">
        <f>IFERROR((TA[[#This Row],[Sunset Time (POA&lt;20 W/m2)]]-TA[[#This Row],[Sunrise Time (POA&gt;20 W/m2)]])*24,"")</f>
        <v>12.216666666666669</v>
      </c>
      <c r="L270" s="2" t="s">
        <v>303</v>
      </c>
      <c r="M270" s="33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321</v>
      </c>
      <c r="Q270" s="2" t="s">
        <v>314</v>
      </c>
      <c r="R270">
        <v>26</v>
      </c>
      <c r="S270" s="2">
        <v>37</v>
      </c>
      <c r="T270" t="s">
        <v>288</v>
      </c>
      <c r="U270" t="s">
        <v>317</v>
      </c>
      <c r="V270" t="s">
        <v>292</v>
      </c>
      <c r="W270" s="32">
        <f>IFERROR(VLOOKUP(TA[[#This Row],[Date]],Raw_Data[[Date]:[Sunset Time (POA&lt;20 W/m2)]],3,0),"")</f>
        <v>0.2590277777777778</v>
      </c>
      <c r="X270" s="32">
        <f>IFERROR(VLOOKUP(TA[[#This Row],[Date]],Raw_Data[[Date]:[Sunset Time (POA&lt;20 W/m2)]],3,0),"")</f>
        <v>0.2590277777777778</v>
      </c>
      <c r="Y270" s="26"/>
      <c r="Z270" s="26">
        <v>0.76041666666666663</v>
      </c>
      <c r="AA270" s="27">
        <f>IF(TA[[#This Row],[Work Start time on Fault]]="NA","",(TA[[#This Row],[Fault Acknowledgement Time ]]-TA[[#This Row],[Fault Time]])*24)</f>
        <v>0</v>
      </c>
      <c r="AB270" s="27">
        <f>(TA[[#This Row],[Work Start time on Fault]]-TA[[#This Row],[Fault Time]])*24</f>
        <v>-6.2166666666666668</v>
      </c>
      <c r="AC270" s="26">
        <f>(TA[[#This Row],[Work Completion time on fault]]-TA[[#This Row],[Fault Time]])*24</f>
        <v>12.033333333333333</v>
      </c>
      <c r="AD270" s="27">
        <f>IFERROR((TA[[#This Row],[Work Completion time on fault]]-TA[[#This Row],[Fault Time]])*24,"")</f>
        <v>12.033333333333333</v>
      </c>
      <c r="AE270" t="s">
        <v>300</v>
      </c>
      <c r="AF270" t="s">
        <v>247</v>
      </c>
      <c r="AG270" s="2"/>
      <c r="AH270" s="35">
        <f>1-COS(RADIANS(TA[[#This Row],[Avg. Target Angle during Fault Time (Radians)]]-TA[[#This Row],[Angle of affected equipment ]]))</f>
        <v>0.11705240714107301</v>
      </c>
      <c r="AI270" s="27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43">
        <f t="shared" si="14"/>
        <v>2026</v>
      </c>
      <c r="C271" s="116">
        <f t="shared" si="15"/>
        <v>2025</v>
      </c>
      <c r="D271" s="2" t="s">
        <v>155</v>
      </c>
      <c r="E271" s="2" t="s">
        <v>155</v>
      </c>
      <c r="F271" s="30">
        <v>45748</v>
      </c>
      <c r="G271" s="2">
        <f>DAY(EOMONTH(TA[[#This Row],[Month Year]],0))</f>
        <v>30</v>
      </c>
      <c r="H271" s="21">
        <v>45762</v>
      </c>
      <c r="I271" s="32">
        <f>IFERROR(VLOOKUP(TA[[#This Row],[Date]],Raw_Data[[Date]:[Sunset Time (POA&lt;20 W/m2)]],3,0),"")</f>
        <v>0.2590277777777778</v>
      </c>
      <c r="J271" s="32">
        <f>IFERROR(VLOOKUP(TA[[#This Row],[Date]],Raw_Data[[Date]:[Sunset Time (POA&lt;20 W/m2)]],4,0),"")</f>
        <v>0.7680555555555556</v>
      </c>
      <c r="K271" s="27">
        <f>IFERROR((TA[[#This Row],[Sunset Time (POA&lt;20 W/m2)]]-TA[[#This Row],[Sunrise Time (POA&gt;20 W/m2)]])*24,"")</f>
        <v>12.216666666666669</v>
      </c>
      <c r="L271" s="2" t="s">
        <v>303</v>
      </c>
      <c r="M271" s="33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321</v>
      </c>
      <c r="Q271" s="2" t="s">
        <v>314</v>
      </c>
      <c r="R271">
        <v>27</v>
      </c>
      <c r="S271" s="2">
        <v>42</v>
      </c>
      <c r="T271" t="s">
        <v>288</v>
      </c>
      <c r="U271" t="s">
        <v>317</v>
      </c>
      <c r="V271" t="s">
        <v>292</v>
      </c>
      <c r="W271" s="32">
        <f>IFERROR(VLOOKUP(TA[[#This Row],[Date]],Raw_Data[[Date]:[Sunset Time (POA&lt;20 W/m2)]],3,0),"")</f>
        <v>0.2590277777777778</v>
      </c>
      <c r="X271" s="32">
        <f>IFERROR(VLOOKUP(TA[[#This Row],[Date]],Raw_Data[[Date]:[Sunset Time (POA&lt;20 W/m2)]],3,0),"")</f>
        <v>0.2590277777777778</v>
      </c>
      <c r="Y271" s="26"/>
      <c r="Z271" s="26">
        <v>0.76041666666666663</v>
      </c>
      <c r="AA271" s="27">
        <f>IF(TA[[#This Row],[Work Start time on Fault]]="NA","",(TA[[#This Row],[Fault Acknowledgement Time ]]-TA[[#This Row],[Fault Time]])*24)</f>
        <v>0</v>
      </c>
      <c r="AB271" s="27">
        <f>(TA[[#This Row],[Work Start time on Fault]]-TA[[#This Row],[Fault Time]])*24</f>
        <v>-6.2166666666666668</v>
      </c>
      <c r="AC271" s="26">
        <f>(TA[[#This Row],[Work Completion time on fault]]-TA[[#This Row],[Fault Time]])*24</f>
        <v>12.033333333333333</v>
      </c>
      <c r="AD271" s="27">
        <f>IFERROR((TA[[#This Row],[Work Completion time on fault]]-TA[[#This Row],[Fault Time]])*24,"")</f>
        <v>12.033333333333333</v>
      </c>
      <c r="AE271" t="s">
        <v>300</v>
      </c>
      <c r="AF271" t="s">
        <v>247</v>
      </c>
      <c r="AG271" s="2"/>
      <c r="AH271" s="35">
        <f>1-COS(RADIANS(TA[[#This Row],[Avg. Target Angle during Fault Time (Radians)]]-TA[[#This Row],[Angle of affected equipment ]]))</f>
        <v>0.11705240714107301</v>
      </c>
      <c r="AI271" s="27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43">
        <f t="shared" si="14"/>
        <v>2026</v>
      </c>
      <c r="C272" s="116">
        <f t="shared" si="15"/>
        <v>2025</v>
      </c>
      <c r="D272" s="2" t="s">
        <v>155</v>
      </c>
      <c r="E272" s="2" t="s">
        <v>155</v>
      </c>
      <c r="F272" s="30">
        <v>45748</v>
      </c>
      <c r="G272" s="2">
        <f>DAY(EOMONTH(TA[[#This Row],[Month Year]],0))</f>
        <v>30</v>
      </c>
      <c r="H272" s="21">
        <v>45763</v>
      </c>
      <c r="I272" s="32">
        <f>IFERROR(VLOOKUP(TA[[#This Row],[Date]],Raw_Data[[Date]:[Sunset Time (POA&lt;20 W/m2)]],3,0),"")</f>
        <v>0.26041666666666669</v>
      </c>
      <c r="J272" s="32">
        <f>IFERROR(VLOOKUP(TA[[#This Row],[Date]],Raw_Data[[Date]:[Sunset Time (POA&lt;20 W/m2)]],4,0),"")</f>
        <v>0.76458333333333328</v>
      </c>
      <c r="K272" s="27">
        <f>IFERROR((TA[[#This Row],[Sunset Time (POA&lt;20 W/m2)]]-TA[[#This Row],[Sunrise Time (POA&gt;20 W/m2)]])*24,"")</f>
        <v>12.1</v>
      </c>
      <c r="L272" s="2" t="s">
        <v>285</v>
      </c>
      <c r="M272" s="33">
        <f>IFERROR(VLOOKUP(TA[[#This Row],[Affected Equipment]],'Basic Data'!$I$2:$K$40,3,0),"")</f>
        <v>1.7241379310344799E-3</v>
      </c>
      <c r="N272">
        <v>-28</v>
      </c>
      <c r="O272" t="s">
        <v>135</v>
      </c>
      <c r="P272" s="114" t="s">
        <v>309</v>
      </c>
      <c r="Q272" s="113" t="s">
        <v>309</v>
      </c>
      <c r="R272">
        <v>130</v>
      </c>
      <c r="S272" s="2">
        <v>37</v>
      </c>
      <c r="T272" t="s">
        <v>286</v>
      </c>
      <c r="U272" t="s">
        <v>291</v>
      </c>
      <c r="V272" t="s">
        <v>289</v>
      </c>
      <c r="W272" s="32"/>
      <c r="X272" s="32"/>
      <c r="Y272" s="26"/>
      <c r="Z272" s="26"/>
      <c r="AA272" s="27">
        <f>IF(TA[[#This Row],[Work Start time on Fault]]="NA","",(TA[[#This Row],[Fault Acknowledgement Time ]]-TA[[#This Row],[Fault Time]])*24)</f>
        <v>0</v>
      </c>
      <c r="AB272" s="27">
        <f>(TA[[#This Row],[Work Start time on Fault]]-TA[[#This Row],[Fault Time]])*24</f>
        <v>0</v>
      </c>
      <c r="AC272" s="26">
        <f>(TA[[#This Row],[Work Completion time on fault]]-TA[[#This Row],[Fault Time]])*24</f>
        <v>0</v>
      </c>
      <c r="AD272" s="27">
        <f>IFERROR((TA[[#This Row],[Work Completion time on fault]]-TA[[#This Row],[Fault Time]])*24,"")</f>
        <v>0</v>
      </c>
      <c r="AE272" t="s">
        <v>319</v>
      </c>
      <c r="AF272" t="s">
        <v>247</v>
      </c>
      <c r="AG272" s="2"/>
      <c r="AH272" s="35">
        <f>1-COS(RADIANS(TA[[#This Row],[Avg. Target Angle during Fault Time (Radians)]]-TA[[#This Row],[Angle of affected equipment ]]))</f>
        <v>0.11705240714107301</v>
      </c>
      <c r="AI272" s="27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43">
        <f t="shared" si="14"/>
        <v>2026</v>
      </c>
      <c r="C273" s="116">
        <f t="shared" si="15"/>
        <v>2025</v>
      </c>
      <c r="D273" s="2" t="s">
        <v>155</v>
      </c>
      <c r="E273" s="2" t="s">
        <v>155</v>
      </c>
      <c r="F273" s="30">
        <v>45748</v>
      </c>
      <c r="G273" s="2">
        <f>DAY(EOMONTH(TA[[#This Row],[Month Year]],0))</f>
        <v>30</v>
      </c>
      <c r="H273" s="21">
        <v>45763</v>
      </c>
      <c r="I273" s="32">
        <f>IFERROR(VLOOKUP(TA[[#This Row],[Date]],Raw_Data[[Date]:[Sunset Time (POA&lt;20 W/m2)]],3,0),"")</f>
        <v>0.26041666666666669</v>
      </c>
      <c r="J273" s="32">
        <f>IFERROR(VLOOKUP(TA[[#This Row],[Date]],Raw_Data[[Date]:[Sunset Time (POA&lt;20 W/m2)]],4,0),"")</f>
        <v>0.76458333333333328</v>
      </c>
      <c r="K273" s="27">
        <f>IFERROR((TA[[#This Row],[Sunset Time (POA&lt;20 W/m2)]]-TA[[#This Row],[Sunrise Time (POA&gt;20 W/m2)]])*24,"")</f>
        <v>12.1</v>
      </c>
      <c r="L273" s="2" t="s">
        <v>285</v>
      </c>
      <c r="M273" s="33">
        <f>IFERROR(VLOOKUP(TA[[#This Row],[Affected Equipment]],'Basic Data'!$I$2:$K$40,3,0),"")</f>
        <v>1.7241379310344799E-3</v>
      </c>
      <c r="N273">
        <v>-28</v>
      </c>
      <c r="O273" t="s">
        <v>135</v>
      </c>
      <c r="P273" s="114" t="s">
        <v>309</v>
      </c>
      <c r="Q273" s="113" t="s">
        <v>309</v>
      </c>
      <c r="R273">
        <v>131</v>
      </c>
      <c r="S273" s="2">
        <v>38</v>
      </c>
      <c r="T273" t="s">
        <v>286</v>
      </c>
      <c r="U273" t="s">
        <v>291</v>
      </c>
      <c r="V273" t="s">
        <v>289</v>
      </c>
      <c r="W273" s="32"/>
      <c r="X273" s="32"/>
      <c r="Y273" s="26"/>
      <c r="Z273" s="26"/>
      <c r="AA273" s="27">
        <f>IF(TA[[#This Row],[Work Start time on Fault]]="NA","",(TA[[#This Row],[Fault Acknowledgement Time ]]-TA[[#This Row],[Fault Time]])*24)</f>
        <v>0</v>
      </c>
      <c r="AB273" s="27">
        <f>(TA[[#This Row],[Work Start time on Fault]]-TA[[#This Row],[Fault Time]])*24</f>
        <v>0</v>
      </c>
      <c r="AC273" s="26">
        <f>(TA[[#This Row],[Work Completion time on fault]]-TA[[#This Row],[Fault Time]])*24</f>
        <v>0</v>
      </c>
      <c r="AD273" s="27">
        <f>IFERROR((TA[[#This Row],[Work Completion time on fault]]-TA[[#This Row],[Fault Time]])*24,"")</f>
        <v>0</v>
      </c>
      <c r="AE273" t="s">
        <v>319</v>
      </c>
      <c r="AF273" t="s">
        <v>247</v>
      </c>
      <c r="AG273" s="2"/>
      <c r="AH273" s="35">
        <f>1-COS(RADIANS(TA[[#This Row],[Avg. Target Angle during Fault Time (Radians)]]-TA[[#This Row],[Angle of affected equipment ]]))</f>
        <v>0.11705240714107301</v>
      </c>
      <c r="AI273" s="27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43">
        <f t="shared" si="14"/>
        <v>2026</v>
      </c>
      <c r="C274" s="116">
        <f t="shared" si="15"/>
        <v>2025</v>
      </c>
      <c r="D274" s="2" t="s">
        <v>155</v>
      </c>
      <c r="E274" s="2" t="s">
        <v>155</v>
      </c>
      <c r="F274" s="30">
        <v>45748</v>
      </c>
      <c r="G274" s="2">
        <f>DAY(EOMONTH(TA[[#This Row],[Month Year]],0))</f>
        <v>30</v>
      </c>
      <c r="H274" s="21">
        <v>45763</v>
      </c>
      <c r="I274" s="32">
        <f>IFERROR(VLOOKUP(TA[[#This Row],[Date]],Raw_Data[[Date]:[Sunset Time (POA&lt;20 W/m2)]],3,0),"")</f>
        <v>0.26041666666666669</v>
      </c>
      <c r="J274" s="32">
        <f>IFERROR(VLOOKUP(TA[[#This Row],[Date]],Raw_Data[[Date]:[Sunset Time (POA&lt;20 W/m2)]],4,0),"")</f>
        <v>0.76458333333333328</v>
      </c>
      <c r="K274" s="27">
        <f>IFERROR((TA[[#This Row],[Sunset Time (POA&lt;20 W/m2)]]-TA[[#This Row],[Sunrise Time (POA&gt;20 W/m2)]])*24,"")</f>
        <v>12.1</v>
      </c>
      <c r="L274" s="2" t="s">
        <v>285</v>
      </c>
      <c r="M274" s="33">
        <f>IFERROR(VLOOKUP(TA[[#This Row],[Affected Equipment]],'Basic Data'!$I$2:$K$40,3,0),"")</f>
        <v>1.7241379310344799E-3</v>
      </c>
      <c r="N274">
        <v>-28</v>
      </c>
      <c r="O274" t="s">
        <v>135</v>
      </c>
      <c r="P274" s="114" t="s">
        <v>309</v>
      </c>
      <c r="Q274" s="113" t="s">
        <v>309</v>
      </c>
      <c r="R274">
        <v>131</v>
      </c>
      <c r="S274" s="2">
        <v>39</v>
      </c>
      <c r="T274" t="s">
        <v>286</v>
      </c>
      <c r="U274" t="s">
        <v>291</v>
      </c>
      <c r="V274" t="s">
        <v>289</v>
      </c>
      <c r="W274" s="32"/>
      <c r="X274" s="32"/>
      <c r="Y274" s="26"/>
      <c r="Z274" s="26"/>
      <c r="AA274" s="27">
        <f>IF(TA[[#This Row],[Work Start time on Fault]]="NA","",(TA[[#This Row],[Fault Acknowledgement Time ]]-TA[[#This Row],[Fault Time]])*24)</f>
        <v>0</v>
      </c>
      <c r="AB274" s="27">
        <f>(TA[[#This Row],[Work Start time on Fault]]-TA[[#This Row],[Fault Time]])*24</f>
        <v>0</v>
      </c>
      <c r="AC274" s="26">
        <f>(TA[[#This Row],[Work Completion time on fault]]-TA[[#This Row],[Fault Time]])*24</f>
        <v>0</v>
      </c>
      <c r="AD274" s="27">
        <f>IFERROR((TA[[#This Row],[Work Completion time on fault]]-TA[[#This Row],[Fault Time]])*24,"")</f>
        <v>0</v>
      </c>
      <c r="AE274" t="s">
        <v>319</v>
      </c>
      <c r="AF274" t="s">
        <v>247</v>
      </c>
      <c r="AG274" s="2"/>
      <c r="AH274" s="35">
        <f>1-COS(RADIANS(TA[[#This Row],[Avg. Target Angle during Fault Time (Radians)]]-TA[[#This Row],[Angle of affected equipment ]]))</f>
        <v>0.11705240714107301</v>
      </c>
      <c r="AI274" s="27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43">
        <f t="shared" si="14"/>
        <v>2026</v>
      </c>
      <c r="C275" s="116">
        <f t="shared" si="15"/>
        <v>2025</v>
      </c>
      <c r="D275" s="2" t="s">
        <v>155</v>
      </c>
      <c r="E275" s="2" t="s">
        <v>155</v>
      </c>
      <c r="F275" s="30">
        <v>45748</v>
      </c>
      <c r="G275" s="2">
        <f>DAY(EOMONTH(TA[[#This Row],[Month Year]],0))</f>
        <v>30</v>
      </c>
      <c r="H275" s="21">
        <v>45763</v>
      </c>
      <c r="I275" s="32">
        <f>IFERROR(VLOOKUP(TA[[#This Row],[Date]],Raw_Data[[Date]:[Sunset Time (POA&lt;20 W/m2)]],3,0),"")</f>
        <v>0.26041666666666669</v>
      </c>
      <c r="J275" s="32">
        <f>IFERROR(VLOOKUP(TA[[#This Row],[Date]],Raw_Data[[Date]:[Sunset Time (POA&lt;20 W/m2)]],4,0),"")</f>
        <v>0.76458333333333328</v>
      </c>
      <c r="K275" s="27">
        <f>IFERROR((TA[[#This Row],[Sunset Time (POA&lt;20 W/m2)]]-TA[[#This Row],[Sunrise Time (POA&gt;20 W/m2)]])*24,"")</f>
        <v>12.1</v>
      </c>
      <c r="L275" s="2" t="s">
        <v>287</v>
      </c>
      <c r="M275" s="33">
        <f>IFERROR(VLOOKUP(TA[[#This Row],[Affected Equipment]],'Basic Data'!$I$2:$K$40,3,0),"")</f>
        <v>8.6206896551724102E-3</v>
      </c>
      <c r="N275">
        <v>-28</v>
      </c>
      <c r="O275" t="s">
        <v>135</v>
      </c>
      <c r="P275" s="114" t="s">
        <v>309</v>
      </c>
      <c r="Q275" s="2" t="s">
        <v>312</v>
      </c>
      <c r="R275">
        <v>133</v>
      </c>
      <c r="S275" s="2">
        <v>26</v>
      </c>
      <c r="T275" t="s">
        <v>288</v>
      </c>
      <c r="U275" t="s">
        <v>291</v>
      </c>
      <c r="V275" t="s">
        <v>305</v>
      </c>
      <c r="W275" s="32"/>
      <c r="X275" s="32"/>
      <c r="Y275" s="26"/>
      <c r="Z275" s="26"/>
      <c r="AA275" s="27">
        <f>IF(TA[[#This Row],[Work Start time on Fault]]="NA","",(TA[[#This Row],[Fault Acknowledgement Time ]]-TA[[#This Row],[Fault Time]])*24)</f>
        <v>0</v>
      </c>
      <c r="AB275" s="27">
        <f>(TA[[#This Row],[Work Start time on Fault]]-TA[[#This Row],[Fault Time]])*24</f>
        <v>0</v>
      </c>
      <c r="AC275" s="26">
        <f>(TA[[#This Row],[Work Completion time on fault]]-TA[[#This Row],[Fault Time]])*24</f>
        <v>0</v>
      </c>
      <c r="AD275" s="27">
        <f>IFERROR((TA[[#This Row],[Work Completion time on fault]]-TA[[#This Row],[Fault Time]])*24,"")</f>
        <v>0</v>
      </c>
      <c r="AE275" t="s">
        <v>319</v>
      </c>
      <c r="AF275" t="s">
        <v>247</v>
      </c>
      <c r="AG275" s="2"/>
      <c r="AH275" s="35">
        <f>1-COS(RADIANS(TA[[#This Row],[Avg. Target Angle during Fault Time (Radians)]]-TA[[#This Row],[Angle of affected equipment ]]))</f>
        <v>0.11705240714107301</v>
      </c>
      <c r="AI275" s="27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43">
        <f t="shared" si="14"/>
        <v>2026</v>
      </c>
      <c r="C276" s="116">
        <f t="shared" si="15"/>
        <v>2025</v>
      </c>
      <c r="D276" s="2" t="s">
        <v>155</v>
      </c>
      <c r="E276" s="2" t="s">
        <v>155</v>
      </c>
      <c r="F276" s="30">
        <v>45748</v>
      </c>
      <c r="G276" s="2">
        <f>DAY(EOMONTH(TA[[#This Row],[Month Year]],0))</f>
        <v>30</v>
      </c>
      <c r="H276" s="21">
        <v>45763</v>
      </c>
      <c r="I276" s="32">
        <f>IFERROR(VLOOKUP(TA[[#This Row],[Date]],Raw_Data[[Date]:[Sunset Time (POA&lt;20 W/m2)]],3,0),"")</f>
        <v>0.26041666666666669</v>
      </c>
      <c r="J276" s="32">
        <f>IFERROR(VLOOKUP(TA[[#This Row],[Date]],Raw_Data[[Date]:[Sunset Time (POA&lt;20 W/m2)]],4,0),"")</f>
        <v>0.76458333333333328</v>
      </c>
      <c r="K276" s="27">
        <f>IFERROR((TA[[#This Row],[Sunset Time (POA&lt;20 W/m2)]]-TA[[#This Row],[Sunrise Time (POA&gt;20 W/m2)]])*24,"")</f>
        <v>12.1</v>
      </c>
      <c r="L276" s="2" t="s">
        <v>285</v>
      </c>
      <c r="M276" s="33">
        <f>IFERROR(VLOOKUP(TA[[#This Row],[Affected Equipment]],'Basic Data'!$I$2:$K$40,3,0),"")</f>
        <v>1.7241379310344799E-3</v>
      </c>
      <c r="N276">
        <v>-28</v>
      </c>
      <c r="O276" t="s">
        <v>133</v>
      </c>
      <c r="P276" s="114" t="s">
        <v>307</v>
      </c>
      <c r="Q276" s="113" t="s">
        <v>308</v>
      </c>
      <c r="R276">
        <v>7</v>
      </c>
      <c r="S276" s="2">
        <v>32</v>
      </c>
      <c r="T276" t="s">
        <v>286</v>
      </c>
      <c r="U276" t="s">
        <v>291</v>
      </c>
      <c r="V276" t="s">
        <v>289</v>
      </c>
      <c r="W276" s="32"/>
      <c r="X276" s="32"/>
      <c r="Y276" s="26"/>
      <c r="Z276" s="26"/>
      <c r="AA276" s="27">
        <f>IF(TA[[#This Row],[Work Start time on Fault]]="NA","",(TA[[#This Row],[Fault Acknowledgement Time ]]-TA[[#This Row],[Fault Time]])*24)</f>
        <v>0</v>
      </c>
      <c r="AB276" s="27">
        <f>(TA[[#This Row],[Work Start time on Fault]]-TA[[#This Row],[Fault Time]])*24</f>
        <v>0</v>
      </c>
      <c r="AC276" s="26">
        <f>(TA[[#This Row],[Work Completion time on fault]]-TA[[#This Row],[Fault Time]])*24</f>
        <v>0</v>
      </c>
      <c r="AD276" s="27">
        <f>IFERROR((TA[[#This Row],[Work Completion time on fault]]-TA[[#This Row],[Fault Time]])*24,"")</f>
        <v>0</v>
      </c>
      <c r="AE276" t="s">
        <v>319</v>
      </c>
      <c r="AF276" t="s">
        <v>247</v>
      </c>
      <c r="AG276" s="2"/>
      <c r="AH276" s="35">
        <f>1-COS(RADIANS(TA[[#This Row],[Avg. Target Angle during Fault Time (Radians)]]-TA[[#This Row],[Angle of affected equipment ]]))</f>
        <v>0.11705240714107301</v>
      </c>
      <c r="AI276" s="27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43">
        <f t="shared" si="14"/>
        <v>2026</v>
      </c>
      <c r="C277" s="116">
        <f t="shared" si="15"/>
        <v>2025</v>
      </c>
      <c r="D277" s="2" t="s">
        <v>155</v>
      </c>
      <c r="E277" s="2" t="s">
        <v>155</v>
      </c>
      <c r="F277" s="30">
        <v>45748</v>
      </c>
      <c r="G277" s="2">
        <f>DAY(EOMONTH(TA[[#This Row],[Month Year]],0))</f>
        <v>30</v>
      </c>
      <c r="H277" s="21">
        <v>45763</v>
      </c>
      <c r="I277" s="32">
        <f>IFERROR(VLOOKUP(TA[[#This Row],[Date]],Raw_Data[[Date]:[Sunset Time (POA&lt;20 W/m2)]],3,0),"")</f>
        <v>0.26041666666666669</v>
      </c>
      <c r="J277" s="32">
        <f>IFERROR(VLOOKUP(TA[[#This Row],[Date]],Raw_Data[[Date]:[Sunset Time (POA&lt;20 W/m2)]],4,0),"")</f>
        <v>0.76458333333333328</v>
      </c>
      <c r="K277" s="27">
        <f>IFERROR((TA[[#This Row],[Sunset Time (POA&lt;20 W/m2)]]-TA[[#This Row],[Sunrise Time (POA&gt;20 W/m2)]])*24,"")</f>
        <v>12.1</v>
      </c>
      <c r="L277" s="2" t="s">
        <v>285</v>
      </c>
      <c r="M277" s="33">
        <f>IFERROR(VLOOKUP(TA[[#This Row],[Affected Equipment]],'Basic Data'!$I$2:$K$40,3,0),"")</f>
        <v>1.7241379310344799E-3</v>
      </c>
      <c r="N277">
        <v>-28</v>
      </c>
      <c r="O277" t="s">
        <v>137</v>
      </c>
      <c r="P277" s="114" t="s">
        <v>306</v>
      </c>
      <c r="Q277" s="113" t="s">
        <v>310</v>
      </c>
      <c r="R277">
        <v>166</v>
      </c>
      <c r="S277" s="2">
        <v>91</v>
      </c>
      <c r="T277" t="s">
        <v>286</v>
      </c>
      <c r="U277" t="s">
        <v>291</v>
      </c>
      <c r="V277" t="s">
        <v>289</v>
      </c>
      <c r="W277" s="32"/>
      <c r="X277" s="32"/>
      <c r="Y277" s="26"/>
      <c r="Z277" s="26"/>
      <c r="AA277" s="27">
        <f>IF(TA[[#This Row],[Work Start time on Fault]]="NA","",(TA[[#This Row],[Fault Acknowledgement Time ]]-TA[[#This Row],[Fault Time]])*24)</f>
        <v>0</v>
      </c>
      <c r="AB277" s="27">
        <f>(TA[[#This Row],[Work Start time on Fault]]-TA[[#This Row],[Fault Time]])*24</f>
        <v>0</v>
      </c>
      <c r="AC277" s="26">
        <f>(TA[[#This Row],[Work Completion time on fault]]-TA[[#This Row],[Fault Time]])*24</f>
        <v>0</v>
      </c>
      <c r="AD277" s="27">
        <f>IFERROR((TA[[#This Row],[Work Completion time on fault]]-TA[[#This Row],[Fault Time]])*24,"")</f>
        <v>0</v>
      </c>
      <c r="AE277" t="s">
        <v>319</v>
      </c>
      <c r="AF277" t="s">
        <v>247</v>
      </c>
      <c r="AG277" s="2"/>
      <c r="AH277" s="35">
        <f>1-COS(RADIANS(TA[[#This Row],[Avg. Target Angle during Fault Time (Radians)]]-TA[[#This Row],[Angle of affected equipment ]]))</f>
        <v>0.11705240714107301</v>
      </c>
      <c r="AI277" s="27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43">
        <f t="shared" si="14"/>
        <v>2026</v>
      </c>
      <c r="C278" s="116">
        <f t="shared" si="15"/>
        <v>2025</v>
      </c>
      <c r="D278" s="2" t="s">
        <v>155</v>
      </c>
      <c r="E278" s="2" t="s">
        <v>155</v>
      </c>
      <c r="F278" s="30">
        <v>45748</v>
      </c>
      <c r="G278" s="2">
        <f>DAY(EOMONTH(TA[[#This Row],[Month Year]],0))</f>
        <v>30</v>
      </c>
      <c r="H278" s="21">
        <v>45763</v>
      </c>
      <c r="I278" s="32">
        <f>IFERROR(VLOOKUP(TA[[#This Row],[Date]],Raw_Data[[Date]:[Sunset Time (POA&lt;20 W/m2)]],3,0),"")</f>
        <v>0.26041666666666669</v>
      </c>
      <c r="J278" s="32">
        <f>IFERROR(VLOOKUP(TA[[#This Row],[Date]],Raw_Data[[Date]:[Sunset Time (POA&lt;20 W/m2)]],4,0),"")</f>
        <v>0.76458333333333328</v>
      </c>
      <c r="K278" s="27">
        <f>IFERROR((TA[[#This Row],[Sunset Time (POA&lt;20 W/m2)]]-TA[[#This Row],[Sunrise Time (POA&gt;20 W/m2)]])*24,"")</f>
        <v>12.1</v>
      </c>
      <c r="L278" s="2" t="s">
        <v>285</v>
      </c>
      <c r="M278" s="33">
        <f>IFERROR(VLOOKUP(TA[[#This Row],[Affected Equipment]],'Basic Data'!$I$2:$K$40,3,0),"")</f>
        <v>1.7241379310344799E-3</v>
      </c>
      <c r="N278">
        <v>-28</v>
      </c>
      <c r="O278" t="s">
        <v>133</v>
      </c>
      <c r="P278" s="114" t="s">
        <v>307</v>
      </c>
      <c r="Q278" s="113" t="s">
        <v>307</v>
      </c>
      <c r="R278">
        <v>117</v>
      </c>
      <c r="S278" s="2">
        <v>20</v>
      </c>
      <c r="T278" t="s">
        <v>286</v>
      </c>
      <c r="U278" t="s">
        <v>291</v>
      </c>
      <c r="V278" t="s">
        <v>289</v>
      </c>
      <c r="W278" s="32"/>
      <c r="X278" s="32"/>
      <c r="Y278" s="26"/>
      <c r="Z278" s="26"/>
      <c r="AA278" s="27">
        <f>IF(TA[[#This Row],[Work Start time on Fault]]="NA","",(TA[[#This Row],[Fault Acknowledgement Time ]]-TA[[#This Row],[Fault Time]])*24)</f>
        <v>0</v>
      </c>
      <c r="AB278" s="27">
        <f>(TA[[#This Row],[Work Start time on Fault]]-TA[[#This Row],[Fault Time]])*24</f>
        <v>0</v>
      </c>
      <c r="AC278" s="26">
        <f>(TA[[#This Row],[Work Completion time on fault]]-TA[[#This Row],[Fault Time]])*24</f>
        <v>0</v>
      </c>
      <c r="AD278" s="27">
        <f>IFERROR((TA[[#This Row],[Work Completion time on fault]]-TA[[#This Row],[Fault Time]])*24,"")</f>
        <v>0</v>
      </c>
      <c r="AE278" t="s">
        <v>319</v>
      </c>
      <c r="AF278" t="s">
        <v>247</v>
      </c>
      <c r="AG278" s="2"/>
      <c r="AH278" s="35">
        <f>1-COS(RADIANS(TA[[#This Row],[Avg. Target Angle during Fault Time (Radians)]]-TA[[#This Row],[Angle of affected equipment ]]))</f>
        <v>0.11705240714107301</v>
      </c>
      <c r="AI278" s="27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43">
        <f t="shared" si="14"/>
        <v>2026</v>
      </c>
      <c r="C279" s="116">
        <f t="shared" si="15"/>
        <v>2025</v>
      </c>
      <c r="D279" s="2" t="s">
        <v>155</v>
      </c>
      <c r="E279" s="2" t="s">
        <v>155</v>
      </c>
      <c r="F279" s="30">
        <v>45748</v>
      </c>
      <c r="G279" s="2">
        <f>DAY(EOMONTH(TA[[#This Row],[Month Year]],0))</f>
        <v>30</v>
      </c>
      <c r="H279" s="21">
        <v>45763</v>
      </c>
      <c r="I279" s="32">
        <f>IFERROR(VLOOKUP(TA[[#This Row],[Date]],Raw_Data[[Date]:[Sunset Time (POA&lt;20 W/m2)]],3,0),"")</f>
        <v>0.26041666666666669</v>
      </c>
      <c r="J279" s="32">
        <f>IFERROR(VLOOKUP(TA[[#This Row],[Date]],Raw_Data[[Date]:[Sunset Time (POA&lt;20 W/m2)]],4,0),"")</f>
        <v>0.76458333333333328</v>
      </c>
      <c r="K279" s="27">
        <f>IFERROR((TA[[#This Row],[Sunset Time (POA&lt;20 W/m2)]]-TA[[#This Row],[Sunrise Time (POA&gt;20 W/m2)]])*24,"")</f>
        <v>12.1</v>
      </c>
      <c r="L279" s="2" t="s">
        <v>285</v>
      </c>
      <c r="M279" s="33">
        <f>IFERROR(VLOOKUP(TA[[#This Row],[Affected Equipment]],'Basic Data'!$I$2:$K$40,3,0),"")</f>
        <v>1.7241379310344799E-3</v>
      </c>
      <c r="N279">
        <v>-28</v>
      </c>
      <c r="O279" t="s">
        <v>133</v>
      </c>
      <c r="P279" s="114" t="s">
        <v>307</v>
      </c>
      <c r="Q279" s="113" t="s">
        <v>307</v>
      </c>
      <c r="R279">
        <v>118</v>
      </c>
      <c r="S279" s="2">
        <v>22</v>
      </c>
      <c r="T279" t="s">
        <v>286</v>
      </c>
      <c r="U279" t="s">
        <v>291</v>
      </c>
      <c r="V279" t="s">
        <v>289</v>
      </c>
      <c r="W279" s="32"/>
      <c r="X279" s="32"/>
      <c r="Y279" s="26"/>
      <c r="Z279" s="26"/>
      <c r="AA279" s="27">
        <f>IF(TA[[#This Row],[Work Start time on Fault]]="NA","",(TA[[#This Row],[Fault Acknowledgement Time ]]-TA[[#This Row],[Fault Time]])*24)</f>
        <v>0</v>
      </c>
      <c r="AB279" s="27">
        <f>(TA[[#This Row],[Work Start time on Fault]]-TA[[#This Row],[Fault Time]])*24</f>
        <v>0</v>
      </c>
      <c r="AC279" s="26">
        <f>(TA[[#This Row],[Work Completion time on fault]]-TA[[#This Row],[Fault Time]])*24</f>
        <v>0</v>
      </c>
      <c r="AD279" s="27">
        <f>IFERROR((TA[[#This Row],[Work Completion time on fault]]-TA[[#This Row],[Fault Time]])*24,"")</f>
        <v>0</v>
      </c>
      <c r="AE279" t="s">
        <v>319</v>
      </c>
      <c r="AF279" t="s">
        <v>247</v>
      </c>
      <c r="AG279" s="2"/>
      <c r="AH279" s="35">
        <f>1-COS(RADIANS(TA[[#This Row],[Avg. Target Angle during Fault Time (Radians)]]-TA[[#This Row],[Angle of affected equipment ]]))</f>
        <v>0.11705240714107301</v>
      </c>
      <c r="AI279" s="27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43">
        <f t="shared" si="14"/>
        <v>2026</v>
      </c>
      <c r="C280" s="116">
        <f t="shared" si="15"/>
        <v>2025</v>
      </c>
      <c r="D280" s="2" t="s">
        <v>155</v>
      </c>
      <c r="E280" s="2" t="s">
        <v>155</v>
      </c>
      <c r="F280" s="30">
        <v>45748</v>
      </c>
      <c r="G280" s="2">
        <f>DAY(EOMONTH(TA[[#This Row],[Month Year]],0))</f>
        <v>30</v>
      </c>
      <c r="H280" s="21">
        <v>45763</v>
      </c>
      <c r="I280" s="32">
        <f>IFERROR(VLOOKUP(TA[[#This Row],[Date]],Raw_Data[[Date]:[Sunset Time (POA&lt;20 W/m2)]],3,0),"")</f>
        <v>0.26041666666666669</v>
      </c>
      <c r="J280" s="32">
        <f>IFERROR(VLOOKUP(TA[[#This Row],[Date]],Raw_Data[[Date]:[Sunset Time (POA&lt;20 W/m2)]],4,0),"")</f>
        <v>0.76458333333333328</v>
      </c>
      <c r="K280" s="27">
        <f>IFERROR((TA[[#This Row],[Sunset Time (POA&lt;20 W/m2)]]-TA[[#This Row],[Sunrise Time (POA&gt;20 W/m2)]])*24,"")</f>
        <v>12.1</v>
      </c>
      <c r="L280" s="2" t="s">
        <v>287</v>
      </c>
      <c r="M280" s="33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314</v>
      </c>
      <c r="Q280" s="2" t="s">
        <v>320</v>
      </c>
      <c r="R280">
        <v>45</v>
      </c>
      <c r="S280" s="2">
        <v>8</v>
      </c>
      <c r="T280" t="s">
        <v>288</v>
      </c>
      <c r="U280" t="s">
        <v>317</v>
      </c>
      <c r="V280" t="s">
        <v>292</v>
      </c>
      <c r="W280" s="32">
        <f>IFERROR(VLOOKUP(TA[[#This Row],[Date]],Raw_Data[[Date]:[Sunset Time (POA&lt;20 W/m2)]],3,0),"")</f>
        <v>0.26041666666666669</v>
      </c>
      <c r="X280" s="32">
        <f>IFERROR(VLOOKUP(TA[[#This Row],[Date]],Raw_Data[[Date]:[Sunset Time (POA&lt;20 W/m2)]],3,0),"")</f>
        <v>0.26041666666666669</v>
      </c>
      <c r="Y280" s="26"/>
      <c r="Z280" s="26">
        <v>0.76041666666666663</v>
      </c>
      <c r="AA280" s="27">
        <f>IF(TA[[#This Row],[Work Start time on Fault]]="NA","",(TA[[#This Row],[Fault Acknowledgement Time ]]-TA[[#This Row],[Fault Time]])*24)</f>
        <v>0</v>
      </c>
      <c r="AB280" s="27">
        <f>(TA[[#This Row],[Work Start time on Fault]]-TA[[#This Row],[Fault Time]])*24</f>
        <v>-6.25</v>
      </c>
      <c r="AC280" s="26">
        <f>(TA[[#This Row],[Work Completion time on fault]]-TA[[#This Row],[Fault Time]])*24</f>
        <v>11.999999999999998</v>
      </c>
      <c r="AD280" s="27">
        <f>IFERROR((TA[[#This Row],[Work Completion time on fault]]-TA[[#This Row],[Fault Time]])*24,"")</f>
        <v>11.999999999999998</v>
      </c>
      <c r="AE280" t="s">
        <v>300</v>
      </c>
      <c r="AF280" t="s">
        <v>247</v>
      </c>
      <c r="AG280" s="2"/>
      <c r="AH280" s="35">
        <f>1-COS(RADIANS(TA[[#This Row],[Avg. Target Angle during Fault Time (Radians)]]-TA[[#This Row],[Angle of affected equipment ]]))</f>
        <v>0.11705240714107301</v>
      </c>
      <c r="AI280" s="27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43">
        <f t="shared" si="14"/>
        <v>2026</v>
      </c>
      <c r="C281" s="116">
        <f t="shared" si="15"/>
        <v>2025</v>
      </c>
      <c r="D281" s="2" t="s">
        <v>155</v>
      </c>
      <c r="E281" s="2" t="s">
        <v>155</v>
      </c>
      <c r="F281" s="30">
        <v>45748</v>
      </c>
      <c r="G281" s="2">
        <f>DAY(EOMONTH(TA[[#This Row],[Month Year]],0))</f>
        <v>30</v>
      </c>
      <c r="H281" s="21">
        <v>45763</v>
      </c>
      <c r="I281" s="32">
        <f>IFERROR(VLOOKUP(TA[[#This Row],[Date]],Raw_Data[[Date]:[Sunset Time (POA&lt;20 W/m2)]],3,0),"")</f>
        <v>0.26041666666666669</v>
      </c>
      <c r="J281" s="32">
        <f>IFERROR(VLOOKUP(TA[[#This Row],[Date]],Raw_Data[[Date]:[Sunset Time (POA&lt;20 W/m2)]],4,0),"")</f>
        <v>0.76458333333333328</v>
      </c>
      <c r="K281" s="27">
        <f>IFERROR((TA[[#This Row],[Sunset Time (POA&lt;20 W/m2)]]-TA[[#This Row],[Sunrise Time (POA&gt;20 W/m2)]])*24,"")</f>
        <v>12.1</v>
      </c>
      <c r="L281" s="2" t="s">
        <v>287</v>
      </c>
      <c r="M281" s="33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314</v>
      </c>
      <c r="Q281" s="2" t="s">
        <v>320</v>
      </c>
      <c r="R281">
        <v>47</v>
      </c>
      <c r="S281" s="2">
        <v>18</v>
      </c>
      <c r="T281" t="s">
        <v>288</v>
      </c>
      <c r="U281" t="s">
        <v>317</v>
      </c>
      <c r="V281" t="s">
        <v>292</v>
      </c>
      <c r="W281" s="32">
        <f>IFERROR(VLOOKUP(TA[[#This Row],[Date]],Raw_Data[[Date]:[Sunset Time (POA&lt;20 W/m2)]],3,0),"")</f>
        <v>0.26041666666666669</v>
      </c>
      <c r="X281" s="32">
        <f>IFERROR(VLOOKUP(TA[[#This Row],[Date]],Raw_Data[[Date]:[Sunset Time (POA&lt;20 W/m2)]],3,0),"")</f>
        <v>0.26041666666666669</v>
      </c>
      <c r="Y281" s="26"/>
      <c r="Z281" s="26">
        <v>0.76041666666666663</v>
      </c>
      <c r="AA281" s="27">
        <f>IF(TA[[#This Row],[Work Start time on Fault]]="NA","",(TA[[#This Row],[Fault Acknowledgement Time ]]-TA[[#This Row],[Fault Time]])*24)</f>
        <v>0</v>
      </c>
      <c r="AB281" s="27">
        <f>(TA[[#This Row],[Work Start time on Fault]]-TA[[#This Row],[Fault Time]])*24</f>
        <v>-6.25</v>
      </c>
      <c r="AC281" s="26">
        <f>(TA[[#This Row],[Work Completion time on fault]]-TA[[#This Row],[Fault Time]])*24</f>
        <v>11.999999999999998</v>
      </c>
      <c r="AD281" s="27">
        <f>IFERROR((TA[[#This Row],[Work Completion time on fault]]-TA[[#This Row],[Fault Time]])*24,"")</f>
        <v>11.999999999999998</v>
      </c>
      <c r="AE281" t="s">
        <v>300</v>
      </c>
      <c r="AF281" t="s">
        <v>247</v>
      </c>
      <c r="AG281" s="2"/>
      <c r="AH281" s="35">
        <f>1-COS(RADIANS(TA[[#This Row],[Avg. Target Angle during Fault Time (Radians)]]-TA[[#This Row],[Angle of affected equipment ]]))</f>
        <v>0.11705240714107301</v>
      </c>
      <c r="AI281" s="27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43">
        <f t="shared" si="14"/>
        <v>2026</v>
      </c>
      <c r="C282" s="116">
        <f t="shared" si="15"/>
        <v>2025</v>
      </c>
      <c r="D282" s="2" t="s">
        <v>155</v>
      </c>
      <c r="E282" s="2" t="s">
        <v>155</v>
      </c>
      <c r="F282" s="30">
        <v>45748</v>
      </c>
      <c r="G282" s="2">
        <f>DAY(EOMONTH(TA[[#This Row],[Month Year]],0))</f>
        <v>30</v>
      </c>
      <c r="H282" s="21">
        <v>45763</v>
      </c>
      <c r="I282" s="32">
        <f>IFERROR(VLOOKUP(TA[[#This Row],[Date]],Raw_Data[[Date]:[Sunset Time (POA&lt;20 W/m2)]],3,0),"")</f>
        <v>0.26041666666666669</v>
      </c>
      <c r="J282" s="32">
        <f>IFERROR(VLOOKUP(TA[[#This Row],[Date]],Raw_Data[[Date]:[Sunset Time (POA&lt;20 W/m2)]],4,0),"")</f>
        <v>0.76458333333333328</v>
      </c>
      <c r="K282" s="27">
        <f>IFERROR((TA[[#This Row],[Sunset Time (POA&lt;20 W/m2)]]-TA[[#This Row],[Sunrise Time (POA&gt;20 W/m2)]])*24,"")</f>
        <v>12.1</v>
      </c>
      <c r="L282" s="2" t="s">
        <v>287</v>
      </c>
      <c r="M282" s="33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321</v>
      </c>
      <c r="Q282" s="2" t="s">
        <v>314</v>
      </c>
      <c r="R282">
        <v>30</v>
      </c>
      <c r="S282" s="2">
        <v>57</v>
      </c>
      <c r="T282" t="s">
        <v>288</v>
      </c>
      <c r="U282" t="s">
        <v>317</v>
      </c>
      <c r="V282" t="s">
        <v>292</v>
      </c>
      <c r="W282" s="32">
        <f>IFERROR(VLOOKUP(TA[[#This Row],[Date]],Raw_Data[[Date]:[Sunset Time (POA&lt;20 W/m2)]],3,0),"")</f>
        <v>0.26041666666666669</v>
      </c>
      <c r="X282" s="32">
        <f>IFERROR(VLOOKUP(TA[[#This Row],[Date]],Raw_Data[[Date]:[Sunset Time (POA&lt;20 W/m2)]],3,0),"")</f>
        <v>0.26041666666666669</v>
      </c>
      <c r="Y282" s="26"/>
      <c r="Z282" s="26">
        <v>0.76041666666666663</v>
      </c>
      <c r="AA282" s="27">
        <f>IF(TA[[#This Row],[Work Start time on Fault]]="NA","",(TA[[#This Row],[Fault Acknowledgement Time ]]-TA[[#This Row],[Fault Time]])*24)</f>
        <v>0</v>
      </c>
      <c r="AB282" s="27">
        <f>(TA[[#This Row],[Work Start time on Fault]]-TA[[#This Row],[Fault Time]])*24</f>
        <v>-6.25</v>
      </c>
      <c r="AC282" s="26">
        <f>(TA[[#This Row],[Work Completion time on fault]]-TA[[#This Row],[Fault Time]])*24</f>
        <v>11.999999999999998</v>
      </c>
      <c r="AD282" s="27">
        <f>IFERROR((TA[[#This Row],[Work Completion time on fault]]-TA[[#This Row],[Fault Time]])*24,"")</f>
        <v>11.999999999999998</v>
      </c>
      <c r="AE282" t="s">
        <v>300</v>
      </c>
      <c r="AF282" t="s">
        <v>247</v>
      </c>
      <c r="AG282" s="2"/>
      <c r="AH282" s="35">
        <f>1-COS(RADIANS(TA[[#This Row],[Avg. Target Angle during Fault Time (Radians)]]-TA[[#This Row],[Angle of affected equipment ]]))</f>
        <v>0.11705240714107301</v>
      </c>
      <c r="AI282" s="27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43">
        <f t="shared" si="14"/>
        <v>2026</v>
      </c>
      <c r="C283" s="116">
        <f t="shared" si="15"/>
        <v>2025</v>
      </c>
      <c r="D283" s="2" t="s">
        <v>155</v>
      </c>
      <c r="E283" s="2" t="s">
        <v>155</v>
      </c>
      <c r="F283" s="30">
        <v>45748</v>
      </c>
      <c r="G283" s="2">
        <f>DAY(EOMONTH(TA[[#This Row],[Month Year]],0))</f>
        <v>30</v>
      </c>
      <c r="H283" s="21">
        <v>45763</v>
      </c>
      <c r="I283" s="32">
        <f>IFERROR(VLOOKUP(TA[[#This Row],[Date]],Raw_Data[[Date]:[Sunset Time (POA&lt;20 W/m2)]],3,0),"")</f>
        <v>0.26041666666666669</v>
      </c>
      <c r="J283" s="32">
        <f>IFERROR(VLOOKUP(TA[[#This Row],[Date]],Raw_Data[[Date]:[Sunset Time (POA&lt;20 W/m2)]],4,0),"")</f>
        <v>0.76458333333333328</v>
      </c>
      <c r="K283" s="27">
        <f>IFERROR((TA[[#This Row],[Sunset Time (POA&lt;20 W/m2)]]-TA[[#This Row],[Sunrise Time (POA&gt;20 W/m2)]])*24,"")</f>
        <v>12.1</v>
      </c>
      <c r="L283" s="2" t="s">
        <v>287</v>
      </c>
      <c r="M283" s="33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321</v>
      </c>
      <c r="Q283" s="2" t="s">
        <v>314</v>
      </c>
      <c r="R283">
        <v>31</v>
      </c>
      <c r="S283" s="2">
        <v>61</v>
      </c>
      <c r="T283" t="s">
        <v>288</v>
      </c>
      <c r="U283" t="s">
        <v>317</v>
      </c>
      <c r="V283" t="s">
        <v>292</v>
      </c>
      <c r="W283" s="32">
        <f>IFERROR(VLOOKUP(TA[[#This Row],[Date]],Raw_Data[[Date]:[Sunset Time (POA&lt;20 W/m2)]],3,0),"")</f>
        <v>0.26041666666666669</v>
      </c>
      <c r="X283" s="32">
        <f>IFERROR(VLOOKUP(TA[[#This Row],[Date]],Raw_Data[[Date]:[Sunset Time (POA&lt;20 W/m2)]],3,0),"")</f>
        <v>0.26041666666666669</v>
      </c>
      <c r="Y283" s="26"/>
      <c r="Z283" s="26">
        <v>0.76041666666666663</v>
      </c>
      <c r="AA283" s="27">
        <f>IF(TA[[#This Row],[Work Start time on Fault]]="NA","",(TA[[#This Row],[Fault Acknowledgement Time ]]-TA[[#This Row],[Fault Time]])*24)</f>
        <v>0</v>
      </c>
      <c r="AB283" s="27">
        <f>(TA[[#This Row],[Work Start time on Fault]]-TA[[#This Row],[Fault Time]])*24</f>
        <v>-6.25</v>
      </c>
      <c r="AC283" s="26">
        <f>(TA[[#This Row],[Work Completion time on fault]]-TA[[#This Row],[Fault Time]])*24</f>
        <v>11.999999999999998</v>
      </c>
      <c r="AD283" s="27">
        <f>IFERROR((TA[[#This Row],[Work Completion time on fault]]-TA[[#This Row],[Fault Time]])*24,"")</f>
        <v>11.999999999999998</v>
      </c>
      <c r="AE283" t="s">
        <v>300</v>
      </c>
      <c r="AF283" t="s">
        <v>247</v>
      </c>
      <c r="AG283" s="2"/>
      <c r="AH283" s="35">
        <f>1-COS(RADIANS(TA[[#This Row],[Avg. Target Angle during Fault Time (Radians)]]-TA[[#This Row],[Angle of affected equipment ]]))</f>
        <v>0.11705240714107301</v>
      </c>
      <c r="AI283" s="27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43">
        <f t="shared" si="14"/>
        <v>2026</v>
      </c>
      <c r="C284" s="116">
        <f t="shared" si="15"/>
        <v>2025</v>
      </c>
      <c r="D284" s="2" t="s">
        <v>155</v>
      </c>
      <c r="E284" s="2" t="s">
        <v>155</v>
      </c>
      <c r="F284" s="30">
        <v>45748</v>
      </c>
      <c r="G284" s="2">
        <f>DAY(EOMONTH(TA[[#This Row],[Month Year]],0))</f>
        <v>30</v>
      </c>
      <c r="H284" s="21">
        <v>45763</v>
      </c>
      <c r="I284" s="32">
        <f>IFERROR(VLOOKUP(TA[[#This Row],[Date]],Raw_Data[[Date]:[Sunset Time (POA&lt;20 W/m2)]],3,0),"")</f>
        <v>0.26041666666666669</v>
      </c>
      <c r="J284" s="32">
        <f>IFERROR(VLOOKUP(TA[[#This Row],[Date]],Raw_Data[[Date]:[Sunset Time (POA&lt;20 W/m2)]],4,0),"")</f>
        <v>0.76458333333333328</v>
      </c>
      <c r="K284" s="27">
        <f>IFERROR((TA[[#This Row],[Sunset Time (POA&lt;20 W/m2)]]-TA[[#This Row],[Sunrise Time (POA&gt;20 W/m2)]])*24,"")</f>
        <v>12.1</v>
      </c>
      <c r="L284" s="2" t="s">
        <v>303</v>
      </c>
      <c r="M284" s="33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321</v>
      </c>
      <c r="Q284" s="2" t="s">
        <v>314</v>
      </c>
      <c r="R284">
        <v>26</v>
      </c>
      <c r="S284" s="2">
        <v>37</v>
      </c>
      <c r="T284" t="s">
        <v>288</v>
      </c>
      <c r="U284" t="s">
        <v>317</v>
      </c>
      <c r="V284" t="s">
        <v>292</v>
      </c>
      <c r="W284" s="32">
        <f>IFERROR(VLOOKUP(TA[[#This Row],[Date]],Raw_Data[[Date]:[Sunset Time (POA&lt;20 W/m2)]],3,0),"")</f>
        <v>0.26041666666666669</v>
      </c>
      <c r="X284" s="32">
        <f>IFERROR(VLOOKUP(TA[[#This Row],[Date]],Raw_Data[[Date]:[Sunset Time (POA&lt;20 W/m2)]],3,0),"")</f>
        <v>0.26041666666666669</v>
      </c>
      <c r="Y284" s="26"/>
      <c r="Z284" s="26">
        <v>0.76041666666666663</v>
      </c>
      <c r="AA284" s="27">
        <f>IF(TA[[#This Row],[Work Start time on Fault]]="NA","",(TA[[#This Row],[Fault Acknowledgement Time ]]-TA[[#This Row],[Fault Time]])*24)</f>
        <v>0</v>
      </c>
      <c r="AB284" s="27">
        <f>(TA[[#This Row],[Work Start time on Fault]]-TA[[#This Row],[Fault Time]])*24</f>
        <v>-6.25</v>
      </c>
      <c r="AC284" s="26">
        <f>(TA[[#This Row],[Work Completion time on fault]]-TA[[#This Row],[Fault Time]])*24</f>
        <v>11.999999999999998</v>
      </c>
      <c r="AD284" s="27">
        <f>IFERROR((TA[[#This Row],[Work Completion time on fault]]-TA[[#This Row],[Fault Time]])*24,"")</f>
        <v>11.999999999999998</v>
      </c>
      <c r="AE284" t="s">
        <v>300</v>
      </c>
      <c r="AF284" t="s">
        <v>247</v>
      </c>
      <c r="AG284" s="2"/>
      <c r="AH284" s="35">
        <f>1-COS(RADIANS(TA[[#This Row],[Avg. Target Angle during Fault Time (Radians)]]-TA[[#This Row],[Angle of affected equipment ]]))</f>
        <v>0.11705240714107301</v>
      </c>
      <c r="AI284" s="27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43">
        <f t="shared" si="14"/>
        <v>2026</v>
      </c>
      <c r="C285" s="116">
        <f t="shared" si="15"/>
        <v>2025</v>
      </c>
      <c r="D285" s="2" t="s">
        <v>155</v>
      </c>
      <c r="E285" s="2" t="s">
        <v>155</v>
      </c>
      <c r="F285" s="30">
        <v>45748</v>
      </c>
      <c r="G285" s="2">
        <f>DAY(EOMONTH(TA[[#This Row],[Month Year]],0))</f>
        <v>30</v>
      </c>
      <c r="H285" s="21">
        <v>45763</v>
      </c>
      <c r="I285" s="32">
        <f>IFERROR(VLOOKUP(TA[[#This Row],[Date]],Raw_Data[[Date]:[Sunset Time (POA&lt;20 W/m2)]],3,0),"")</f>
        <v>0.26041666666666669</v>
      </c>
      <c r="J285" s="32">
        <f>IFERROR(VLOOKUP(TA[[#This Row],[Date]],Raw_Data[[Date]:[Sunset Time (POA&lt;20 W/m2)]],4,0),"")</f>
        <v>0.76458333333333328</v>
      </c>
      <c r="K285" s="27">
        <f>IFERROR((TA[[#This Row],[Sunset Time (POA&lt;20 W/m2)]]-TA[[#This Row],[Sunrise Time (POA&gt;20 W/m2)]])*24,"")</f>
        <v>12.1</v>
      </c>
      <c r="L285" s="2" t="s">
        <v>303</v>
      </c>
      <c r="M285" s="33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321</v>
      </c>
      <c r="Q285" s="2" t="s">
        <v>314</v>
      </c>
      <c r="R285">
        <v>27</v>
      </c>
      <c r="S285" s="2">
        <v>42</v>
      </c>
      <c r="T285" t="s">
        <v>288</v>
      </c>
      <c r="U285" t="s">
        <v>317</v>
      </c>
      <c r="V285" t="s">
        <v>292</v>
      </c>
      <c r="W285" s="32">
        <f>IFERROR(VLOOKUP(TA[[#This Row],[Date]],Raw_Data[[Date]:[Sunset Time (POA&lt;20 W/m2)]],3,0),"")</f>
        <v>0.26041666666666669</v>
      </c>
      <c r="X285" s="32">
        <f>IFERROR(VLOOKUP(TA[[#This Row],[Date]],Raw_Data[[Date]:[Sunset Time (POA&lt;20 W/m2)]],3,0),"")</f>
        <v>0.26041666666666669</v>
      </c>
      <c r="Y285" s="26"/>
      <c r="Z285" s="26">
        <v>0.76041666666666663</v>
      </c>
      <c r="AA285" s="27">
        <f>IF(TA[[#This Row],[Work Start time on Fault]]="NA","",(TA[[#This Row],[Fault Acknowledgement Time ]]-TA[[#This Row],[Fault Time]])*24)</f>
        <v>0</v>
      </c>
      <c r="AB285" s="27">
        <f>(TA[[#This Row],[Work Start time on Fault]]-TA[[#This Row],[Fault Time]])*24</f>
        <v>-6.25</v>
      </c>
      <c r="AC285" s="26">
        <f>(TA[[#This Row],[Work Completion time on fault]]-TA[[#This Row],[Fault Time]])*24</f>
        <v>11.999999999999998</v>
      </c>
      <c r="AD285" s="27">
        <f>IFERROR((TA[[#This Row],[Work Completion time on fault]]-TA[[#This Row],[Fault Time]])*24,"")</f>
        <v>11.999999999999998</v>
      </c>
      <c r="AE285" t="s">
        <v>300</v>
      </c>
      <c r="AF285" t="s">
        <v>247</v>
      </c>
      <c r="AG285" s="2"/>
      <c r="AH285" s="35">
        <f>1-COS(RADIANS(TA[[#This Row],[Avg. Target Angle during Fault Time (Radians)]]-TA[[#This Row],[Angle of affected equipment ]]))</f>
        <v>0.11705240714107301</v>
      </c>
      <c r="AI285" s="27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43">
        <f t="shared" si="14"/>
        <v>2026</v>
      </c>
      <c r="C286" s="116">
        <f t="shared" si="15"/>
        <v>2025</v>
      </c>
      <c r="D286" s="2" t="s">
        <v>155</v>
      </c>
      <c r="E286" s="2" t="s">
        <v>155</v>
      </c>
      <c r="F286" s="30">
        <v>45748</v>
      </c>
      <c r="G286" s="2">
        <f>DAY(EOMONTH(TA[[#This Row],[Month Year]],0))</f>
        <v>30</v>
      </c>
      <c r="H286" s="21">
        <v>45764</v>
      </c>
      <c r="I286" s="32">
        <f>IFERROR(VLOOKUP(TA[[#This Row],[Date]],Raw_Data[[Date]:[Sunset Time (POA&lt;20 W/m2)]],3,0),"")</f>
        <v>0.25833333333333336</v>
      </c>
      <c r="J286" s="32">
        <f>IFERROR(VLOOKUP(TA[[#This Row],[Date]],Raw_Data[[Date]:[Sunset Time (POA&lt;20 W/m2)]],4,0),"")</f>
        <v>0.76527777777777772</v>
      </c>
      <c r="K286" s="27">
        <f>IFERROR((TA[[#This Row],[Sunset Time (POA&lt;20 W/m2)]]-TA[[#This Row],[Sunrise Time (POA&gt;20 W/m2)]])*24,"")</f>
        <v>12.166666666666666</v>
      </c>
      <c r="L286" s="2" t="s">
        <v>285</v>
      </c>
      <c r="M286" s="33">
        <f>IFERROR(VLOOKUP(TA[[#This Row],[Affected Equipment]],'Basic Data'!$I$2:$K$40,3,0),"")</f>
        <v>1.7241379310344799E-3</v>
      </c>
      <c r="N286">
        <v>-28</v>
      </c>
      <c r="O286" t="s">
        <v>135</v>
      </c>
      <c r="P286" s="114" t="s">
        <v>309</v>
      </c>
      <c r="Q286" s="113" t="s">
        <v>309</v>
      </c>
      <c r="R286">
        <v>130</v>
      </c>
      <c r="S286" s="2">
        <v>37</v>
      </c>
      <c r="T286" t="s">
        <v>286</v>
      </c>
      <c r="U286" t="s">
        <v>291</v>
      </c>
      <c r="V286" t="s">
        <v>289</v>
      </c>
      <c r="W286" s="32"/>
      <c r="X286" s="32"/>
      <c r="Y286" s="26"/>
      <c r="Z286" s="26"/>
      <c r="AA286" s="27">
        <f>IF(TA[[#This Row],[Work Start time on Fault]]="NA","",(TA[[#This Row],[Fault Acknowledgement Time ]]-TA[[#This Row],[Fault Time]])*24)</f>
        <v>0</v>
      </c>
      <c r="AB286" s="27">
        <f>(TA[[#This Row],[Work Start time on Fault]]-TA[[#This Row],[Fault Time]])*24</f>
        <v>0</v>
      </c>
      <c r="AC286" s="26">
        <f>(TA[[#This Row],[Work Completion time on fault]]-TA[[#This Row],[Fault Time]])*24</f>
        <v>0</v>
      </c>
      <c r="AD286" s="27">
        <f>IFERROR((TA[[#This Row],[Work Completion time on fault]]-TA[[#This Row],[Fault Time]])*24,"")</f>
        <v>0</v>
      </c>
      <c r="AE286" t="s">
        <v>319</v>
      </c>
      <c r="AF286" t="s">
        <v>247</v>
      </c>
      <c r="AG286" s="2"/>
      <c r="AH286" s="35">
        <f>1-COS(RADIANS(TA[[#This Row],[Avg. Target Angle during Fault Time (Radians)]]-TA[[#This Row],[Angle of affected equipment ]]))</f>
        <v>0.11705240714107301</v>
      </c>
      <c r="AI286" s="27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43">
        <f t="shared" si="14"/>
        <v>2026</v>
      </c>
      <c r="C287" s="116">
        <f t="shared" si="15"/>
        <v>2025</v>
      </c>
      <c r="D287" s="2" t="s">
        <v>155</v>
      </c>
      <c r="E287" s="2" t="s">
        <v>155</v>
      </c>
      <c r="F287" s="30">
        <v>45748</v>
      </c>
      <c r="G287" s="2">
        <f>DAY(EOMONTH(TA[[#This Row],[Month Year]],0))</f>
        <v>30</v>
      </c>
      <c r="H287" s="21">
        <v>45764</v>
      </c>
      <c r="I287" s="32">
        <f>IFERROR(VLOOKUP(TA[[#This Row],[Date]],Raw_Data[[Date]:[Sunset Time (POA&lt;20 W/m2)]],3,0),"")</f>
        <v>0.25833333333333336</v>
      </c>
      <c r="J287" s="32">
        <f>IFERROR(VLOOKUP(TA[[#This Row],[Date]],Raw_Data[[Date]:[Sunset Time (POA&lt;20 W/m2)]],4,0),"")</f>
        <v>0.76527777777777772</v>
      </c>
      <c r="K287" s="27">
        <f>IFERROR((TA[[#This Row],[Sunset Time (POA&lt;20 W/m2)]]-TA[[#This Row],[Sunrise Time (POA&gt;20 W/m2)]])*24,"")</f>
        <v>12.166666666666666</v>
      </c>
      <c r="L287" s="2" t="s">
        <v>285</v>
      </c>
      <c r="M287" s="33">
        <f>IFERROR(VLOOKUP(TA[[#This Row],[Affected Equipment]],'Basic Data'!$I$2:$K$40,3,0),"")</f>
        <v>1.7241379310344799E-3</v>
      </c>
      <c r="N287">
        <v>-28</v>
      </c>
      <c r="O287" t="s">
        <v>135</v>
      </c>
      <c r="P287" s="114" t="s">
        <v>309</v>
      </c>
      <c r="Q287" s="113" t="s">
        <v>309</v>
      </c>
      <c r="R287">
        <v>131</v>
      </c>
      <c r="S287" s="2">
        <v>38</v>
      </c>
      <c r="T287" t="s">
        <v>286</v>
      </c>
      <c r="U287" t="s">
        <v>291</v>
      </c>
      <c r="V287" t="s">
        <v>289</v>
      </c>
      <c r="W287" s="32"/>
      <c r="X287" s="32"/>
      <c r="Y287" s="26"/>
      <c r="Z287" s="26"/>
      <c r="AA287" s="27">
        <f>IF(TA[[#This Row],[Work Start time on Fault]]="NA","",(TA[[#This Row],[Fault Acknowledgement Time ]]-TA[[#This Row],[Fault Time]])*24)</f>
        <v>0</v>
      </c>
      <c r="AB287" s="27">
        <f>(TA[[#This Row],[Work Start time on Fault]]-TA[[#This Row],[Fault Time]])*24</f>
        <v>0</v>
      </c>
      <c r="AC287" s="26">
        <f>(TA[[#This Row],[Work Completion time on fault]]-TA[[#This Row],[Fault Time]])*24</f>
        <v>0</v>
      </c>
      <c r="AD287" s="27">
        <f>IFERROR((TA[[#This Row],[Work Completion time on fault]]-TA[[#This Row],[Fault Time]])*24,"")</f>
        <v>0</v>
      </c>
      <c r="AE287" t="s">
        <v>319</v>
      </c>
      <c r="AF287" t="s">
        <v>247</v>
      </c>
      <c r="AG287" s="2"/>
      <c r="AH287" s="35">
        <f>1-COS(RADIANS(TA[[#This Row],[Avg. Target Angle during Fault Time (Radians)]]-TA[[#This Row],[Angle of affected equipment ]]))</f>
        <v>0.11705240714107301</v>
      </c>
      <c r="AI287" s="27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43">
        <f t="shared" si="14"/>
        <v>2026</v>
      </c>
      <c r="C288" s="116">
        <f t="shared" si="15"/>
        <v>2025</v>
      </c>
      <c r="D288" s="2" t="s">
        <v>155</v>
      </c>
      <c r="E288" s="2" t="s">
        <v>155</v>
      </c>
      <c r="F288" s="30">
        <v>45748</v>
      </c>
      <c r="G288" s="2">
        <f>DAY(EOMONTH(TA[[#This Row],[Month Year]],0))</f>
        <v>30</v>
      </c>
      <c r="H288" s="21">
        <v>45764</v>
      </c>
      <c r="I288" s="32">
        <f>IFERROR(VLOOKUP(TA[[#This Row],[Date]],Raw_Data[[Date]:[Sunset Time (POA&lt;20 W/m2)]],3,0),"")</f>
        <v>0.25833333333333336</v>
      </c>
      <c r="J288" s="32">
        <f>IFERROR(VLOOKUP(TA[[#This Row],[Date]],Raw_Data[[Date]:[Sunset Time (POA&lt;20 W/m2)]],4,0),"")</f>
        <v>0.76527777777777772</v>
      </c>
      <c r="K288" s="27">
        <f>IFERROR((TA[[#This Row],[Sunset Time (POA&lt;20 W/m2)]]-TA[[#This Row],[Sunrise Time (POA&gt;20 W/m2)]])*24,"")</f>
        <v>12.166666666666666</v>
      </c>
      <c r="L288" s="2" t="s">
        <v>285</v>
      </c>
      <c r="M288" s="33">
        <f>IFERROR(VLOOKUP(TA[[#This Row],[Affected Equipment]],'Basic Data'!$I$2:$K$40,3,0),"")</f>
        <v>1.7241379310344799E-3</v>
      </c>
      <c r="N288">
        <v>-28</v>
      </c>
      <c r="O288" t="s">
        <v>135</v>
      </c>
      <c r="P288" s="114" t="s">
        <v>309</v>
      </c>
      <c r="Q288" s="113" t="s">
        <v>309</v>
      </c>
      <c r="R288">
        <v>131</v>
      </c>
      <c r="S288" s="2">
        <v>39</v>
      </c>
      <c r="T288" t="s">
        <v>286</v>
      </c>
      <c r="U288" t="s">
        <v>291</v>
      </c>
      <c r="V288" t="s">
        <v>289</v>
      </c>
      <c r="W288" s="32"/>
      <c r="X288" s="32"/>
      <c r="Y288" s="26"/>
      <c r="Z288" s="26"/>
      <c r="AA288" s="27">
        <f>IF(TA[[#This Row],[Work Start time on Fault]]="NA","",(TA[[#This Row],[Fault Acknowledgement Time ]]-TA[[#This Row],[Fault Time]])*24)</f>
        <v>0</v>
      </c>
      <c r="AB288" s="27">
        <f>(TA[[#This Row],[Work Start time on Fault]]-TA[[#This Row],[Fault Time]])*24</f>
        <v>0</v>
      </c>
      <c r="AC288" s="26">
        <f>(TA[[#This Row],[Work Completion time on fault]]-TA[[#This Row],[Fault Time]])*24</f>
        <v>0</v>
      </c>
      <c r="AD288" s="27">
        <f>IFERROR((TA[[#This Row],[Work Completion time on fault]]-TA[[#This Row],[Fault Time]])*24,"")</f>
        <v>0</v>
      </c>
      <c r="AE288" t="s">
        <v>319</v>
      </c>
      <c r="AF288" t="s">
        <v>247</v>
      </c>
      <c r="AG288" s="2"/>
      <c r="AH288" s="35">
        <f>1-COS(RADIANS(TA[[#This Row],[Avg. Target Angle during Fault Time (Radians)]]-TA[[#This Row],[Angle of affected equipment ]]))</f>
        <v>0.11705240714107301</v>
      </c>
      <c r="AI288" s="27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43">
        <f t="shared" si="14"/>
        <v>2026</v>
      </c>
      <c r="C289" s="116">
        <f t="shared" si="15"/>
        <v>2025</v>
      </c>
      <c r="D289" s="2" t="s">
        <v>155</v>
      </c>
      <c r="E289" s="2" t="s">
        <v>155</v>
      </c>
      <c r="F289" s="30">
        <v>45748</v>
      </c>
      <c r="G289" s="2">
        <f>DAY(EOMONTH(TA[[#This Row],[Month Year]],0))</f>
        <v>30</v>
      </c>
      <c r="H289" s="21">
        <v>45764</v>
      </c>
      <c r="I289" s="32">
        <f>IFERROR(VLOOKUP(TA[[#This Row],[Date]],Raw_Data[[Date]:[Sunset Time (POA&lt;20 W/m2)]],3,0),"")</f>
        <v>0.25833333333333336</v>
      </c>
      <c r="J289" s="32">
        <f>IFERROR(VLOOKUP(TA[[#This Row],[Date]],Raw_Data[[Date]:[Sunset Time (POA&lt;20 W/m2)]],4,0),"")</f>
        <v>0.76527777777777772</v>
      </c>
      <c r="K289" s="27">
        <f>IFERROR((TA[[#This Row],[Sunset Time (POA&lt;20 W/m2)]]-TA[[#This Row],[Sunrise Time (POA&gt;20 W/m2)]])*24,"")</f>
        <v>12.166666666666666</v>
      </c>
      <c r="L289" s="2" t="s">
        <v>287</v>
      </c>
      <c r="M289" s="33">
        <f>IFERROR(VLOOKUP(TA[[#This Row],[Affected Equipment]],'Basic Data'!$I$2:$K$40,3,0),"")</f>
        <v>8.6206896551724102E-3</v>
      </c>
      <c r="N289">
        <v>-28</v>
      </c>
      <c r="O289" t="s">
        <v>135</v>
      </c>
      <c r="P289" s="114" t="s">
        <v>309</v>
      </c>
      <c r="Q289" s="2" t="s">
        <v>312</v>
      </c>
      <c r="R289">
        <v>133</v>
      </c>
      <c r="S289" s="2">
        <v>26</v>
      </c>
      <c r="T289" t="s">
        <v>288</v>
      </c>
      <c r="U289" t="s">
        <v>291</v>
      </c>
      <c r="V289" t="s">
        <v>305</v>
      </c>
      <c r="W289" s="32"/>
      <c r="X289" s="32"/>
      <c r="Y289" s="26"/>
      <c r="Z289" s="26"/>
      <c r="AA289" s="27">
        <f>IF(TA[[#This Row],[Work Start time on Fault]]="NA","",(TA[[#This Row],[Fault Acknowledgement Time ]]-TA[[#This Row],[Fault Time]])*24)</f>
        <v>0</v>
      </c>
      <c r="AB289" s="27">
        <f>(TA[[#This Row],[Work Start time on Fault]]-TA[[#This Row],[Fault Time]])*24</f>
        <v>0</v>
      </c>
      <c r="AC289" s="26">
        <f>(TA[[#This Row],[Work Completion time on fault]]-TA[[#This Row],[Fault Time]])*24</f>
        <v>0</v>
      </c>
      <c r="AD289" s="27">
        <f>IFERROR((TA[[#This Row],[Work Completion time on fault]]-TA[[#This Row],[Fault Time]])*24,"")</f>
        <v>0</v>
      </c>
      <c r="AE289" t="s">
        <v>319</v>
      </c>
      <c r="AF289" t="s">
        <v>247</v>
      </c>
      <c r="AG289" s="2"/>
      <c r="AH289" s="35">
        <f>1-COS(RADIANS(TA[[#This Row],[Avg. Target Angle during Fault Time (Radians)]]-TA[[#This Row],[Angle of affected equipment ]]))</f>
        <v>0.11705240714107301</v>
      </c>
      <c r="AI289" s="27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43">
        <f t="shared" si="14"/>
        <v>2026</v>
      </c>
      <c r="C290" s="116">
        <f t="shared" si="15"/>
        <v>2025</v>
      </c>
      <c r="D290" s="2" t="s">
        <v>155</v>
      </c>
      <c r="E290" s="2" t="s">
        <v>155</v>
      </c>
      <c r="F290" s="30">
        <v>45748</v>
      </c>
      <c r="G290" s="2">
        <f>DAY(EOMONTH(TA[[#This Row],[Month Year]],0))</f>
        <v>30</v>
      </c>
      <c r="H290" s="21">
        <v>45764</v>
      </c>
      <c r="I290" s="32">
        <f>IFERROR(VLOOKUP(TA[[#This Row],[Date]],Raw_Data[[Date]:[Sunset Time (POA&lt;20 W/m2)]],3,0),"")</f>
        <v>0.25833333333333336</v>
      </c>
      <c r="J290" s="32">
        <f>IFERROR(VLOOKUP(TA[[#This Row],[Date]],Raw_Data[[Date]:[Sunset Time (POA&lt;20 W/m2)]],4,0),"")</f>
        <v>0.76527777777777772</v>
      </c>
      <c r="K290" s="27">
        <f>IFERROR((TA[[#This Row],[Sunset Time (POA&lt;20 W/m2)]]-TA[[#This Row],[Sunrise Time (POA&gt;20 W/m2)]])*24,"")</f>
        <v>12.166666666666666</v>
      </c>
      <c r="L290" s="2" t="s">
        <v>285</v>
      </c>
      <c r="M290" s="33">
        <f>IFERROR(VLOOKUP(TA[[#This Row],[Affected Equipment]],'Basic Data'!$I$2:$K$40,3,0),"")</f>
        <v>1.7241379310344799E-3</v>
      </c>
      <c r="N290">
        <v>-28</v>
      </c>
      <c r="O290" t="s">
        <v>133</v>
      </c>
      <c r="P290" s="114" t="s">
        <v>307</v>
      </c>
      <c r="Q290" s="113" t="s">
        <v>308</v>
      </c>
      <c r="R290">
        <v>7</v>
      </c>
      <c r="S290" s="2">
        <v>32</v>
      </c>
      <c r="T290" t="s">
        <v>286</v>
      </c>
      <c r="U290" t="s">
        <v>291</v>
      </c>
      <c r="V290" t="s">
        <v>289</v>
      </c>
      <c r="W290" s="32"/>
      <c r="X290" s="32"/>
      <c r="Y290" s="26"/>
      <c r="Z290" s="26"/>
      <c r="AA290" s="27">
        <f>IF(TA[[#This Row],[Work Start time on Fault]]="NA","",(TA[[#This Row],[Fault Acknowledgement Time ]]-TA[[#This Row],[Fault Time]])*24)</f>
        <v>0</v>
      </c>
      <c r="AB290" s="27">
        <f>(TA[[#This Row],[Work Start time on Fault]]-TA[[#This Row],[Fault Time]])*24</f>
        <v>0</v>
      </c>
      <c r="AC290" s="26">
        <f>(TA[[#This Row],[Work Completion time on fault]]-TA[[#This Row],[Fault Time]])*24</f>
        <v>0</v>
      </c>
      <c r="AD290" s="27">
        <f>IFERROR((TA[[#This Row],[Work Completion time on fault]]-TA[[#This Row],[Fault Time]])*24,"")</f>
        <v>0</v>
      </c>
      <c r="AE290" t="s">
        <v>319</v>
      </c>
      <c r="AF290" t="s">
        <v>247</v>
      </c>
      <c r="AG290" s="2"/>
      <c r="AH290" s="35">
        <f>1-COS(RADIANS(TA[[#This Row],[Avg. Target Angle during Fault Time (Radians)]]-TA[[#This Row],[Angle of affected equipment ]]))</f>
        <v>0.11705240714107301</v>
      </c>
      <c r="AI290" s="27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43">
        <f t="shared" si="14"/>
        <v>2026</v>
      </c>
      <c r="C291" s="116">
        <f t="shared" si="15"/>
        <v>2025</v>
      </c>
      <c r="D291" s="2" t="s">
        <v>155</v>
      </c>
      <c r="E291" s="2" t="s">
        <v>155</v>
      </c>
      <c r="F291" s="30">
        <v>45748</v>
      </c>
      <c r="G291" s="2">
        <f>DAY(EOMONTH(TA[[#This Row],[Month Year]],0))</f>
        <v>30</v>
      </c>
      <c r="H291" s="21">
        <v>45764</v>
      </c>
      <c r="I291" s="32">
        <f>IFERROR(VLOOKUP(TA[[#This Row],[Date]],Raw_Data[[Date]:[Sunset Time (POA&lt;20 W/m2)]],3,0),"")</f>
        <v>0.25833333333333336</v>
      </c>
      <c r="J291" s="32">
        <f>IFERROR(VLOOKUP(TA[[#This Row],[Date]],Raw_Data[[Date]:[Sunset Time (POA&lt;20 W/m2)]],4,0),"")</f>
        <v>0.76527777777777772</v>
      </c>
      <c r="K291" s="27">
        <f>IFERROR((TA[[#This Row],[Sunset Time (POA&lt;20 W/m2)]]-TA[[#This Row],[Sunrise Time (POA&gt;20 W/m2)]])*24,"")</f>
        <v>12.166666666666666</v>
      </c>
      <c r="L291" s="2" t="s">
        <v>285</v>
      </c>
      <c r="M291" s="33">
        <f>IFERROR(VLOOKUP(TA[[#This Row],[Affected Equipment]],'Basic Data'!$I$2:$K$40,3,0),"")</f>
        <v>1.7241379310344799E-3</v>
      </c>
      <c r="N291">
        <v>-28</v>
      </c>
      <c r="O291" t="s">
        <v>137</v>
      </c>
      <c r="P291" s="114" t="s">
        <v>306</v>
      </c>
      <c r="Q291" s="113" t="s">
        <v>310</v>
      </c>
      <c r="R291">
        <v>166</v>
      </c>
      <c r="S291" s="2">
        <v>91</v>
      </c>
      <c r="T291" t="s">
        <v>286</v>
      </c>
      <c r="U291" t="s">
        <v>291</v>
      </c>
      <c r="V291" t="s">
        <v>289</v>
      </c>
      <c r="W291" s="32"/>
      <c r="X291" s="32"/>
      <c r="Y291" s="26"/>
      <c r="Z291" s="26"/>
      <c r="AA291" s="27">
        <f>IF(TA[[#This Row],[Work Start time on Fault]]="NA","",(TA[[#This Row],[Fault Acknowledgement Time ]]-TA[[#This Row],[Fault Time]])*24)</f>
        <v>0</v>
      </c>
      <c r="AB291" s="27">
        <f>(TA[[#This Row],[Work Start time on Fault]]-TA[[#This Row],[Fault Time]])*24</f>
        <v>0</v>
      </c>
      <c r="AC291" s="26">
        <f>(TA[[#This Row],[Work Completion time on fault]]-TA[[#This Row],[Fault Time]])*24</f>
        <v>0</v>
      </c>
      <c r="AD291" s="27">
        <f>IFERROR((TA[[#This Row],[Work Completion time on fault]]-TA[[#This Row],[Fault Time]])*24,"")</f>
        <v>0</v>
      </c>
      <c r="AE291" t="s">
        <v>319</v>
      </c>
      <c r="AF291" t="s">
        <v>247</v>
      </c>
      <c r="AG291" s="2"/>
      <c r="AH291" s="35">
        <f>1-COS(RADIANS(TA[[#This Row],[Avg. Target Angle during Fault Time (Radians)]]-TA[[#This Row],[Angle of affected equipment ]]))</f>
        <v>0.11705240714107301</v>
      </c>
      <c r="AI291" s="27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43">
        <f t="shared" si="14"/>
        <v>2026</v>
      </c>
      <c r="C292" s="116">
        <f t="shared" si="15"/>
        <v>2025</v>
      </c>
      <c r="D292" s="2" t="s">
        <v>155</v>
      </c>
      <c r="E292" s="2" t="s">
        <v>155</v>
      </c>
      <c r="F292" s="30">
        <v>45748</v>
      </c>
      <c r="G292" s="2">
        <f>DAY(EOMONTH(TA[[#This Row],[Month Year]],0))</f>
        <v>30</v>
      </c>
      <c r="H292" s="21">
        <v>45764</v>
      </c>
      <c r="I292" s="32">
        <f>IFERROR(VLOOKUP(TA[[#This Row],[Date]],Raw_Data[[Date]:[Sunset Time (POA&lt;20 W/m2)]],3,0),"")</f>
        <v>0.25833333333333336</v>
      </c>
      <c r="J292" s="32">
        <f>IFERROR(VLOOKUP(TA[[#This Row],[Date]],Raw_Data[[Date]:[Sunset Time (POA&lt;20 W/m2)]],4,0),"")</f>
        <v>0.76527777777777772</v>
      </c>
      <c r="K292" s="27">
        <f>IFERROR((TA[[#This Row],[Sunset Time (POA&lt;20 W/m2)]]-TA[[#This Row],[Sunrise Time (POA&gt;20 W/m2)]])*24,"")</f>
        <v>12.166666666666666</v>
      </c>
      <c r="L292" s="2" t="s">
        <v>285</v>
      </c>
      <c r="M292" s="33">
        <f>IFERROR(VLOOKUP(TA[[#This Row],[Affected Equipment]],'Basic Data'!$I$2:$K$40,3,0),"")</f>
        <v>1.7241379310344799E-3</v>
      </c>
      <c r="N292">
        <v>-28</v>
      </c>
      <c r="O292" t="s">
        <v>133</v>
      </c>
      <c r="P292" s="114" t="s">
        <v>307</v>
      </c>
      <c r="Q292" s="113" t="s">
        <v>307</v>
      </c>
      <c r="R292">
        <v>117</v>
      </c>
      <c r="S292" s="2">
        <v>20</v>
      </c>
      <c r="T292" t="s">
        <v>286</v>
      </c>
      <c r="U292" t="s">
        <v>291</v>
      </c>
      <c r="V292" t="s">
        <v>289</v>
      </c>
      <c r="W292" s="32"/>
      <c r="X292" s="32"/>
      <c r="Y292" s="26"/>
      <c r="Z292" s="26"/>
      <c r="AA292" s="27">
        <f>IF(TA[[#This Row],[Work Start time on Fault]]="NA","",(TA[[#This Row],[Fault Acknowledgement Time ]]-TA[[#This Row],[Fault Time]])*24)</f>
        <v>0</v>
      </c>
      <c r="AB292" s="27">
        <f>(TA[[#This Row],[Work Start time on Fault]]-TA[[#This Row],[Fault Time]])*24</f>
        <v>0</v>
      </c>
      <c r="AC292" s="26">
        <f>(TA[[#This Row],[Work Completion time on fault]]-TA[[#This Row],[Fault Time]])*24</f>
        <v>0</v>
      </c>
      <c r="AD292" s="27">
        <f>IFERROR((TA[[#This Row],[Work Completion time on fault]]-TA[[#This Row],[Fault Time]])*24,"")</f>
        <v>0</v>
      </c>
      <c r="AE292" t="s">
        <v>319</v>
      </c>
      <c r="AF292" t="s">
        <v>247</v>
      </c>
      <c r="AG292" s="2"/>
      <c r="AH292" s="35">
        <f>1-COS(RADIANS(TA[[#This Row],[Avg. Target Angle during Fault Time (Radians)]]-TA[[#This Row],[Angle of affected equipment ]]))</f>
        <v>0.11705240714107301</v>
      </c>
      <c r="AI292" s="27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43">
        <f t="shared" si="14"/>
        <v>2026</v>
      </c>
      <c r="C293" s="116">
        <f t="shared" si="15"/>
        <v>2025</v>
      </c>
      <c r="D293" s="2" t="s">
        <v>155</v>
      </c>
      <c r="E293" s="2" t="s">
        <v>155</v>
      </c>
      <c r="F293" s="30">
        <v>45748</v>
      </c>
      <c r="G293" s="2">
        <f>DAY(EOMONTH(TA[[#This Row],[Month Year]],0))</f>
        <v>30</v>
      </c>
      <c r="H293" s="21">
        <v>45764</v>
      </c>
      <c r="I293" s="32">
        <f>IFERROR(VLOOKUP(TA[[#This Row],[Date]],Raw_Data[[Date]:[Sunset Time (POA&lt;20 W/m2)]],3,0),"")</f>
        <v>0.25833333333333336</v>
      </c>
      <c r="J293" s="32">
        <f>IFERROR(VLOOKUP(TA[[#This Row],[Date]],Raw_Data[[Date]:[Sunset Time (POA&lt;20 W/m2)]],4,0),"")</f>
        <v>0.76527777777777772</v>
      </c>
      <c r="K293" s="27">
        <f>IFERROR((TA[[#This Row],[Sunset Time (POA&lt;20 W/m2)]]-TA[[#This Row],[Sunrise Time (POA&gt;20 W/m2)]])*24,"")</f>
        <v>12.166666666666666</v>
      </c>
      <c r="L293" s="2" t="s">
        <v>285</v>
      </c>
      <c r="M293" s="33">
        <f>IFERROR(VLOOKUP(TA[[#This Row],[Affected Equipment]],'Basic Data'!$I$2:$K$40,3,0),"")</f>
        <v>1.7241379310344799E-3</v>
      </c>
      <c r="N293">
        <v>-28</v>
      </c>
      <c r="O293" t="s">
        <v>133</v>
      </c>
      <c r="P293" s="114" t="s">
        <v>307</v>
      </c>
      <c r="Q293" s="113" t="s">
        <v>307</v>
      </c>
      <c r="R293">
        <v>118</v>
      </c>
      <c r="S293" s="2">
        <v>22</v>
      </c>
      <c r="T293" t="s">
        <v>286</v>
      </c>
      <c r="U293" t="s">
        <v>291</v>
      </c>
      <c r="V293" t="s">
        <v>289</v>
      </c>
      <c r="W293" s="32"/>
      <c r="X293" s="32"/>
      <c r="Y293" s="26"/>
      <c r="Z293" s="26"/>
      <c r="AA293" s="27">
        <f>IF(TA[[#This Row],[Work Start time on Fault]]="NA","",(TA[[#This Row],[Fault Acknowledgement Time ]]-TA[[#This Row],[Fault Time]])*24)</f>
        <v>0</v>
      </c>
      <c r="AB293" s="27">
        <f>(TA[[#This Row],[Work Start time on Fault]]-TA[[#This Row],[Fault Time]])*24</f>
        <v>0</v>
      </c>
      <c r="AC293" s="26">
        <f>(TA[[#This Row],[Work Completion time on fault]]-TA[[#This Row],[Fault Time]])*24</f>
        <v>0</v>
      </c>
      <c r="AD293" s="27">
        <f>IFERROR((TA[[#This Row],[Work Completion time on fault]]-TA[[#This Row],[Fault Time]])*24,"")</f>
        <v>0</v>
      </c>
      <c r="AE293" t="s">
        <v>319</v>
      </c>
      <c r="AF293" t="s">
        <v>247</v>
      </c>
      <c r="AG293" s="2"/>
      <c r="AH293" s="35">
        <f>1-COS(RADIANS(TA[[#This Row],[Avg. Target Angle during Fault Time (Radians)]]-TA[[#This Row],[Angle of affected equipment ]]))</f>
        <v>0.11705240714107301</v>
      </c>
      <c r="AI293" s="27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43">
        <f t="shared" si="14"/>
        <v>2026</v>
      </c>
      <c r="C294" s="116">
        <f t="shared" si="15"/>
        <v>2025</v>
      </c>
      <c r="D294" s="2" t="s">
        <v>155</v>
      </c>
      <c r="E294" s="2" t="s">
        <v>155</v>
      </c>
      <c r="F294" s="30">
        <v>45748</v>
      </c>
      <c r="G294" s="2">
        <f>DAY(EOMONTH(TA[[#This Row],[Month Year]],0))</f>
        <v>30</v>
      </c>
      <c r="H294" s="21">
        <v>45764</v>
      </c>
      <c r="I294" s="32">
        <f>IFERROR(VLOOKUP(TA[[#This Row],[Date]],Raw_Data[[Date]:[Sunset Time (POA&lt;20 W/m2)]],3,0),"")</f>
        <v>0.25833333333333336</v>
      </c>
      <c r="J294" s="32">
        <f>IFERROR(VLOOKUP(TA[[#This Row],[Date]],Raw_Data[[Date]:[Sunset Time (POA&lt;20 W/m2)]],4,0),"")</f>
        <v>0.76527777777777772</v>
      </c>
      <c r="K294" s="27">
        <f>IFERROR((TA[[#This Row],[Sunset Time (POA&lt;20 W/m2)]]-TA[[#This Row],[Sunrise Time (POA&gt;20 W/m2)]])*24,"")</f>
        <v>12.166666666666666</v>
      </c>
      <c r="L294" s="2" t="s">
        <v>287</v>
      </c>
      <c r="M294" s="33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314</v>
      </c>
      <c r="Q294" s="2" t="s">
        <v>320</v>
      </c>
      <c r="R294">
        <v>45</v>
      </c>
      <c r="S294" s="2">
        <v>8</v>
      </c>
      <c r="T294" t="s">
        <v>288</v>
      </c>
      <c r="U294" t="s">
        <v>317</v>
      </c>
      <c r="V294" t="s">
        <v>292</v>
      </c>
      <c r="W294" s="32">
        <f>IFERROR(VLOOKUP(TA[[#This Row],[Date]],Raw_Data[[Date]:[Sunset Time (POA&lt;20 W/m2)]],3,0),"")</f>
        <v>0.25833333333333336</v>
      </c>
      <c r="X294" s="32">
        <f>IFERROR(VLOOKUP(TA[[#This Row],[Date]],Raw_Data[[Date]:[Sunset Time (POA&lt;20 W/m2)]],3,0),"")</f>
        <v>0.25833333333333336</v>
      </c>
      <c r="Y294" s="26"/>
      <c r="Z294" s="26">
        <v>0.76041666666666663</v>
      </c>
      <c r="AA294" s="27">
        <f>IF(TA[[#This Row],[Work Start time on Fault]]="NA","",(TA[[#This Row],[Fault Acknowledgement Time ]]-TA[[#This Row],[Fault Time]])*24)</f>
        <v>0</v>
      </c>
      <c r="AB294" s="27">
        <f>(TA[[#This Row],[Work Start time on Fault]]-TA[[#This Row],[Fault Time]])*24</f>
        <v>-6.2000000000000011</v>
      </c>
      <c r="AC294" s="26">
        <f>(TA[[#This Row],[Work Completion time on fault]]-TA[[#This Row],[Fault Time]])*24</f>
        <v>12.049999999999997</v>
      </c>
      <c r="AD294" s="27">
        <f>IFERROR((TA[[#This Row],[Work Completion time on fault]]-TA[[#This Row],[Fault Time]])*24,"")</f>
        <v>12.049999999999997</v>
      </c>
      <c r="AE294" t="s">
        <v>300</v>
      </c>
      <c r="AF294" t="s">
        <v>247</v>
      </c>
      <c r="AG294" s="2"/>
      <c r="AH294" s="35">
        <f>1-COS(RADIANS(TA[[#This Row],[Avg. Target Angle during Fault Time (Radians)]]-TA[[#This Row],[Angle of affected equipment ]]))</f>
        <v>0.11705240714107301</v>
      </c>
      <c r="AI294" s="27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43">
        <f t="shared" si="14"/>
        <v>2026</v>
      </c>
      <c r="C295" s="116">
        <f t="shared" si="15"/>
        <v>2025</v>
      </c>
      <c r="D295" s="2" t="s">
        <v>155</v>
      </c>
      <c r="E295" s="2" t="s">
        <v>155</v>
      </c>
      <c r="F295" s="30">
        <v>45748</v>
      </c>
      <c r="G295" s="2">
        <f>DAY(EOMONTH(TA[[#This Row],[Month Year]],0))</f>
        <v>30</v>
      </c>
      <c r="H295" s="21">
        <v>45764</v>
      </c>
      <c r="I295" s="32">
        <f>IFERROR(VLOOKUP(TA[[#This Row],[Date]],Raw_Data[[Date]:[Sunset Time (POA&lt;20 W/m2)]],3,0),"")</f>
        <v>0.25833333333333336</v>
      </c>
      <c r="J295" s="32">
        <f>IFERROR(VLOOKUP(TA[[#This Row],[Date]],Raw_Data[[Date]:[Sunset Time (POA&lt;20 W/m2)]],4,0),"")</f>
        <v>0.76527777777777772</v>
      </c>
      <c r="K295" s="27">
        <f>IFERROR((TA[[#This Row],[Sunset Time (POA&lt;20 W/m2)]]-TA[[#This Row],[Sunrise Time (POA&gt;20 W/m2)]])*24,"")</f>
        <v>12.166666666666666</v>
      </c>
      <c r="L295" s="2" t="s">
        <v>287</v>
      </c>
      <c r="M295" s="33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314</v>
      </c>
      <c r="Q295" s="2" t="s">
        <v>320</v>
      </c>
      <c r="R295">
        <v>47</v>
      </c>
      <c r="S295" s="2">
        <v>18</v>
      </c>
      <c r="T295" t="s">
        <v>288</v>
      </c>
      <c r="U295" t="s">
        <v>317</v>
      </c>
      <c r="V295" t="s">
        <v>292</v>
      </c>
      <c r="W295" s="32">
        <f>IFERROR(VLOOKUP(TA[[#This Row],[Date]],Raw_Data[[Date]:[Sunset Time (POA&lt;20 W/m2)]],3,0),"")</f>
        <v>0.25833333333333336</v>
      </c>
      <c r="X295" s="32">
        <f>IFERROR(VLOOKUP(TA[[#This Row],[Date]],Raw_Data[[Date]:[Sunset Time (POA&lt;20 W/m2)]],3,0),"")</f>
        <v>0.25833333333333336</v>
      </c>
      <c r="Y295" s="26"/>
      <c r="Z295" s="26">
        <v>0.76041666666666663</v>
      </c>
      <c r="AA295" s="27">
        <f>IF(TA[[#This Row],[Work Start time on Fault]]="NA","",(TA[[#This Row],[Fault Acknowledgement Time ]]-TA[[#This Row],[Fault Time]])*24)</f>
        <v>0</v>
      </c>
      <c r="AB295" s="27">
        <f>(TA[[#This Row],[Work Start time on Fault]]-TA[[#This Row],[Fault Time]])*24</f>
        <v>-6.2000000000000011</v>
      </c>
      <c r="AC295" s="26">
        <f>(TA[[#This Row],[Work Completion time on fault]]-TA[[#This Row],[Fault Time]])*24</f>
        <v>12.049999999999997</v>
      </c>
      <c r="AD295" s="27">
        <f>IFERROR((TA[[#This Row],[Work Completion time on fault]]-TA[[#This Row],[Fault Time]])*24,"")</f>
        <v>12.049999999999997</v>
      </c>
      <c r="AE295" t="s">
        <v>300</v>
      </c>
      <c r="AF295" t="s">
        <v>247</v>
      </c>
      <c r="AG295" s="2"/>
      <c r="AH295" s="35">
        <f>1-COS(RADIANS(TA[[#This Row],[Avg. Target Angle during Fault Time (Radians)]]-TA[[#This Row],[Angle of affected equipment ]]))</f>
        <v>0.11705240714107301</v>
      </c>
      <c r="AI295" s="27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43">
        <f t="shared" si="14"/>
        <v>2026</v>
      </c>
      <c r="C296" s="116">
        <f t="shared" si="15"/>
        <v>2025</v>
      </c>
      <c r="D296" s="2" t="s">
        <v>155</v>
      </c>
      <c r="E296" s="2" t="s">
        <v>155</v>
      </c>
      <c r="F296" s="30">
        <v>45748</v>
      </c>
      <c r="G296" s="2">
        <f>DAY(EOMONTH(TA[[#This Row],[Month Year]],0))</f>
        <v>30</v>
      </c>
      <c r="H296" s="21">
        <v>45764</v>
      </c>
      <c r="I296" s="32">
        <f>IFERROR(VLOOKUP(TA[[#This Row],[Date]],Raw_Data[[Date]:[Sunset Time (POA&lt;20 W/m2)]],3,0),"")</f>
        <v>0.25833333333333336</v>
      </c>
      <c r="J296" s="32">
        <f>IFERROR(VLOOKUP(TA[[#This Row],[Date]],Raw_Data[[Date]:[Sunset Time (POA&lt;20 W/m2)]],4,0),"")</f>
        <v>0.76527777777777772</v>
      </c>
      <c r="K296" s="27">
        <f>IFERROR((TA[[#This Row],[Sunset Time (POA&lt;20 W/m2)]]-TA[[#This Row],[Sunrise Time (POA&gt;20 W/m2)]])*24,"")</f>
        <v>12.166666666666666</v>
      </c>
      <c r="L296" s="2" t="s">
        <v>287</v>
      </c>
      <c r="M296" s="33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321</v>
      </c>
      <c r="Q296" s="2" t="s">
        <v>314</v>
      </c>
      <c r="R296">
        <v>30</v>
      </c>
      <c r="S296" s="2">
        <v>57</v>
      </c>
      <c r="T296" t="s">
        <v>288</v>
      </c>
      <c r="U296" t="s">
        <v>317</v>
      </c>
      <c r="V296" t="s">
        <v>292</v>
      </c>
      <c r="W296" s="32">
        <f>IFERROR(VLOOKUP(TA[[#This Row],[Date]],Raw_Data[[Date]:[Sunset Time (POA&lt;20 W/m2)]],3,0),"")</f>
        <v>0.25833333333333336</v>
      </c>
      <c r="X296" s="32">
        <f>IFERROR(VLOOKUP(TA[[#This Row],[Date]],Raw_Data[[Date]:[Sunset Time (POA&lt;20 W/m2)]],3,0),"")</f>
        <v>0.25833333333333336</v>
      </c>
      <c r="Y296" s="26"/>
      <c r="Z296" s="26">
        <v>0.76041666666666663</v>
      </c>
      <c r="AA296" s="27">
        <f>IF(TA[[#This Row],[Work Start time on Fault]]="NA","",(TA[[#This Row],[Fault Acknowledgement Time ]]-TA[[#This Row],[Fault Time]])*24)</f>
        <v>0</v>
      </c>
      <c r="AB296" s="27">
        <f>(TA[[#This Row],[Work Start time on Fault]]-TA[[#This Row],[Fault Time]])*24</f>
        <v>-6.2000000000000011</v>
      </c>
      <c r="AC296" s="26">
        <f>(TA[[#This Row],[Work Completion time on fault]]-TA[[#This Row],[Fault Time]])*24</f>
        <v>12.049999999999997</v>
      </c>
      <c r="AD296" s="27">
        <f>IFERROR((TA[[#This Row],[Work Completion time on fault]]-TA[[#This Row],[Fault Time]])*24,"")</f>
        <v>12.049999999999997</v>
      </c>
      <c r="AE296" t="s">
        <v>300</v>
      </c>
      <c r="AF296" t="s">
        <v>247</v>
      </c>
      <c r="AG296" s="2"/>
      <c r="AH296" s="35">
        <f>1-COS(RADIANS(TA[[#This Row],[Avg. Target Angle during Fault Time (Radians)]]-TA[[#This Row],[Angle of affected equipment ]]))</f>
        <v>0.11705240714107301</v>
      </c>
      <c r="AI296" s="27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43">
        <f t="shared" si="14"/>
        <v>2026</v>
      </c>
      <c r="C297" s="116">
        <f t="shared" si="15"/>
        <v>2025</v>
      </c>
      <c r="D297" s="2" t="s">
        <v>155</v>
      </c>
      <c r="E297" s="2" t="s">
        <v>155</v>
      </c>
      <c r="F297" s="30">
        <v>45748</v>
      </c>
      <c r="G297" s="2">
        <f>DAY(EOMONTH(TA[[#This Row],[Month Year]],0))</f>
        <v>30</v>
      </c>
      <c r="H297" s="21">
        <v>45764</v>
      </c>
      <c r="I297" s="32">
        <f>IFERROR(VLOOKUP(TA[[#This Row],[Date]],Raw_Data[[Date]:[Sunset Time (POA&lt;20 W/m2)]],3,0),"")</f>
        <v>0.25833333333333336</v>
      </c>
      <c r="J297" s="32">
        <f>IFERROR(VLOOKUP(TA[[#This Row],[Date]],Raw_Data[[Date]:[Sunset Time (POA&lt;20 W/m2)]],4,0),"")</f>
        <v>0.76527777777777772</v>
      </c>
      <c r="K297" s="27">
        <f>IFERROR((TA[[#This Row],[Sunset Time (POA&lt;20 W/m2)]]-TA[[#This Row],[Sunrise Time (POA&gt;20 W/m2)]])*24,"")</f>
        <v>12.166666666666666</v>
      </c>
      <c r="L297" s="2" t="s">
        <v>287</v>
      </c>
      <c r="M297" s="33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321</v>
      </c>
      <c r="Q297" s="2" t="s">
        <v>314</v>
      </c>
      <c r="R297">
        <v>31</v>
      </c>
      <c r="S297" s="2">
        <v>61</v>
      </c>
      <c r="T297" t="s">
        <v>288</v>
      </c>
      <c r="U297" t="s">
        <v>317</v>
      </c>
      <c r="V297" t="s">
        <v>292</v>
      </c>
      <c r="W297" s="32">
        <f>IFERROR(VLOOKUP(TA[[#This Row],[Date]],Raw_Data[[Date]:[Sunset Time (POA&lt;20 W/m2)]],3,0),"")</f>
        <v>0.25833333333333336</v>
      </c>
      <c r="X297" s="32">
        <f>IFERROR(VLOOKUP(TA[[#This Row],[Date]],Raw_Data[[Date]:[Sunset Time (POA&lt;20 W/m2)]],3,0),"")</f>
        <v>0.25833333333333336</v>
      </c>
      <c r="Y297" s="26"/>
      <c r="Z297" s="26">
        <v>0.76041666666666663</v>
      </c>
      <c r="AA297" s="27">
        <f>IF(TA[[#This Row],[Work Start time on Fault]]="NA","",(TA[[#This Row],[Fault Acknowledgement Time ]]-TA[[#This Row],[Fault Time]])*24)</f>
        <v>0</v>
      </c>
      <c r="AB297" s="27">
        <f>(TA[[#This Row],[Work Start time on Fault]]-TA[[#This Row],[Fault Time]])*24</f>
        <v>-6.2000000000000011</v>
      </c>
      <c r="AC297" s="26">
        <f>(TA[[#This Row],[Work Completion time on fault]]-TA[[#This Row],[Fault Time]])*24</f>
        <v>12.049999999999997</v>
      </c>
      <c r="AD297" s="27">
        <f>IFERROR((TA[[#This Row],[Work Completion time on fault]]-TA[[#This Row],[Fault Time]])*24,"")</f>
        <v>12.049999999999997</v>
      </c>
      <c r="AE297" t="s">
        <v>300</v>
      </c>
      <c r="AF297" t="s">
        <v>247</v>
      </c>
      <c r="AG297" s="2"/>
      <c r="AH297" s="35">
        <f>1-COS(RADIANS(TA[[#This Row],[Avg. Target Angle during Fault Time (Radians)]]-TA[[#This Row],[Angle of affected equipment ]]))</f>
        <v>0.11705240714107301</v>
      </c>
      <c r="AI297" s="27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43">
        <f t="shared" si="14"/>
        <v>2026</v>
      </c>
      <c r="C298" s="116">
        <f t="shared" si="15"/>
        <v>2025</v>
      </c>
      <c r="D298" s="2" t="s">
        <v>155</v>
      </c>
      <c r="E298" s="2" t="s">
        <v>155</v>
      </c>
      <c r="F298" s="30">
        <v>45748</v>
      </c>
      <c r="G298" s="2">
        <f>DAY(EOMONTH(TA[[#This Row],[Month Year]],0))</f>
        <v>30</v>
      </c>
      <c r="H298" s="21">
        <v>45764</v>
      </c>
      <c r="I298" s="32">
        <f>IFERROR(VLOOKUP(TA[[#This Row],[Date]],Raw_Data[[Date]:[Sunset Time (POA&lt;20 W/m2)]],3,0),"")</f>
        <v>0.25833333333333336</v>
      </c>
      <c r="J298" s="32">
        <f>IFERROR(VLOOKUP(TA[[#This Row],[Date]],Raw_Data[[Date]:[Sunset Time (POA&lt;20 W/m2)]],4,0),"")</f>
        <v>0.76527777777777772</v>
      </c>
      <c r="K298" s="27">
        <f>IFERROR((TA[[#This Row],[Sunset Time (POA&lt;20 W/m2)]]-TA[[#This Row],[Sunrise Time (POA&gt;20 W/m2)]])*24,"")</f>
        <v>12.166666666666666</v>
      </c>
      <c r="L298" s="2" t="s">
        <v>303</v>
      </c>
      <c r="M298" s="33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321</v>
      </c>
      <c r="Q298" s="2" t="s">
        <v>314</v>
      </c>
      <c r="R298">
        <v>26</v>
      </c>
      <c r="S298" s="2">
        <v>37</v>
      </c>
      <c r="T298" t="s">
        <v>288</v>
      </c>
      <c r="U298" t="s">
        <v>317</v>
      </c>
      <c r="V298" t="s">
        <v>292</v>
      </c>
      <c r="W298" s="32">
        <f>IFERROR(VLOOKUP(TA[[#This Row],[Date]],Raw_Data[[Date]:[Sunset Time (POA&lt;20 W/m2)]],3,0),"")</f>
        <v>0.25833333333333336</v>
      </c>
      <c r="X298" s="32">
        <f>IFERROR(VLOOKUP(TA[[#This Row],[Date]],Raw_Data[[Date]:[Sunset Time (POA&lt;20 W/m2)]],3,0),"")</f>
        <v>0.25833333333333336</v>
      </c>
      <c r="Y298" s="26"/>
      <c r="Z298" s="26">
        <v>0.76041666666666663</v>
      </c>
      <c r="AA298" s="27">
        <f>IF(TA[[#This Row],[Work Start time on Fault]]="NA","",(TA[[#This Row],[Fault Acknowledgement Time ]]-TA[[#This Row],[Fault Time]])*24)</f>
        <v>0</v>
      </c>
      <c r="AB298" s="27">
        <f>(TA[[#This Row],[Work Start time on Fault]]-TA[[#This Row],[Fault Time]])*24</f>
        <v>-6.2000000000000011</v>
      </c>
      <c r="AC298" s="26">
        <f>(TA[[#This Row],[Work Completion time on fault]]-TA[[#This Row],[Fault Time]])*24</f>
        <v>12.049999999999997</v>
      </c>
      <c r="AD298" s="27">
        <f>IFERROR((TA[[#This Row],[Work Completion time on fault]]-TA[[#This Row],[Fault Time]])*24,"")</f>
        <v>12.049999999999997</v>
      </c>
      <c r="AE298" t="s">
        <v>300</v>
      </c>
      <c r="AF298" t="s">
        <v>247</v>
      </c>
      <c r="AG298" s="2"/>
      <c r="AH298" s="35">
        <f>1-COS(RADIANS(TA[[#This Row],[Avg. Target Angle during Fault Time (Radians)]]-TA[[#This Row],[Angle of affected equipment ]]))</f>
        <v>0.11705240714107301</v>
      </c>
      <c r="AI298" s="27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43">
        <f t="shared" si="14"/>
        <v>2026</v>
      </c>
      <c r="C299" s="116">
        <f t="shared" si="15"/>
        <v>2025</v>
      </c>
      <c r="D299" s="2" t="s">
        <v>155</v>
      </c>
      <c r="E299" s="2" t="s">
        <v>155</v>
      </c>
      <c r="F299" s="30">
        <v>45748</v>
      </c>
      <c r="G299" s="2">
        <f>DAY(EOMONTH(TA[[#This Row],[Month Year]],0))</f>
        <v>30</v>
      </c>
      <c r="H299" s="21">
        <v>45764</v>
      </c>
      <c r="I299" s="32">
        <f>IFERROR(VLOOKUP(TA[[#This Row],[Date]],Raw_Data[[Date]:[Sunset Time (POA&lt;20 W/m2)]],3,0),"")</f>
        <v>0.25833333333333336</v>
      </c>
      <c r="J299" s="32">
        <f>IFERROR(VLOOKUP(TA[[#This Row],[Date]],Raw_Data[[Date]:[Sunset Time (POA&lt;20 W/m2)]],4,0),"")</f>
        <v>0.76527777777777772</v>
      </c>
      <c r="K299" s="27">
        <f>IFERROR((TA[[#This Row],[Sunset Time (POA&lt;20 W/m2)]]-TA[[#This Row],[Sunrise Time (POA&gt;20 W/m2)]])*24,"")</f>
        <v>12.166666666666666</v>
      </c>
      <c r="L299" s="2" t="s">
        <v>303</v>
      </c>
      <c r="M299" s="33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321</v>
      </c>
      <c r="Q299" s="2" t="s">
        <v>314</v>
      </c>
      <c r="R299">
        <v>27</v>
      </c>
      <c r="S299" s="2">
        <v>42</v>
      </c>
      <c r="T299" t="s">
        <v>288</v>
      </c>
      <c r="U299" t="s">
        <v>317</v>
      </c>
      <c r="V299" t="s">
        <v>292</v>
      </c>
      <c r="W299" s="32">
        <f>IFERROR(VLOOKUP(TA[[#This Row],[Date]],Raw_Data[[Date]:[Sunset Time (POA&lt;20 W/m2)]],3,0),"")</f>
        <v>0.25833333333333336</v>
      </c>
      <c r="X299" s="32">
        <f>IFERROR(VLOOKUP(TA[[#This Row],[Date]],Raw_Data[[Date]:[Sunset Time (POA&lt;20 W/m2)]],3,0),"")</f>
        <v>0.25833333333333336</v>
      </c>
      <c r="Y299" s="26"/>
      <c r="Z299" s="26">
        <v>0.76041666666666663</v>
      </c>
      <c r="AA299" s="27">
        <f>IF(TA[[#This Row],[Work Start time on Fault]]="NA","",(TA[[#This Row],[Fault Acknowledgement Time ]]-TA[[#This Row],[Fault Time]])*24)</f>
        <v>0</v>
      </c>
      <c r="AB299" s="27">
        <f>(TA[[#This Row],[Work Start time on Fault]]-TA[[#This Row],[Fault Time]])*24</f>
        <v>-6.2000000000000011</v>
      </c>
      <c r="AC299" s="26">
        <f>(TA[[#This Row],[Work Completion time on fault]]-TA[[#This Row],[Fault Time]])*24</f>
        <v>12.049999999999997</v>
      </c>
      <c r="AD299" s="27">
        <f>IFERROR((TA[[#This Row],[Work Completion time on fault]]-TA[[#This Row],[Fault Time]])*24,"")</f>
        <v>12.049999999999997</v>
      </c>
      <c r="AE299" t="s">
        <v>300</v>
      </c>
      <c r="AF299" t="s">
        <v>247</v>
      </c>
      <c r="AG299" s="2"/>
      <c r="AH299" s="35">
        <f>1-COS(RADIANS(TA[[#This Row],[Avg. Target Angle during Fault Time (Radians)]]-TA[[#This Row],[Angle of affected equipment ]]))</f>
        <v>0.11705240714107301</v>
      </c>
      <c r="AI299" s="27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43">
        <f t="shared" si="14"/>
        <v>2026</v>
      </c>
      <c r="C300" s="116">
        <f t="shared" si="15"/>
        <v>2025</v>
      </c>
      <c r="D300" s="2" t="s">
        <v>155</v>
      </c>
      <c r="E300" s="2" t="s">
        <v>155</v>
      </c>
      <c r="F300" s="30">
        <v>45748</v>
      </c>
      <c r="G300" s="2">
        <f>DAY(EOMONTH(TA[[#This Row],[Month Year]],0))</f>
        <v>30</v>
      </c>
      <c r="H300" s="21">
        <v>45765</v>
      </c>
      <c r="I300" s="32">
        <f>IFERROR(VLOOKUP(TA[[#This Row],[Date]],Raw_Data[[Date]:[Sunset Time (POA&lt;20 W/m2)]],3,0),"")</f>
        <v>0.26250000000000001</v>
      </c>
      <c r="J300" s="32">
        <f>IFERROR(VLOOKUP(TA[[#This Row],[Date]],Raw_Data[[Date]:[Sunset Time (POA&lt;20 W/m2)]],4,0),"")</f>
        <v>0.70833333333333337</v>
      </c>
      <c r="K300" s="27">
        <f>IFERROR((TA[[#This Row],[Sunset Time (POA&lt;20 W/m2)]]-TA[[#This Row],[Sunrise Time (POA&gt;20 W/m2)]])*24,"")</f>
        <v>10.700000000000001</v>
      </c>
      <c r="L300" s="2" t="s">
        <v>285</v>
      </c>
      <c r="M300" s="33">
        <f>IFERROR(VLOOKUP(TA[[#This Row],[Affected Equipment]],'Basic Data'!$I$2:$K$40,3,0),"")</f>
        <v>1.7241379310344799E-3</v>
      </c>
      <c r="N300">
        <v>-28</v>
      </c>
      <c r="O300" t="s">
        <v>135</v>
      </c>
      <c r="P300" s="114" t="s">
        <v>309</v>
      </c>
      <c r="Q300" s="113" t="s">
        <v>309</v>
      </c>
      <c r="R300">
        <v>130</v>
      </c>
      <c r="S300" s="2">
        <v>37</v>
      </c>
      <c r="T300" t="s">
        <v>286</v>
      </c>
      <c r="U300" t="s">
        <v>291</v>
      </c>
      <c r="V300" t="s">
        <v>289</v>
      </c>
      <c r="W300" s="32"/>
      <c r="X300" s="32"/>
      <c r="Y300" s="26"/>
      <c r="Z300" s="26"/>
      <c r="AA300" s="27">
        <f>IF(TA[[#This Row],[Work Start time on Fault]]="NA","",(TA[[#This Row],[Fault Acknowledgement Time ]]-TA[[#This Row],[Fault Time]])*24)</f>
        <v>0</v>
      </c>
      <c r="AB300" s="27">
        <f>(TA[[#This Row],[Work Start time on Fault]]-TA[[#This Row],[Fault Time]])*24</f>
        <v>0</v>
      </c>
      <c r="AC300" s="26">
        <f>(TA[[#This Row],[Work Completion time on fault]]-TA[[#This Row],[Fault Time]])*24</f>
        <v>0</v>
      </c>
      <c r="AD300" s="27">
        <f>IFERROR((TA[[#This Row],[Work Completion time on fault]]-TA[[#This Row],[Fault Time]])*24,"")</f>
        <v>0</v>
      </c>
      <c r="AE300" t="s">
        <v>319</v>
      </c>
      <c r="AF300" t="s">
        <v>247</v>
      </c>
      <c r="AG300" s="2"/>
      <c r="AH300" s="35">
        <f>1-COS(RADIANS(TA[[#This Row],[Avg. Target Angle during Fault Time (Radians)]]-TA[[#This Row],[Angle of affected equipment ]]))</f>
        <v>0.11705240714107301</v>
      </c>
      <c r="AI300" s="27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43">
        <f t="shared" si="14"/>
        <v>2026</v>
      </c>
      <c r="C301" s="116">
        <f t="shared" si="15"/>
        <v>2025</v>
      </c>
      <c r="D301" s="2" t="s">
        <v>155</v>
      </c>
      <c r="E301" s="2" t="s">
        <v>155</v>
      </c>
      <c r="F301" s="30">
        <v>45748</v>
      </c>
      <c r="G301" s="2">
        <f>DAY(EOMONTH(TA[[#This Row],[Month Year]],0))</f>
        <v>30</v>
      </c>
      <c r="H301" s="21">
        <v>45765</v>
      </c>
      <c r="I301" s="32">
        <f>IFERROR(VLOOKUP(TA[[#This Row],[Date]],Raw_Data[[Date]:[Sunset Time (POA&lt;20 W/m2)]],3,0),"")</f>
        <v>0.26250000000000001</v>
      </c>
      <c r="J301" s="32">
        <f>IFERROR(VLOOKUP(TA[[#This Row],[Date]],Raw_Data[[Date]:[Sunset Time (POA&lt;20 W/m2)]],4,0),"")</f>
        <v>0.70833333333333337</v>
      </c>
      <c r="K301" s="27">
        <f>IFERROR((TA[[#This Row],[Sunset Time (POA&lt;20 W/m2)]]-TA[[#This Row],[Sunrise Time (POA&gt;20 W/m2)]])*24,"")</f>
        <v>10.700000000000001</v>
      </c>
      <c r="L301" s="2" t="s">
        <v>285</v>
      </c>
      <c r="M301" s="33">
        <f>IFERROR(VLOOKUP(TA[[#This Row],[Affected Equipment]],'Basic Data'!$I$2:$K$40,3,0),"")</f>
        <v>1.7241379310344799E-3</v>
      </c>
      <c r="N301">
        <v>-28</v>
      </c>
      <c r="O301" t="s">
        <v>135</v>
      </c>
      <c r="P301" s="114" t="s">
        <v>309</v>
      </c>
      <c r="Q301" s="113" t="s">
        <v>309</v>
      </c>
      <c r="R301">
        <v>131</v>
      </c>
      <c r="S301" s="2">
        <v>38</v>
      </c>
      <c r="T301" t="s">
        <v>286</v>
      </c>
      <c r="U301" t="s">
        <v>291</v>
      </c>
      <c r="V301" t="s">
        <v>289</v>
      </c>
      <c r="W301" s="32"/>
      <c r="X301" s="32"/>
      <c r="Y301" s="26"/>
      <c r="Z301" s="26"/>
      <c r="AA301" s="27">
        <f>IF(TA[[#This Row],[Work Start time on Fault]]="NA","",(TA[[#This Row],[Fault Acknowledgement Time ]]-TA[[#This Row],[Fault Time]])*24)</f>
        <v>0</v>
      </c>
      <c r="AB301" s="27">
        <f>(TA[[#This Row],[Work Start time on Fault]]-TA[[#This Row],[Fault Time]])*24</f>
        <v>0</v>
      </c>
      <c r="AC301" s="26">
        <f>(TA[[#This Row],[Work Completion time on fault]]-TA[[#This Row],[Fault Time]])*24</f>
        <v>0</v>
      </c>
      <c r="AD301" s="27">
        <f>IFERROR((TA[[#This Row],[Work Completion time on fault]]-TA[[#This Row],[Fault Time]])*24,"")</f>
        <v>0</v>
      </c>
      <c r="AE301" t="s">
        <v>319</v>
      </c>
      <c r="AF301" t="s">
        <v>247</v>
      </c>
      <c r="AG301" s="2"/>
      <c r="AH301" s="35">
        <f>1-COS(RADIANS(TA[[#This Row],[Avg. Target Angle during Fault Time (Radians)]]-TA[[#This Row],[Angle of affected equipment ]]))</f>
        <v>0.11705240714107301</v>
      </c>
      <c r="AI301" s="27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43">
        <f t="shared" si="14"/>
        <v>2026</v>
      </c>
      <c r="C302" s="116">
        <f t="shared" si="15"/>
        <v>2025</v>
      </c>
      <c r="D302" s="2" t="s">
        <v>155</v>
      </c>
      <c r="E302" s="2" t="s">
        <v>155</v>
      </c>
      <c r="F302" s="30">
        <v>45748</v>
      </c>
      <c r="G302" s="2">
        <f>DAY(EOMONTH(TA[[#This Row],[Month Year]],0))</f>
        <v>30</v>
      </c>
      <c r="H302" s="21">
        <v>45765</v>
      </c>
      <c r="I302" s="32">
        <f>IFERROR(VLOOKUP(TA[[#This Row],[Date]],Raw_Data[[Date]:[Sunset Time (POA&lt;20 W/m2)]],3,0),"")</f>
        <v>0.26250000000000001</v>
      </c>
      <c r="J302" s="32">
        <f>IFERROR(VLOOKUP(TA[[#This Row],[Date]],Raw_Data[[Date]:[Sunset Time (POA&lt;20 W/m2)]],4,0),"")</f>
        <v>0.70833333333333337</v>
      </c>
      <c r="K302" s="27">
        <f>IFERROR((TA[[#This Row],[Sunset Time (POA&lt;20 W/m2)]]-TA[[#This Row],[Sunrise Time (POA&gt;20 W/m2)]])*24,"")</f>
        <v>10.700000000000001</v>
      </c>
      <c r="L302" s="2" t="s">
        <v>285</v>
      </c>
      <c r="M302" s="33">
        <f>IFERROR(VLOOKUP(TA[[#This Row],[Affected Equipment]],'Basic Data'!$I$2:$K$40,3,0),"")</f>
        <v>1.7241379310344799E-3</v>
      </c>
      <c r="N302">
        <v>-28</v>
      </c>
      <c r="O302" t="s">
        <v>135</v>
      </c>
      <c r="P302" s="114" t="s">
        <v>309</v>
      </c>
      <c r="Q302" s="113" t="s">
        <v>309</v>
      </c>
      <c r="R302">
        <v>131</v>
      </c>
      <c r="S302" s="2">
        <v>39</v>
      </c>
      <c r="T302" t="s">
        <v>286</v>
      </c>
      <c r="U302" t="s">
        <v>291</v>
      </c>
      <c r="V302" t="s">
        <v>289</v>
      </c>
      <c r="W302" s="32"/>
      <c r="X302" s="32"/>
      <c r="Y302" s="26"/>
      <c r="Z302" s="26"/>
      <c r="AA302" s="27">
        <f>IF(TA[[#This Row],[Work Start time on Fault]]="NA","",(TA[[#This Row],[Fault Acknowledgement Time ]]-TA[[#This Row],[Fault Time]])*24)</f>
        <v>0</v>
      </c>
      <c r="AB302" s="27">
        <f>(TA[[#This Row],[Work Start time on Fault]]-TA[[#This Row],[Fault Time]])*24</f>
        <v>0</v>
      </c>
      <c r="AC302" s="26">
        <f>(TA[[#This Row],[Work Completion time on fault]]-TA[[#This Row],[Fault Time]])*24</f>
        <v>0</v>
      </c>
      <c r="AD302" s="27">
        <f>IFERROR((TA[[#This Row],[Work Completion time on fault]]-TA[[#This Row],[Fault Time]])*24,"")</f>
        <v>0</v>
      </c>
      <c r="AE302" t="s">
        <v>319</v>
      </c>
      <c r="AF302" t="s">
        <v>247</v>
      </c>
      <c r="AG302" s="2"/>
      <c r="AH302" s="35">
        <f>1-COS(RADIANS(TA[[#This Row],[Avg. Target Angle during Fault Time (Radians)]]-TA[[#This Row],[Angle of affected equipment ]]))</f>
        <v>0.11705240714107301</v>
      </c>
      <c r="AI302" s="27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43">
        <f t="shared" si="14"/>
        <v>2026</v>
      </c>
      <c r="C303" s="116">
        <f t="shared" si="15"/>
        <v>2025</v>
      </c>
      <c r="D303" s="2" t="s">
        <v>155</v>
      </c>
      <c r="E303" s="2" t="s">
        <v>155</v>
      </c>
      <c r="F303" s="30">
        <v>45748</v>
      </c>
      <c r="G303" s="2">
        <f>DAY(EOMONTH(TA[[#This Row],[Month Year]],0))</f>
        <v>30</v>
      </c>
      <c r="H303" s="21">
        <v>45765</v>
      </c>
      <c r="I303" s="32">
        <f>IFERROR(VLOOKUP(TA[[#This Row],[Date]],Raw_Data[[Date]:[Sunset Time (POA&lt;20 W/m2)]],3,0),"")</f>
        <v>0.26250000000000001</v>
      </c>
      <c r="J303" s="32">
        <f>IFERROR(VLOOKUP(TA[[#This Row],[Date]],Raw_Data[[Date]:[Sunset Time (POA&lt;20 W/m2)]],4,0),"")</f>
        <v>0.70833333333333337</v>
      </c>
      <c r="K303" s="27">
        <f>IFERROR((TA[[#This Row],[Sunset Time (POA&lt;20 W/m2)]]-TA[[#This Row],[Sunrise Time (POA&gt;20 W/m2)]])*24,"")</f>
        <v>10.700000000000001</v>
      </c>
      <c r="L303" s="2" t="s">
        <v>287</v>
      </c>
      <c r="M303" s="33">
        <f>IFERROR(VLOOKUP(TA[[#This Row],[Affected Equipment]],'Basic Data'!$I$2:$K$40,3,0),"")</f>
        <v>8.6206896551724102E-3</v>
      </c>
      <c r="N303">
        <v>-28</v>
      </c>
      <c r="O303" t="s">
        <v>135</v>
      </c>
      <c r="P303" s="114" t="s">
        <v>309</v>
      </c>
      <c r="Q303" s="2" t="s">
        <v>312</v>
      </c>
      <c r="R303">
        <v>133</v>
      </c>
      <c r="S303" s="2">
        <v>26</v>
      </c>
      <c r="T303" t="s">
        <v>288</v>
      </c>
      <c r="U303" t="s">
        <v>291</v>
      </c>
      <c r="V303" t="s">
        <v>305</v>
      </c>
      <c r="W303" s="32"/>
      <c r="X303" s="32"/>
      <c r="Y303" s="26"/>
      <c r="Z303" s="26"/>
      <c r="AA303" s="27">
        <f>IF(TA[[#This Row],[Work Start time on Fault]]="NA","",(TA[[#This Row],[Fault Acknowledgement Time ]]-TA[[#This Row],[Fault Time]])*24)</f>
        <v>0</v>
      </c>
      <c r="AB303" s="27">
        <f>(TA[[#This Row],[Work Start time on Fault]]-TA[[#This Row],[Fault Time]])*24</f>
        <v>0</v>
      </c>
      <c r="AC303" s="26">
        <f>(TA[[#This Row],[Work Completion time on fault]]-TA[[#This Row],[Fault Time]])*24</f>
        <v>0</v>
      </c>
      <c r="AD303" s="27">
        <f>IFERROR((TA[[#This Row],[Work Completion time on fault]]-TA[[#This Row],[Fault Time]])*24,"")</f>
        <v>0</v>
      </c>
      <c r="AE303" t="s">
        <v>319</v>
      </c>
      <c r="AF303" t="s">
        <v>247</v>
      </c>
      <c r="AG303" s="2"/>
      <c r="AH303" s="35">
        <f>1-COS(RADIANS(TA[[#This Row],[Avg. Target Angle during Fault Time (Radians)]]-TA[[#This Row],[Angle of affected equipment ]]))</f>
        <v>0.11705240714107301</v>
      </c>
      <c r="AI303" s="27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43">
        <f t="shared" si="14"/>
        <v>2026</v>
      </c>
      <c r="C304" s="116">
        <f t="shared" si="15"/>
        <v>2025</v>
      </c>
      <c r="D304" s="2" t="s">
        <v>155</v>
      </c>
      <c r="E304" s="2" t="s">
        <v>155</v>
      </c>
      <c r="F304" s="30">
        <v>45748</v>
      </c>
      <c r="G304" s="2">
        <f>DAY(EOMONTH(TA[[#This Row],[Month Year]],0))</f>
        <v>30</v>
      </c>
      <c r="H304" s="21">
        <v>45765</v>
      </c>
      <c r="I304" s="32">
        <f>IFERROR(VLOOKUP(TA[[#This Row],[Date]],Raw_Data[[Date]:[Sunset Time (POA&lt;20 W/m2)]],3,0),"")</f>
        <v>0.26250000000000001</v>
      </c>
      <c r="J304" s="32">
        <f>IFERROR(VLOOKUP(TA[[#This Row],[Date]],Raw_Data[[Date]:[Sunset Time (POA&lt;20 W/m2)]],4,0),"")</f>
        <v>0.70833333333333337</v>
      </c>
      <c r="K304" s="27">
        <f>IFERROR((TA[[#This Row],[Sunset Time (POA&lt;20 W/m2)]]-TA[[#This Row],[Sunrise Time (POA&gt;20 W/m2)]])*24,"")</f>
        <v>10.700000000000001</v>
      </c>
      <c r="L304" s="2" t="s">
        <v>285</v>
      </c>
      <c r="M304" s="33">
        <f>IFERROR(VLOOKUP(TA[[#This Row],[Affected Equipment]],'Basic Data'!$I$2:$K$40,3,0),"")</f>
        <v>1.7241379310344799E-3</v>
      </c>
      <c r="N304">
        <v>-28</v>
      </c>
      <c r="O304" t="s">
        <v>133</v>
      </c>
      <c r="P304" s="114" t="s">
        <v>307</v>
      </c>
      <c r="Q304" s="113" t="s">
        <v>308</v>
      </c>
      <c r="R304">
        <v>7</v>
      </c>
      <c r="S304" s="2">
        <v>32</v>
      </c>
      <c r="T304" t="s">
        <v>286</v>
      </c>
      <c r="U304" t="s">
        <v>291</v>
      </c>
      <c r="V304" t="s">
        <v>289</v>
      </c>
      <c r="W304" s="32"/>
      <c r="X304" s="32"/>
      <c r="Y304" s="26"/>
      <c r="Z304" s="26"/>
      <c r="AA304" s="27">
        <f>IF(TA[[#This Row],[Work Start time on Fault]]="NA","",(TA[[#This Row],[Fault Acknowledgement Time ]]-TA[[#This Row],[Fault Time]])*24)</f>
        <v>0</v>
      </c>
      <c r="AB304" s="27">
        <f>(TA[[#This Row],[Work Start time on Fault]]-TA[[#This Row],[Fault Time]])*24</f>
        <v>0</v>
      </c>
      <c r="AC304" s="26">
        <f>(TA[[#This Row],[Work Completion time on fault]]-TA[[#This Row],[Fault Time]])*24</f>
        <v>0</v>
      </c>
      <c r="AD304" s="27">
        <f>IFERROR((TA[[#This Row],[Work Completion time on fault]]-TA[[#This Row],[Fault Time]])*24,"")</f>
        <v>0</v>
      </c>
      <c r="AE304" t="s">
        <v>319</v>
      </c>
      <c r="AF304" t="s">
        <v>247</v>
      </c>
      <c r="AG304" s="2"/>
      <c r="AH304" s="35">
        <f>1-COS(RADIANS(TA[[#This Row],[Avg. Target Angle during Fault Time (Radians)]]-TA[[#This Row],[Angle of affected equipment ]]))</f>
        <v>0.11705240714107301</v>
      </c>
      <c r="AI304" s="27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43">
        <f t="shared" si="14"/>
        <v>2026</v>
      </c>
      <c r="C305" s="116">
        <f t="shared" si="15"/>
        <v>2025</v>
      </c>
      <c r="D305" s="2" t="s">
        <v>155</v>
      </c>
      <c r="E305" s="2" t="s">
        <v>155</v>
      </c>
      <c r="F305" s="30">
        <v>45748</v>
      </c>
      <c r="G305" s="2">
        <f>DAY(EOMONTH(TA[[#This Row],[Month Year]],0))</f>
        <v>30</v>
      </c>
      <c r="H305" s="21">
        <v>45765</v>
      </c>
      <c r="I305" s="32">
        <f>IFERROR(VLOOKUP(TA[[#This Row],[Date]],Raw_Data[[Date]:[Sunset Time (POA&lt;20 W/m2)]],3,0),"")</f>
        <v>0.26250000000000001</v>
      </c>
      <c r="J305" s="32">
        <f>IFERROR(VLOOKUP(TA[[#This Row],[Date]],Raw_Data[[Date]:[Sunset Time (POA&lt;20 W/m2)]],4,0),"")</f>
        <v>0.70833333333333337</v>
      </c>
      <c r="K305" s="27">
        <f>IFERROR((TA[[#This Row],[Sunset Time (POA&lt;20 W/m2)]]-TA[[#This Row],[Sunrise Time (POA&gt;20 W/m2)]])*24,"")</f>
        <v>10.700000000000001</v>
      </c>
      <c r="L305" s="2" t="s">
        <v>285</v>
      </c>
      <c r="M305" s="33">
        <f>IFERROR(VLOOKUP(TA[[#This Row],[Affected Equipment]],'Basic Data'!$I$2:$K$40,3,0),"")</f>
        <v>1.7241379310344799E-3</v>
      </c>
      <c r="N305">
        <v>-28</v>
      </c>
      <c r="O305" t="s">
        <v>137</v>
      </c>
      <c r="P305" s="114" t="s">
        <v>306</v>
      </c>
      <c r="Q305" s="113" t="s">
        <v>310</v>
      </c>
      <c r="R305">
        <v>166</v>
      </c>
      <c r="S305" s="2">
        <v>91</v>
      </c>
      <c r="T305" t="s">
        <v>286</v>
      </c>
      <c r="U305" t="s">
        <v>291</v>
      </c>
      <c r="V305" t="s">
        <v>289</v>
      </c>
      <c r="W305" s="32"/>
      <c r="X305" s="32"/>
      <c r="Y305" s="26"/>
      <c r="Z305" s="26"/>
      <c r="AA305" s="27">
        <f>IF(TA[[#This Row],[Work Start time on Fault]]="NA","",(TA[[#This Row],[Fault Acknowledgement Time ]]-TA[[#This Row],[Fault Time]])*24)</f>
        <v>0</v>
      </c>
      <c r="AB305" s="27">
        <f>(TA[[#This Row],[Work Start time on Fault]]-TA[[#This Row],[Fault Time]])*24</f>
        <v>0</v>
      </c>
      <c r="AC305" s="26">
        <f>(TA[[#This Row],[Work Completion time on fault]]-TA[[#This Row],[Fault Time]])*24</f>
        <v>0</v>
      </c>
      <c r="AD305" s="27">
        <f>IFERROR((TA[[#This Row],[Work Completion time on fault]]-TA[[#This Row],[Fault Time]])*24,"")</f>
        <v>0</v>
      </c>
      <c r="AE305" t="s">
        <v>319</v>
      </c>
      <c r="AF305" t="s">
        <v>247</v>
      </c>
      <c r="AG305" s="2"/>
      <c r="AH305" s="35">
        <f>1-COS(RADIANS(TA[[#This Row],[Avg. Target Angle during Fault Time (Radians)]]-TA[[#This Row],[Angle of affected equipment ]]))</f>
        <v>0.11705240714107301</v>
      </c>
      <c r="AI305" s="27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43">
        <f t="shared" si="14"/>
        <v>2026</v>
      </c>
      <c r="C306" s="116">
        <f t="shared" si="15"/>
        <v>2025</v>
      </c>
      <c r="D306" s="2" t="s">
        <v>155</v>
      </c>
      <c r="E306" s="2" t="s">
        <v>155</v>
      </c>
      <c r="F306" s="30">
        <v>45748</v>
      </c>
      <c r="G306" s="2">
        <f>DAY(EOMONTH(TA[[#This Row],[Month Year]],0))</f>
        <v>30</v>
      </c>
      <c r="H306" s="21">
        <v>45765</v>
      </c>
      <c r="I306" s="32">
        <f>IFERROR(VLOOKUP(TA[[#This Row],[Date]],Raw_Data[[Date]:[Sunset Time (POA&lt;20 W/m2)]],3,0),"")</f>
        <v>0.26250000000000001</v>
      </c>
      <c r="J306" s="32">
        <f>IFERROR(VLOOKUP(TA[[#This Row],[Date]],Raw_Data[[Date]:[Sunset Time (POA&lt;20 W/m2)]],4,0),"")</f>
        <v>0.70833333333333337</v>
      </c>
      <c r="K306" s="27">
        <f>IFERROR((TA[[#This Row],[Sunset Time (POA&lt;20 W/m2)]]-TA[[#This Row],[Sunrise Time (POA&gt;20 W/m2)]])*24,"")</f>
        <v>10.700000000000001</v>
      </c>
      <c r="L306" s="2" t="s">
        <v>285</v>
      </c>
      <c r="M306" s="33">
        <f>IFERROR(VLOOKUP(TA[[#This Row],[Affected Equipment]],'Basic Data'!$I$2:$K$40,3,0),"")</f>
        <v>1.7241379310344799E-3</v>
      </c>
      <c r="N306">
        <v>-28</v>
      </c>
      <c r="O306" t="s">
        <v>133</v>
      </c>
      <c r="P306" s="114" t="s">
        <v>307</v>
      </c>
      <c r="Q306" s="113" t="s">
        <v>307</v>
      </c>
      <c r="R306">
        <v>117</v>
      </c>
      <c r="S306" s="2">
        <v>20</v>
      </c>
      <c r="T306" t="s">
        <v>286</v>
      </c>
      <c r="U306" t="s">
        <v>291</v>
      </c>
      <c r="V306" t="s">
        <v>289</v>
      </c>
      <c r="W306" s="32"/>
      <c r="X306" s="32"/>
      <c r="Y306" s="26"/>
      <c r="Z306" s="26"/>
      <c r="AA306" s="27">
        <f>IF(TA[[#This Row],[Work Start time on Fault]]="NA","",(TA[[#This Row],[Fault Acknowledgement Time ]]-TA[[#This Row],[Fault Time]])*24)</f>
        <v>0</v>
      </c>
      <c r="AB306" s="27">
        <f>(TA[[#This Row],[Work Start time on Fault]]-TA[[#This Row],[Fault Time]])*24</f>
        <v>0</v>
      </c>
      <c r="AC306" s="26">
        <f>(TA[[#This Row],[Work Completion time on fault]]-TA[[#This Row],[Fault Time]])*24</f>
        <v>0</v>
      </c>
      <c r="AD306" s="27">
        <f>IFERROR((TA[[#This Row],[Work Completion time on fault]]-TA[[#This Row],[Fault Time]])*24,"")</f>
        <v>0</v>
      </c>
      <c r="AE306" t="s">
        <v>319</v>
      </c>
      <c r="AF306" t="s">
        <v>247</v>
      </c>
      <c r="AG306" s="2"/>
      <c r="AH306" s="35">
        <f>1-COS(RADIANS(TA[[#This Row],[Avg. Target Angle during Fault Time (Radians)]]-TA[[#This Row],[Angle of affected equipment ]]))</f>
        <v>0.11705240714107301</v>
      </c>
      <c r="AI306" s="27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43">
        <f t="shared" si="14"/>
        <v>2026</v>
      </c>
      <c r="C307" s="116">
        <f t="shared" si="15"/>
        <v>2025</v>
      </c>
      <c r="D307" s="2" t="s">
        <v>155</v>
      </c>
      <c r="E307" s="2" t="s">
        <v>155</v>
      </c>
      <c r="F307" s="30">
        <v>45748</v>
      </c>
      <c r="G307" s="2">
        <f>DAY(EOMONTH(TA[[#This Row],[Month Year]],0))</f>
        <v>30</v>
      </c>
      <c r="H307" s="21">
        <v>45765</v>
      </c>
      <c r="I307" s="32">
        <f>IFERROR(VLOOKUP(TA[[#This Row],[Date]],Raw_Data[[Date]:[Sunset Time (POA&lt;20 W/m2)]],3,0),"")</f>
        <v>0.26250000000000001</v>
      </c>
      <c r="J307" s="32">
        <f>IFERROR(VLOOKUP(TA[[#This Row],[Date]],Raw_Data[[Date]:[Sunset Time (POA&lt;20 W/m2)]],4,0),"")</f>
        <v>0.70833333333333337</v>
      </c>
      <c r="K307" s="27">
        <f>IFERROR((TA[[#This Row],[Sunset Time (POA&lt;20 W/m2)]]-TA[[#This Row],[Sunrise Time (POA&gt;20 W/m2)]])*24,"")</f>
        <v>10.700000000000001</v>
      </c>
      <c r="L307" s="2" t="s">
        <v>285</v>
      </c>
      <c r="M307" s="33">
        <f>IFERROR(VLOOKUP(TA[[#This Row],[Affected Equipment]],'Basic Data'!$I$2:$K$40,3,0),"")</f>
        <v>1.7241379310344799E-3</v>
      </c>
      <c r="N307">
        <v>-28</v>
      </c>
      <c r="O307" t="s">
        <v>133</v>
      </c>
      <c r="P307" s="114" t="s">
        <v>307</v>
      </c>
      <c r="Q307" s="113" t="s">
        <v>307</v>
      </c>
      <c r="R307">
        <v>118</v>
      </c>
      <c r="S307" s="2">
        <v>22</v>
      </c>
      <c r="T307" t="s">
        <v>286</v>
      </c>
      <c r="U307" t="s">
        <v>291</v>
      </c>
      <c r="V307" t="s">
        <v>289</v>
      </c>
      <c r="W307" s="32"/>
      <c r="X307" s="32"/>
      <c r="Y307" s="26"/>
      <c r="Z307" s="26"/>
      <c r="AA307" s="27">
        <f>IF(TA[[#This Row],[Work Start time on Fault]]="NA","",(TA[[#This Row],[Fault Acknowledgement Time ]]-TA[[#This Row],[Fault Time]])*24)</f>
        <v>0</v>
      </c>
      <c r="AB307" s="27">
        <f>(TA[[#This Row],[Work Start time on Fault]]-TA[[#This Row],[Fault Time]])*24</f>
        <v>0</v>
      </c>
      <c r="AC307" s="26">
        <f>(TA[[#This Row],[Work Completion time on fault]]-TA[[#This Row],[Fault Time]])*24</f>
        <v>0</v>
      </c>
      <c r="AD307" s="27">
        <f>IFERROR((TA[[#This Row],[Work Completion time on fault]]-TA[[#This Row],[Fault Time]])*24,"")</f>
        <v>0</v>
      </c>
      <c r="AE307" t="s">
        <v>319</v>
      </c>
      <c r="AF307" t="s">
        <v>247</v>
      </c>
      <c r="AG307" s="2"/>
      <c r="AH307" s="35">
        <f>1-COS(RADIANS(TA[[#This Row],[Avg. Target Angle during Fault Time (Radians)]]-TA[[#This Row],[Angle of affected equipment ]]))</f>
        <v>0.11705240714107301</v>
      </c>
      <c r="AI307" s="27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43">
        <f t="shared" si="14"/>
        <v>2026</v>
      </c>
      <c r="C308" s="116">
        <f t="shared" si="15"/>
        <v>2025</v>
      </c>
      <c r="D308" s="2" t="s">
        <v>155</v>
      </c>
      <c r="E308" s="2" t="s">
        <v>155</v>
      </c>
      <c r="F308" s="30">
        <v>45748</v>
      </c>
      <c r="G308" s="2">
        <f>DAY(EOMONTH(TA[[#This Row],[Month Year]],0))</f>
        <v>30</v>
      </c>
      <c r="H308" s="21">
        <v>45765</v>
      </c>
      <c r="I308" s="32">
        <f>IFERROR(VLOOKUP(TA[[#This Row],[Date]],Raw_Data[[Date]:[Sunset Time (POA&lt;20 W/m2)]],3,0),"")</f>
        <v>0.26250000000000001</v>
      </c>
      <c r="J308" s="32">
        <f>IFERROR(VLOOKUP(TA[[#This Row],[Date]],Raw_Data[[Date]:[Sunset Time (POA&lt;20 W/m2)]],4,0),"")</f>
        <v>0.70833333333333337</v>
      </c>
      <c r="K308" s="27">
        <f>IFERROR((TA[[#This Row],[Sunset Time (POA&lt;20 W/m2)]]-TA[[#This Row],[Sunrise Time (POA&gt;20 W/m2)]])*24,"")</f>
        <v>10.700000000000001</v>
      </c>
      <c r="L308" s="2" t="s">
        <v>287</v>
      </c>
      <c r="M308" s="33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314</v>
      </c>
      <c r="Q308" s="2" t="s">
        <v>320</v>
      </c>
      <c r="R308">
        <v>45</v>
      </c>
      <c r="S308" s="2">
        <v>8</v>
      </c>
      <c r="T308" t="s">
        <v>288</v>
      </c>
      <c r="U308" t="s">
        <v>317</v>
      </c>
      <c r="V308" t="s">
        <v>292</v>
      </c>
      <c r="W308" s="32">
        <f>IFERROR(VLOOKUP(TA[[#This Row],[Date]],Raw_Data[[Date]:[Sunset Time (POA&lt;20 W/m2)]],3,0),"")</f>
        <v>0.26250000000000001</v>
      </c>
      <c r="X308" s="32">
        <f>IFERROR(VLOOKUP(TA[[#This Row],[Date]],Raw_Data[[Date]:[Sunset Time (POA&lt;20 W/m2)]],3,0),"")</f>
        <v>0.26250000000000001</v>
      </c>
      <c r="Y308" s="26"/>
      <c r="Z308" s="26">
        <v>0.76041666666666663</v>
      </c>
      <c r="AA308" s="27">
        <f>IF(TA[[#This Row],[Work Start time on Fault]]="NA","",(TA[[#This Row],[Fault Acknowledgement Time ]]-TA[[#This Row],[Fault Time]])*24)</f>
        <v>0</v>
      </c>
      <c r="AB308" s="27">
        <f>(TA[[#This Row],[Work Start time on Fault]]-TA[[#This Row],[Fault Time]])*24</f>
        <v>-6.3000000000000007</v>
      </c>
      <c r="AC308" s="26">
        <f>(TA[[#This Row],[Work Completion time on fault]]-TA[[#This Row],[Fault Time]])*24</f>
        <v>11.95</v>
      </c>
      <c r="AD308" s="27">
        <f>IFERROR((TA[[#This Row],[Work Completion time on fault]]-TA[[#This Row],[Fault Time]])*24,"")</f>
        <v>11.95</v>
      </c>
      <c r="AE308" t="s">
        <v>300</v>
      </c>
      <c r="AF308" t="s">
        <v>247</v>
      </c>
      <c r="AG308" s="2"/>
      <c r="AH308" s="35">
        <f>1-COS(RADIANS(TA[[#This Row],[Avg. Target Angle during Fault Time (Radians)]]-TA[[#This Row],[Angle of affected equipment ]]))</f>
        <v>0.11705240714107301</v>
      </c>
      <c r="AI308" s="27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43">
        <f t="shared" si="14"/>
        <v>2026</v>
      </c>
      <c r="C309" s="116">
        <f t="shared" si="15"/>
        <v>2025</v>
      </c>
      <c r="D309" s="2" t="s">
        <v>155</v>
      </c>
      <c r="E309" s="2" t="s">
        <v>155</v>
      </c>
      <c r="F309" s="30">
        <v>45748</v>
      </c>
      <c r="G309" s="2">
        <f>DAY(EOMONTH(TA[[#This Row],[Month Year]],0))</f>
        <v>30</v>
      </c>
      <c r="H309" s="21">
        <v>45765</v>
      </c>
      <c r="I309" s="32">
        <f>IFERROR(VLOOKUP(TA[[#This Row],[Date]],Raw_Data[[Date]:[Sunset Time (POA&lt;20 W/m2)]],3,0),"")</f>
        <v>0.26250000000000001</v>
      </c>
      <c r="J309" s="32">
        <f>IFERROR(VLOOKUP(TA[[#This Row],[Date]],Raw_Data[[Date]:[Sunset Time (POA&lt;20 W/m2)]],4,0),"")</f>
        <v>0.70833333333333337</v>
      </c>
      <c r="K309" s="27">
        <f>IFERROR((TA[[#This Row],[Sunset Time (POA&lt;20 W/m2)]]-TA[[#This Row],[Sunrise Time (POA&gt;20 W/m2)]])*24,"")</f>
        <v>10.700000000000001</v>
      </c>
      <c r="L309" s="2" t="s">
        <v>287</v>
      </c>
      <c r="M309" s="33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314</v>
      </c>
      <c r="Q309" s="2" t="s">
        <v>320</v>
      </c>
      <c r="R309">
        <v>47</v>
      </c>
      <c r="S309" s="2">
        <v>18</v>
      </c>
      <c r="T309" t="s">
        <v>288</v>
      </c>
      <c r="U309" t="s">
        <v>317</v>
      </c>
      <c r="V309" t="s">
        <v>292</v>
      </c>
      <c r="W309" s="32">
        <f>IFERROR(VLOOKUP(TA[[#This Row],[Date]],Raw_Data[[Date]:[Sunset Time (POA&lt;20 W/m2)]],3,0),"")</f>
        <v>0.26250000000000001</v>
      </c>
      <c r="X309" s="32">
        <f>IFERROR(VLOOKUP(TA[[#This Row],[Date]],Raw_Data[[Date]:[Sunset Time (POA&lt;20 W/m2)]],3,0),"")</f>
        <v>0.26250000000000001</v>
      </c>
      <c r="Y309" s="26"/>
      <c r="Z309" s="26">
        <v>0.76041666666666663</v>
      </c>
      <c r="AA309" s="27">
        <f>IF(TA[[#This Row],[Work Start time on Fault]]="NA","",(TA[[#This Row],[Fault Acknowledgement Time ]]-TA[[#This Row],[Fault Time]])*24)</f>
        <v>0</v>
      </c>
      <c r="AB309" s="27">
        <f>(TA[[#This Row],[Work Start time on Fault]]-TA[[#This Row],[Fault Time]])*24</f>
        <v>-6.3000000000000007</v>
      </c>
      <c r="AC309" s="26">
        <f>(TA[[#This Row],[Work Completion time on fault]]-TA[[#This Row],[Fault Time]])*24</f>
        <v>11.95</v>
      </c>
      <c r="AD309" s="27">
        <f>IFERROR((TA[[#This Row],[Work Completion time on fault]]-TA[[#This Row],[Fault Time]])*24,"")</f>
        <v>11.95</v>
      </c>
      <c r="AE309" t="s">
        <v>300</v>
      </c>
      <c r="AF309" t="s">
        <v>247</v>
      </c>
      <c r="AG309" s="2"/>
      <c r="AH309" s="35">
        <f>1-COS(RADIANS(TA[[#This Row],[Avg. Target Angle during Fault Time (Radians)]]-TA[[#This Row],[Angle of affected equipment ]]))</f>
        <v>0.11705240714107301</v>
      </c>
      <c r="AI309" s="27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43">
        <f t="shared" si="14"/>
        <v>2026</v>
      </c>
      <c r="C310" s="116">
        <f t="shared" si="15"/>
        <v>2025</v>
      </c>
      <c r="D310" s="2" t="s">
        <v>155</v>
      </c>
      <c r="E310" s="2" t="s">
        <v>155</v>
      </c>
      <c r="F310" s="30">
        <v>45748</v>
      </c>
      <c r="G310" s="2">
        <f>DAY(EOMONTH(TA[[#This Row],[Month Year]],0))</f>
        <v>30</v>
      </c>
      <c r="H310" s="21">
        <v>45765</v>
      </c>
      <c r="I310" s="32">
        <f>IFERROR(VLOOKUP(TA[[#This Row],[Date]],Raw_Data[[Date]:[Sunset Time (POA&lt;20 W/m2)]],3,0),"")</f>
        <v>0.26250000000000001</v>
      </c>
      <c r="J310" s="32">
        <f>IFERROR(VLOOKUP(TA[[#This Row],[Date]],Raw_Data[[Date]:[Sunset Time (POA&lt;20 W/m2)]],4,0),"")</f>
        <v>0.70833333333333337</v>
      </c>
      <c r="K310" s="27">
        <f>IFERROR((TA[[#This Row],[Sunset Time (POA&lt;20 W/m2)]]-TA[[#This Row],[Sunrise Time (POA&gt;20 W/m2)]])*24,"")</f>
        <v>10.700000000000001</v>
      </c>
      <c r="L310" s="2" t="s">
        <v>287</v>
      </c>
      <c r="M310" s="33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321</v>
      </c>
      <c r="Q310" s="2" t="s">
        <v>314</v>
      </c>
      <c r="R310">
        <v>30</v>
      </c>
      <c r="S310" s="2">
        <v>57</v>
      </c>
      <c r="T310" t="s">
        <v>288</v>
      </c>
      <c r="U310" t="s">
        <v>317</v>
      </c>
      <c r="V310" t="s">
        <v>292</v>
      </c>
      <c r="W310" s="32">
        <f>IFERROR(VLOOKUP(TA[[#This Row],[Date]],Raw_Data[[Date]:[Sunset Time (POA&lt;20 W/m2)]],3,0),"")</f>
        <v>0.26250000000000001</v>
      </c>
      <c r="X310" s="32">
        <f>IFERROR(VLOOKUP(TA[[#This Row],[Date]],Raw_Data[[Date]:[Sunset Time (POA&lt;20 W/m2)]],3,0),"")</f>
        <v>0.26250000000000001</v>
      </c>
      <c r="Y310" s="26"/>
      <c r="Z310" s="26">
        <v>0.76041666666666663</v>
      </c>
      <c r="AA310" s="27">
        <f>IF(TA[[#This Row],[Work Start time on Fault]]="NA","",(TA[[#This Row],[Fault Acknowledgement Time ]]-TA[[#This Row],[Fault Time]])*24)</f>
        <v>0</v>
      </c>
      <c r="AB310" s="27">
        <f>(TA[[#This Row],[Work Start time on Fault]]-TA[[#This Row],[Fault Time]])*24</f>
        <v>-6.3000000000000007</v>
      </c>
      <c r="AC310" s="26">
        <f>(TA[[#This Row],[Work Completion time on fault]]-TA[[#This Row],[Fault Time]])*24</f>
        <v>11.95</v>
      </c>
      <c r="AD310" s="27">
        <f>IFERROR((TA[[#This Row],[Work Completion time on fault]]-TA[[#This Row],[Fault Time]])*24,"")</f>
        <v>11.95</v>
      </c>
      <c r="AE310" t="s">
        <v>300</v>
      </c>
      <c r="AF310" t="s">
        <v>247</v>
      </c>
      <c r="AG310" s="2"/>
      <c r="AH310" s="35">
        <f>1-COS(RADIANS(TA[[#This Row],[Avg. Target Angle during Fault Time (Radians)]]-TA[[#This Row],[Angle of affected equipment ]]))</f>
        <v>0.11705240714107301</v>
      </c>
      <c r="AI310" s="27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43">
        <f t="shared" si="14"/>
        <v>2026</v>
      </c>
      <c r="C311" s="116">
        <f t="shared" si="15"/>
        <v>2025</v>
      </c>
      <c r="D311" s="2" t="s">
        <v>155</v>
      </c>
      <c r="E311" s="2" t="s">
        <v>155</v>
      </c>
      <c r="F311" s="30">
        <v>45748</v>
      </c>
      <c r="G311" s="2">
        <f>DAY(EOMONTH(TA[[#This Row],[Month Year]],0))</f>
        <v>30</v>
      </c>
      <c r="H311" s="21">
        <v>45765</v>
      </c>
      <c r="I311" s="32">
        <f>IFERROR(VLOOKUP(TA[[#This Row],[Date]],Raw_Data[[Date]:[Sunset Time (POA&lt;20 W/m2)]],3,0),"")</f>
        <v>0.26250000000000001</v>
      </c>
      <c r="J311" s="32">
        <f>IFERROR(VLOOKUP(TA[[#This Row],[Date]],Raw_Data[[Date]:[Sunset Time (POA&lt;20 W/m2)]],4,0),"")</f>
        <v>0.70833333333333337</v>
      </c>
      <c r="K311" s="27">
        <f>IFERROR((TA[[#This Row],[Sunset Time (POA&lt;20 W/m2)]]-TA[[#This Row],[Sunrise Time (POA&gt;20 W/m2)]])*24,"")</f>
        <v>10.700000000000001</v>
      </c>
      <c r="L311" s="2" t="s">
        <v>287</v>
      </c>
      <c r="M311" s="33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321</v>
      </c>
      <c r="Q311" s="2" t="s">
        <v>314</v>
      </c>
      <c r="R311">
        <v>31</v>
      </c>
      <c r="S311" s="2">
        <v>61</v>
      </c>
      <c r="T311" t="s">
        <v>288</v>
      </c>
      <c r="U311" t="s">
        <v>317</v>
      </c>
      <c r="V311" t="s">
        <v>292</v>
      </c>
      <c r="W311" s="32">
        <f>IFERROR(VLOOKUP(TA[[#This Row],[Date]],Raw_Data[[Date]:[Sunset Time (POA&lt;20 W/m2)]],3,0),"")</f>
        <v>0.26250000000000001</v>
      </c>
      <c r="X311" s="32">
        <f>IFERROR(VLOOKUP(TA[[#This Row],[Date]],Raw_Data[[Date]:[Sunset Time (POA&lt;20 W/m2)]],3,0),"")</f>
        <v>0.26250000000000001</v>
      </c>
      <c r="Y311" s="26"/>
      <c r="Z311" s="26">
        <v>0.76041666666666663</v>
      </c>
      <c r="AA311" s="27">
        <f>IF(TA[[#This Row],[Work Start time on Fault]]="NA","",(TA[[#This Row],[Fault Acknowledgement Time ]]-TA[[#This Row],[Fault Time]])*24)</f>
        <v>0</v>
      </c>
      <c r="AB311" s="27">
        <f>(TA[[#This Row],[Work Start time on Fault]]-TA[[#This Row],[Fault Time]])*24</f>
        <v>-6.3000000000000007</v>
      </c>
      <c r="AC311" s="26">
        <f>(TA[[#This Row],[Work Completion time on fault]]-TA[[#This Row],[Fault Time]])*24</f>
        <v>11.95</v>
      </c>
      <c r="AD311" s="27">
        <f>IFERROR((TA[[#This Row],[Work Completion time on fault]]-TA[[#This Row],[Fault Time]])*24,"")</f>
        <v>11.95</v>
      </c>
      <c r="AE311" t="s">
        <v>300</v>
      </c>
      <c r="AF311" t="s">
        <v>247</v>
      </c>
      <c r="AG311" s="2"/>
      <c r="AH311" s="35">
        <f>1-COS(RADIANS(TA[[#This Row],[Avg. Target Angle during Fault Time (Radians)]]-TA[[#This Row],[Angle of affected equipment ]]))</f>
        <v>0.11705240714107301</v>
      </c>
      <c r="AI311" s="27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43">
        <f t="shared" si="14"/>
        <v>2026</v>
      </c>
      <c r="C312" s="116">
        <f t="shared" si="15"/>
        <v>2025</v>
      </c>
      <c r="D312" s="2" t="s">
        <v>155</v>
      </c>
      <c r="E312" s="2" t="s">
        <v>155</v>
      </c>
      <c r="F312" s="30">
        <v>45748</v>
      </c>
      <c r="G312" s="2">
        <f>DAY(EOMONTH(TA[[#This Row],[Month Year]],0))</f>
        <v>30</v>
      </c>
      <c r="H312" s="21">
        <v>45765</v>
      </c>
      <c r="I312" s="32">
        <f>IFERROR(VLOOKUP(TA[[#This Row],[Date]],Raw_Data[[Date]:[Sunset Time (POA&lt;20 W/m2)]],3,0),"")</f>
        <v>0.26250000000000001</v>
      </c>
      <c r="J312" s="32">
        <f>IFERROR(VLOOKUP(TA[[#This Row],[Date]],Raw_Data[[Date]:[Sunset Time (POA&lt;20 W/m2)]],4,0),"")</f>
        <v>0.70833333333333337</v>
      </c>
      <c r="K312" s="27">
        <f>IFERROR((TA[[#This Row],[Sunset Time (POA&lt;20 W/m2)]]-TA[[#This Row],[Sunrise Time (POA&gt;20 W/m2)]])*24,"")</f>
        <v>10.700000000000001</v>
      </c>
      <c r="L312" s="2" t="s">
        <v>303</v>
      </c>
      <c r="M312" s="33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321</v>
      </c>
      <c r="Q312" s="2" t="s">
        <v>314</v>
      </c>
      <c r="R312">
        <v>26</v>
      </c>
      <c r="S312" s="2">
        <v>37</v>
      </c>
      <c r="T312" t="s">
        <v>288</v>
      </c>
      <c r="U312" t="s">
        <v>317</v>
      </c>
      <c r="V312" t="s">
        <v>292</v>
      </c>
      <c r="W312" s="32">
        <f>IFERROR(VLOOKUP(TA[[#This Row],[Date]],Raw_Data[[Date]:[Sunset Time (POA&lt;20 W/m2)]],3,0),"")</f>
        <v>0.26250000000000001</v>
      </c>
      <c r="X312" s="32">
        <f>IFERROR(VLOOKUP(TA[[#This Row],[Date]],Raw_Data[[Date]:[Sunset Time (POA&lt;20 W/m2)]],3,0),"")</f>
        <v>0.26250000000000001</v>
      </c>
      <c r="Y312" s="26"/>
      <c r="Z312" s="26">
        <v>0.76041666666666663</v>
      </c>
      <c r="AA312" s="27">
        <f>IF(TA[[#This Row],[Work Start time on Fault]]="NA","",(TA[[#This Row],[Fault Acknowledgement Time ]]-TA[[#This Row],[Fault Time]])*24)</f>
        <v>0</v>
      </c>
      <c r="AB312" s="27">
        <f>(TA[[#This Row],[Work Start time on Fault]]-TA[[#This Row],[Fault Time]])*24</f>
        <v>-6.3000000000000007</v>
      </c>
      <c r="AC312" s="26">
        <f>(TA[[#This Row],[Work Completion time on fault]]-TA[[#This Row],[Fault Time]])*24</f>
        <v>11.95</v>
      </c>
      <c r="AD312" s="27">
        <f>IFERROR((TA[[#This Row],[Work Completion time on fault]]-TA[[#This Row],[Fault Time]])*24,"")</f>
        <v>11.95</v>
      </c>
      <c r="AE312" t="s">
        <v>300</v>
      </c>
      <c r="AF312" t="s">
        <v>247</v>
      </c>
      <c r="AG312" s="2"/>
      <c r="AH312" s="35">
        <f>1-COS(RADIANS(TA[[#This Row],[Avg. Target Angle during Fault Time (Radians)]]-TA[[#This Row],[Angle of affected equipment ]]))</f>
        <v>0.11705240714107301</v>
      </c>
      <c r="AI312" s="27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43">
        <f t="shared" si="14"/>
        <v>2026</v>
      </c>
      <c r="C313" s="116">
        <f t="shared" si="15"/>
        <v>2025</v>
      </c>
      <c r="D313" s="2" t="s">
        <v>155</v>
      </c>
      <c r="E313" s="2" t="s">
        <v>155</v>
      </c>
      <c r="F313" s="30">
        <v>45748</v>
      </c>
      <c r="G313" s="2">
        <f>DAY(EOMONTH(TA[[#This Row],[Month Year]],0))</f>
        <v>30</v>
      </c>
      <c r="H313" s="21">
        <v>45765</v>
      </c>
      <c r="I313" s="32">
        <f>IFERROR(VLOOKUP(TA[[#This Row],[Date]],Raw_Data[[Date]:[Sunset Time (POA&lt;20 W/m2)]],3,0),"")</f>
        <v>0.26250000000000001</v>
      </c>
      <c r="J313" s="32">
        <f>IFERROR(VLOOKUP(TA[[#This Row],[Date]],Raw_Data[[Date]:[Sunset Time (POA&lt;20 W/m2)]],4,0),"")</f>
        <v>0.70833333333333337</v>
      </c>
      <c r="K313" s="27">
        <f>IFERROR((TA[[#This Row],[Sunset Time (POA&lt;20 W/m2)]]-TA[[#This Row],[Sunrise Time (POA&gt;20 W/m2)]])*24,"")</f>
        <v>10.700000000000001</v>
      </c>
      <c r="L313" s="2" t="s">
        <v>303</v>
      </c>
      <c r="M313" s="33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321</v>
      </c>
      <c r="Q313" s="2" t="s">
        <v>314</v>
      </c>
      <c r="R313">
        <v>27</v>
      </c>
      <c r="S313" s="2">
        <v>42</v>
      </c>
      <c r="T313" t="s">
        <v>288</v>
      </c>
      <c r="U313" t="s">
        <v>317</v>
      </c>
      <c r="V313" t="s">
        <v>292</v>
      </c>
      <c r="W313" s="32">
        <f>IFERROR(VLOOKUP(TA[[#This Row],[Date]],Raw_Data[[Date]:[Sunset Time (POA&lt;20 W/m2)]],3,0),"")</f>
        <v>0.26250000000000001</v>
      </c>
      <c r="X313" s="32">
        <f>IFERROR(VLOOKUP(TA[[#This Row],[Date]],Raw_Data[[Date]:[Sunset Time (POA&lt;20 W/m2)]],3,0),"")</f>
        <v>0.26250000000000001</v>
      </c>
      <c r="Y313" s="26"/>
      <c r="Z313" s="26">
        <v>0.76041666666666663</v>
      </c>
      <c r="AA313" s="27">
        <f>IF(TA[[#This Row],[Work Start time on Fault]]="NA","",(TA[[#This Row],[Fault Acknowledgement Time ]]-TA[[#This Row],[Fault Time]])*24)</f>
        <v>0</v>
      </c>
      <c r="AB313" s="27">
        <f>(TA[[#This Row],[Work Start time on Fault]]-TA[[#This Row],[Fault Time]])*24</f>
        <v>-6.3000000000000007</v>
      </c>
      <c r="AC313" s="26">
        <f>(TA[[#This Row],[Work Completion time on fault]]-TA[[#This Row],[Fault Time]])*24</f>
        <v>11.95</v>
      </c>
      <c r="AD313" s="27">
        <f>IFERROR((TA[[#This Row],[Work Completion time on fault]]-TA[[#This Row],[Fault Time]])*24,"")</f>
        <v>11.95</v>
      </c>
      <c r="AE313" t="s">
        <v>300</v>
      </c>
      <c r="AF313" t="s">
        <v>247</v>
      </c>
      <c r="AG313" s="2"/>
      <c r="AH313" s="35">
        <f>1-COS(RADIANS(TA[[#This Row],[Avg. Target Angle during Fault Time (Radians)]]-TA[[#This Row],[Angle of affected equipment ]]))</f>
        <v>0.11705240714107301</v>
      </c>
      <c r="AI313" s="27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43">
        <f t="shared" si="14"/>
        <v>2026</v>
      </c>
      <c r="C314" s="116">
        <f t="shared" si="15"/>
        <v>2025</v>
      </c>
      <c r="D314" s="2" t="s">
        <v>155</v>
      </c>
      <c r="E314" s="2" t="s">
        <v>155</v>
      </c>
      <c r="F314" s="30">
        <v>45748</v>
      </c>
      <c r="G314" s="2">
        <f>DAY(EOMONTH(TA[[#This Row],[Month Year]],0))</f>
        <v>30</v>
      </c>
      <c r="H314" s="21">
        <v>45766</v>
      </c>
      <c r="I314" s="32">
        <f>IFERROR(VLOOKUP(TA[[#This Row],[Date]],Raw_Data[[Date]:[Sunset Time (POA&lt;20 W/m2)]],3,0),"")</f>
        <v>0.26805555555555555</v>
      </c>
      <c r="J314" s="32">
        <f>IFERROR(VLOOKUP(TA[[#This Row],[Date]],Raw_Data[[Date]:[Sunset Time (POA&lt;20 W/m2)]],4,0),"")</f>
        <v>0.7729166666666667</v>
      </c>
      <c r="K314" s="27">
        <f>IFERROR((TA[[#This Row],[Sunset Time (POA&lt;20 W/m2)]]-TA[[#This Row],[Sunrise Time (POA&gt;20 W/m2)]])*24,"")</f>
        <v>12.116666666666669</v>
      </c>
      <c r="L314" s="2" t="s">
        <v>285</v>
      </c>
      <c r="M314" s="33">
        <f>IFERROR(VLOOKUP(TA[[#This Row],[Affected Equipment]],'Basic Data'!$I$2:$K$40,3,0),"")</f>
        <v>1.7241379310344799E-3</v>
      </c>
      <c r="N314">
        <v>-28</v>
      </c>
      <c r="O314" t="s">
        <v>135</v>
      </c>
      <c r="P314" s="114" t="s">
        <v>309</v>
      </c>
      <c r="Q314" s="113" t="s">
        <v>309</v>
      </c>
      <c r="R314">
        <v>130</v>
      </c>
      <c r="S314" s="2">
        <v>37</v>
      </c>
      <c r="T314" t="s">
        <v>286</v>
      </c>
      <c r="U314" t="s">
        <v>291</v>
      </c>
      <c r="V314" t="s">
        <v>289</v>
      </c>
      <c r="W314" s="32"/>
      <c r="X314" s="32"/>
      <c r="Y314" s="26"/>
      <c r="Z314" s="26"/>
      <c r="AA314" s="27">
        <f>IF(TA[[#This Row],[Work Start time on Fault]]="NA","",(TA[[#This Row],[Fault Acknowledgement Time ]]-TA[[#This Row],[Fault Time]])*24)</f>
        <v>0</v>
      </c>
      <c r="AB314" s="27">
        <f>(TA[[#This Row],[Work Start time on Fault]]-TA[[#This Row],[Fault Time]])*24</f>
        <v>0</v>
      </c>
      <c r="AC314" s="26">
        <f>(TA[[#This Row],[Work Completion time on fault]]-TA[[#This Row],[Fault Time]])*24</f>
        <v>0</v>
      </c>
      <c r="AD314" s="27">
        <f>IFERROR((TA[[#This Row],[Work Completion time on fault]]-TA[[#This Row],[Fault Time]])*24,"")</f>
        <v>0</v>
      </c>
      <c r="AE314" t="s">
        <v>319</v>
      </c>
      <c r="AF314" t="s">
        <v>247</v>
      </c>
      <c r="AG314" s="2"/>
      <c r="AH314" s="35">
        <f>1-COS(RADIANS(TA[[#This Row],[Avg. Target Angle during Fault Time (Radians)]]-TA[[#This Row],[Angle of affected equipment ]]))</f>
        <v>0.11705240714107301</v>
      </c>
      <c r="AI314" s="27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43">
        <f t="shared" si="14"/>
        <v>2026</v>
      </c>
      <c r="C315" s="116">
        <f t="shared" si="15"/>
        <v>2025</v>
      </c>
      <c r="D315" s="2" t="s">
        <v>155</v>
      </c>
      <c r="E315" s="2" t="s">
        <v>155</v>
      </c>
      <c r="F315" s="30">
        <v>45748</v>
      </c>
      <c r="G315" s="2">
        <f>DAY(EOMONTH(TA[[#This Row],[Month Year]],0))</f>
        <v>30</v>
      </c>
      <c r="H315" s="21">
        <v>45766</v>
      </c>
      <c r="I315" s="32">
        <f>IFERROR(VLOOKUP(TA[[#This Row],[Date]],Raw_Data[[Date]:[Sunset Time (POA&lt;20 W/m2)]],3,0),"")</f>
        <v>0.26805555555555555</v>
      </c>
      <c r="J315" s="32">
        <f>IFERROR(VLOOKUP(TA[[#This Row],[Date]],Raw_Data[[Date]:[Sunset Time (POA&lt;20 W/m2)]],4,0),"")</f>
        <v>0.7729166666666667</v>
      </c>
      <c r="K315" s="27">
        <f>IFERROR((TA[[#This Row],[Sunset Time (POA&lt;20 W/m2)]]-TA[[#This Row],[Sunrise Time (POA&gt;20 W/m2)]])*24,"")</f>
        <v>12.116666666666669</v>
      </c>
      <c r="L315" s="2" t="s">
        <v>285</v>
      </c>
      <c r="M315" s="33">
        <f>IFERROR(VLOOKUP(TA[[#This Row],[Affected Equipment]],'Basic Data'!$I$2:$K$40,3,0),"")</f>
        <v>1.7241379310344799E-3</v>
      </c>
      <c r="N315">
        <v>-28</v>
      </c>
      <c r="O315" t="s">
        <v>135</v>
      </c>
      <c r="P315" s="114" t="s">
        <v>309</v>
      </c>
      <c r="Q315" s="113" t="s">
        <v>309</v>
      </c>
      <c r="R315">
        <v>131</v>
      </c>
      <c r="S315" s="2">
        <v>38</v>
      </c>
      <c r="T315" t="s">
        <v>286</v>
      </c>
      <c r="U315" t="s">
        <v>291</v>
      </c>
      <c r="V315" t="s">
        <v>289</v>
      </c>
      <c r="W315" s="32"/>
      <c r="X315" s="32"/>
      <c r="Y315" s="26"/>
      <c r="Z315" s="26"/>
      <c r="AA315" s="27">
        <f>IF(TA[[#This Row],[Work Start time on Fault]]="NA","",(TA[[#This Row],[Fault Acknowledgement Time ]]-TA[[#This Row],[Fault Time]])*24)</f>
        <v>0</v>
      </c>
      <c r="AB315" s="27">
        <f>(TA[[#This Row],[Work Start time on Fault]]-TA[[#This Row],[Fault Time]])*24</f>
        <v>0</v>
      </c>
      <c r="AC315" s="26">
        <f>(TA[[#This Row],[Work Completion time on fault]]-TA[[#This Row],[Fault Time]])*24</f>
        <v>0</v>
      </c>
      <c r="AD315" s="27">
        <f>IFERROR((TA[[#This Row],[Work Completion time on fault]]-TA[[#This Row],[Fault Time]])*24,"")</f>
        <v>0</v>
      </c>
      <c r="AE315" t="s">
        <v>319</v>
      </c>
      <c r="AF315" t="s">
        <v>247</v>
      </c>
      <c r="AG315" s="2"/>
      <c r="AH315" s="35">
        <f>1-COS(RADIANS(TA[[#This Row],[Avg. Target Angle during Fault Time (Radians)]]-TA[[#This Row],[Angle of affected equipment ]]))</f>
        <v>0.11705240714107301</v>
      </c>
      <c r="AI315" s="27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43">
        <f t="shared" si="14"/>
        <v>2026</v>
      </c>
      <c r="C316" s="116">
        <f t="shared" si="15"/>
        <v>2025</v>
      </c>
      <c r="D316" s="2" t="s">
        <v>155</v>
      </c>
      <c r="E316" s="2" t="s">
        <v>155</v>
      </c>
      <c r="F316" s="30">
        <v>45748</v>
      </c>
      <c r="G316" s="2">
        <f>DAY(EOMONTH(TA[[#This Row],[Month Year]],0))</f>
        <v>30</v>
      </c>
      <c r="H316" s="21">
        <v>45766</v>
      </c>
      <c r="I316" s="32">
        <f>IFERROR(VLOOKUP(TA[[#This Row],[Date]],Raw_Data[[Date]:[Sunset Time (POA&lt;20 W/m2)]],3,0),"")</f>
        <v>0.26805555555555555</v>
      </c>
      <c r="J316" s="32">
        <f>IFERROR(VLOOKUP(TA[[#This Row],[Date]],Raw_Data[[Date]:[Sunset Time (POA&lt;20 W/m2)]],4,0),"")</f>
        <v>0.7729166666666667</v>
      </c>
      <c r="K316" s="27">
        <f>IFERROR((TA[[#This Row],[Sunset Time (POA&lt;20 W/m2)]]-TA[[#This Row],[Sunrise Time (POA&gt;20 W/m2)]])*24,"")</f>
        <v>12.116666666666669</v>
      </c>
      <c r="L316" s="2" t="s">
        <v>285</v>
      </c>
      <c r="M316" s="33">
        <f>IFERROR(VLOOKUP(TA[[#This Row],[Affected Equipment]],'Basic Data'!$I$2:$K$40,3,0),"")</f>
        <v>1.7241379310344799E-3</v>
      </c>
      <c r="N316">
        <v>-28</v>
      </c>
      <c r="O316" t="s">
        <v>135</v>
      </c>
      <c r="P316" s="114" t="s">
        <v>309</v>
      </c>
      <c r="Q316" s="113" t="s">
        <v>309</v>
      </c>
      <c r="R316">
        <v>131</v>
      </c>
      <c r="S316" s="2">
        <v>39</v>
      </c>
      <c r="T316" t="s">
        <v>286</v>
      </c>
      <c r="U316" t="s">
        <v>291</v>
      </c>
      <c r="V316" t="s">
        <v>289</v>
      </c>
      <c r="W316" s="32"/>
      <c r="X316" s="32"/>
      <c r="Y316" s="26"/>
      <c r="Z316" s="26"/>
      <c r="AA316" s="27">
        <f>IF(TA[[#This Row],[Work Start time on Fault]]="NA","",(TA[[#This Row],[Fault Acknowledgement Time ]]-TA[[#This Row],[Fault Time]])*24)</f>
        <v>0</v>
      </c>
      <c r="AB316" s="27">
        <f>(TA[[#This Row],[Work Start time on Fault]]-TA[[#This Row],[Fault Time]])*24</f>
        <v>0</v>
      </c>
      <c r="AC316" s="26">
        <f>(TA[[#This Row],[Work Completion time on fault]]-TA[[#This Row],[Fault Time]])*24</f>
        <v>0</v>
      </c>
      <c r="AD316" s="27">
        <f>IFERROR((TA[[#This Row],[Work Completion time on fault]]-TA[[#This Row],[Fault Time]])*24,"")</f>
        <v>0</v>
      </c>
      <c r="AE316" t="s">
        <v>319</v>
      </c>
      <c r="AF316" t="s">
        <v>247</v>
      </c>
      <c r="AG316" s="2"/>
      <c r="AH316" s="35">
        <f>1-COS(RADIANS(TA[[#This Row],[Avg. Target Angle during Fault Time (Radians)]]-TA[[#This Row],[Angle of affected equipment ]]))</f>
        <v>0.11705240714107301</v>
      </c>
      <c r="AI316" s="27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43">
        <f t="shared" si="14"/>
        <v>2026</v>
      </c>
      <c r="C317" s="116">
        <f t="shared" si="15"/>
        <v>2025</v>
      </c>
      <c r="D317" s="2" t="s">
        <v>155</v>
      </c>
      <c r="E317" s="2" t="s">
        <v>155</v>
      </c>
      <c r="F317" s="30">
        <v>45748</v>
      </c>
      <c r="G317" s="2">
        <f>DAY(EOMONTH(TA[[#This Row],[Month Year]],0))</f>
        <v>30</v>
      </c>
      <c r="H317" s="21">
        <v>45766</v>
      </c>
      <c r="I317" s="32">
        <f>IFERROR(VLOOKUP(TA[[#This Row],[Date]],Raw_Data[[Date]:[Sunset Time (POA&lt;20 W/m2)]],3,0),"")</f>
        <v>0.26805555555555555</v>
      </c>
      <c r="J317" s="32">
        <f>IFERROR(VLOOKUP(TA[[#This Row],[Date]],Raw_Data[[Date]:[Sunset Time (POA&lt;20 W/m2)]],4,0),"")</f>
        <v>0.7729166666666667</v>
      </c>
      <c r="K317" s="27">
        <f>IFERROR((TA[[#This Row],[Sunset Time (POA&lt;20 W/m2)]]-TA[[#This Row],[Sunrise Time (POA&gt;20 W/m2)]])*24,"")</f>
        <v>12.116666666666669</v>
      </c>
      <c r="L317" s="2" t="s">
        <v>287</v>
      </c>
      <c r="M317" s="33">
        <f>IFERROR(VLOOKUP(TA[[#This Row],[Affected Equipment]],'Basic Data'!$I$2:$K$40,3,0),"")</f>
        <v>8.6206896551724102E-3</v>
      </c>
      <c r="N317">
        <v>-28</v>
      </c>
      <c r="O317" t="s">
        <v>135</v>
      </c>
      <c r="P317" s="114" t="s">
        <v>309</v>
      </c>
      <c r="Q317" s="2" t="s">
        <v>312</v>
      </c>
      <c r="R317">
        <v>133</v>
      </c>
      <c r="S317" s="2">
        <v>26</v>
      </c>
      <c r="T317" t="s">
        <v>288</v>
      </c>
      <c r="U317" t="s">
        <v>291</v>
      </c>
      <c r="V317" t="s">
        <v>305</v>
      </c>
      <c r="W317" s="32"/>
      <c r="X317" s="32"/>
      <c r="Y317" s="26"/>
      <c r="Z317" s="26"/>
      <c r="AA317" s="27">
        <f>IF(TA[[#This Row],[Work Start time on Fault]]="NA","",(TA[[#This Row],[Fault Acknowledgement Time ]]-TA[[#This Row],[Fault Time]])*24)</f>
        <v>0</v>
      </c>
      <c r="AB317" s="27">
        <f>(TA[[#This Row],[Work Start time on Fault]]-TA[[#This Row],[Fault Time]])*24</f>
        <v>0</v>
      </c>
      <c r="AC317" s="26">
        <f>(TA[[#This Row],[Work Completion time on fault]]-TA[[#This Row],[Fault Time]])*24</f>
        <v>0</v>
      </c>
      <c r="AD317" s="27">
        <f>IFERROR((TA[[#This Row],[Work Completion time on fault]]-TA[[#This Row],[Fault Time]])*24,"")</f>
        <v>0</v>
      </c>
      <c r="AE317" t="s">
        <v>319</v>
      </c>
      <c r="AF317" t="s">
        <v>247</v>
      </c>
      <c r="AG317" s="2"/>
      <c r="AH317" s="35">
        <f>1-COS(RADIANS(TA[[#This Row],[Avg. Target Angle during Fault Time (Radians)]]-TA[[#This Row],[Angle of affected equipment ]]))</f>
        <v>0.11705240714107301</v>
      </c>
      <c r="AI317" s="27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43">
        <f t="shared" si="14"/>
        <v>2026</v>
      </c>
      <c r="C318" s="116">
        <f t="shared" si="15"/>
        <v>2025</v>
      </c>
      <c r="D318" s="2" t="s">
        <v>155</v>
      </c>
      <c r="E318" s="2" t="s">
        <v>155</v>
      </c>
      <c r="F318" s="30">
        <v>45748</v>
      </c>
      <c r="G318" s="2">
        <f>DAY(EOMONTH(TA[[#This Row],[Month Year]],0))</f>
        <v>30</v>
      </c>
      <c r="H318" s="21">
        <v>45766</v>
      </c>
      <c r="I318" s="32">
        <f>IFERROR(VLOOKUP(TA[[#This Row],[Date]],Raw_Data[[Date]:[Sunset Time (POA&lt;20 W/m2)]],3,0),"")</f>
        <v>0.26805555555555555</v>
      </c>
      <c r="J318" s="32">
        <f>IFERROR(VLOOKUP(TA[[#This Row],[Date]],Raw_Data[[Date]:[Sunset Time (POA&lt;20 W/m2)]],4,0),"")</f>
        <v>0.7729166666666667</v>
      </c>
      <c r="K318" s="27">
        <f>IFERROR((TA[[#This Row],[Sunset Time (POA&lt;20 W/m2)]]-TA[[#This Row],[Sunrise Time (POA&gt;20 W/m2)]])*24,"")</f>
        <v>12.116666666666669</v>
      </c>
      <c r="L318" s="2" t="s">
        <v>285</v>
      </c>
      <c r="M318" s="33">
        <f>IFERROR(VLOOKUP(TA[[#This Row],[Affected Equipment]],'Basic Data'!$I$2:$K$40,3,0),"")</f>
        <v>1.7241379310344799E-3</v>
      </c>
      <c r="N318">
        <v>-28</v>
      </c>
      <c r="O318" t="s">
        <v>133</v>
      </c>
      <c r="P318" s="114" t="s">
        <v>307</v>
      </c>
      <c r="Q318" s="113" t="s">
        <v>308</v>
      </c>
      <c r="R318">
        <v>7</v>
      </c>
      <c r="S318" s="2">
        <v>32</v>
      </c>
      <c r="T318" t="s">
        <v>286</v>
      </c>
      <c r="U318" t="s">
        <v>291</v>
      </c>
      <c r="V318" t="s">
        <v>289</v>
      </c>
      <c r="W318" s="32"/>
      <c r="X318" s="32"/>
      <c r="Y318" s="26"/>
      <c r="Z318" s="26"/>
      <c r="AA318" s="27">
        <f>IF(TA[[#This Row],[Work Start time on Fault]]="NA","",(TA[[#This Row],[Fault Acknowledgement Time ]]-TA[[#This Row],[Fault Time]])*24)</f>
        <v>0</v>
      </c>
      <c r="AB318" s="27">
        <f>(TA[[#This Row],[Work Start time on Fault]]-TA[[#This Row],[Fault Time]])*24</f>
        <v>0</v>
      </c>
      <c r="AC318" s="26">
        <f>(TA[[#This Row],[Work Completion time on fault]]-TA[[#This Row],[Fault Time]])*24</f>
        <v>0</v>
      </c>
      <c r="AD318" s="27">
        <f>IFERROR((TA[[#This Row],[Work Completion time on fault]]-TA[[#This Row],[Fault Time]])*24,"")</f>
        <v>0</v>
      </c>
      <c r="AE318" t="s">
        <v>319</v>
      </c>
      <c r="AF318" t="s">
        <v>247</v>
      </c>
      <c r="AG318" s="2"/>
      <c r="AH318" s="35">
        <f>1-COS(RADIANS(TA[[#This Row],[Avg. Target Angle during Fault Time (Radians)]]-TA[[#This Row],[Angle of affected equipment ]]))</f>
        <v>0.11705240714107301</v>
      </c>
      <c r="AI318" s="27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43">
        <f t="shared" si="14"/>
        <v>2026</v>
      </c>
      <c r="C319" s="116">
        <f t="shared" si="15"/>
        <v>2025</v>
      </c>
      <c r="D319" s="2" t="s">
        <v>155</v>
      </c>
      <c r="E319" s="2" t="s">
        <v>155</v>
      </c>
      <c r="F319" s="30">
        <v>45748</v>
      </c>
      <c r="G319" s="2">
        <f>DAY(EOMONTH(TA[[#This Row],[Month Year]],0))</f>
        <v>30</v>
      </c>
      <c r="H319" s="21">
        <v>45766</v>
      </c>
      <c r="I319" s="32">
        <f>IFERROR(VLOOKUP(TA[[#This Row],[Date]],Raw_Data[[Date]:[Sunset Time (POA&lt;20 W/m2)]],3,0),"")</f>
        <v>0.26805555555555555</v>
      </c>
      <c r="J319" s="32">
        <f>IFERROR(VLOOKUP(TA[[#This Row],[Date]],Raw_Data[[Date]:[Sunset Time (POA&lt;20 W/m2)]],4,0),"")</f>
        <v>0.7729166666666667</v>
      </c>
      <c r="K319" s="27">
        <f>IFERROR((TA[[#This Row],[Sunset Time (POA&lt;20 W/m2)]]-TA[[#This Row],[Sunrise Time (POA&gt;20 W/m2)]])*24,"")</f>
        <v>12.116666666666669</v>
      </c>
      <c r="L319" s="2" t="s">
        <v>285</v>
      </c>
      <c r="M319" s="33">
        <f>IFERROR(VLOOKUP(TA[[#This Row],[Affected Equipment]],'Basic Data'!$I$2:$K$40,3,0),"")</f>
        <v>1.7241379310344799E-3</v>
      </c>
      <c r="N319">
        <v>-28</v>
      </c>
      <c r="O319" t="s">
        <v>137</v>
      </c>
      <c r="P319" s="114" t="s">
        <v>306</v>
      </c>
      <c r="Q319" s="113" t="s">
        <v>310</v>
      </c>
      <c r="R319">
        <v>166</v>
      </c>
      <c r="S319" s="2">
        <v>91</v>
      </c>
      <c r="T319" t="s">
        <v>286</v>
      </c>
      <c r="U319" t="s">
        <v>291</v>
      </c>
      <c r="V319" t="s">
        <v>289</v>
      </c>
      <c r="W319" s="32"/>
      <c r="X319" s="32"/>
      <c r="Y319" s="26"/>
      <c r="Z319" s="26"/>
      <c r="AA319" s="27">
        <f>IF(TA[[#This Row],[Work Start time on Fault]]="NA","",(TA[[#This Row],[Fault Acknowledgement Time ]]-TA[[#This Row],[Fault Time]])*24)</f>
        <v>0</v>
      </c>
      <c r="AB319" s="27">
        <f>(TA[[#This Row],[Work Start time on Fault]]-TA[[#This Row],[Fault Time]])*24</f>
        <v>0</v>
      </c>
      <c r="AC319" s="26">
        <f>(TA[[#This Row],[Work Completion time on fault]]-TA[[#This Row],[Fault Time]])*24</f>
        <v>0</v>
      </c>
      <c r="AD319" s="27">
        <f>IFERROR((TA[[#This Row],[Work Completion time on fault]]-TA[[#This Row],[Fault Time]])*24,"")</f>
        <v>0</v>
      </c>
      <c r="AE319" t="s">
        <v>319</v>
      </c>
      <c r="AF319" t="s">
        <v>247</v>
      </c>
      <c r="AG319" s="2"/>
      <c r="AH319" s="35">
        <f>1-COS(RADIANS(TA[[#This Row],[Avg. Target Angle during Fault Time (Radians)]]-TA[[#This Row],[Angle of affected equipment ]]))</f>
        <v>0.11705240714107301</v>
      </c>
      <c r="AI319" s="27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43">
        <f t="shared" si="14"/>
        <v>2026</v>
      </c>
      <c r="C320" s="116">
        <f t="shared" si="15"/>
        <v>2025</v>
      </c>
      <c r="D320" s="2" t="s">
        <v>155</v>
      </c>
      <c r="E320" s="2" t="s">
        <v>155</v>
      </c>
      <c r="F320" s="30">
        <v>45748</v>
      </c>
      <c r="G320" s="2">
        <f>DAY(EOMONTH(TA[[#This Row],[Month Year]],0))</f>
        <v>30</v>
      </c>
      <c r="H320" s="21">
        <v>45766</v>
      </c>
      <c r="I320" s="32">
        <f>IFERROR(VLOOKUP(TA[[#This Row],[Date]],Raw_Data[[Date]:[Sunset Time (POA&lt;20 W/m2)]],3,0),"")</f>
        <v>0.26805555555555555</v>
      </c>
      <c r="J320" s="32">
        <f>IFERROR(VLOOKUP(TA[[#This Row],[Date]],Raw_Data[[Date]:[Sunset Time (POA&lt;20 W/m2)]],4,0),"")</f>
        <v>0.7729166666666667</v>
      </c>
      <c r="K320" s="27">
        <f>IFERROR((TA[[#This Row],[Sunset Time (POA&lt;20 W/m2)]]-TA[[#This Row],[Sunrise Time (POA&gt;20 W/m2)]])*24,"")</f>
        <v>12.116666666666669</v>
      </c>
      <c r="L320" s="2" t="s">
        <v>285</v>
      </c>
      <c r="M320" s="33">
        <f>IFERROR(VLOOKUP(TA[[#This Row],[Affected Equipment]],'Basic Data'!$I$2:$K$40,3,0),"")</f>
        <v>1.7241379310344799E-3</v>
      </c>
      <c r="N320">
        <v>-28</v>
      </c>
      <c r="O320" t="s">
        <v>133</v>
      </c>
      <c r="P320" s="114" t="s">
        <v>307</v>
      </c>
      <c r="Q320" s="113" t="s">
        <v>307</v>
      </c>
      <c r="R320">
        <v>117</v>
      </c>
      <c r="S320" s="2">
        <v>20</v>
      </c>
      <c r="T320" t="s">
        <v>286</v>
      </c>
      <c r="U320" t="s">
        <v>291</v>
      </c>
      <c r="V320" t="s">
        <v>289</v>
      </c>
      <c r="W320" s="32"/>
      <c r="X320" s="32"/>
      <c r="Y320" s="26"/>
      <c r="Z320" s="26"/>
      <c r="AA320" s="27">
        <f>IF(TA[[#This Row],[Work Start time on Fault]]="NA","",(TA[[#This Row],[Fault Acknowledgement Time ]]-TA[[#This Row],[Fault Time]])*24)</f>
        <v>0</v>
      </c>
      <c r="AB320" s="27">
        <f>(TA[[#This Row],[Work Start time on Fault]]-TA[[#This Row],[Fault Time]])*24</f>
        <v>0</v>
      </c>
      <c r="AC320" s="26">
        <f>(TA[[#This Row],[Work Completion time on fault]]-TA[[#This Row],[Fault Time]])*24</f>
        <v>0</v>
      </c>
      <c r="AD320" s="27">
        <f>IFERROR((TA[[#This Row],[Work Completion time on fault]]-TA[[#This Row],[Fault Time]])*24,"")</f>
        <v>0</v>
      </c>
      <c r="AE320" t="s">
        <v>319</v>
      </c>
      <c r="AF320" t="s">
        <v>247</v>
      </c>
      <c r="AG320" s="2"/>
      <c r="AH320" s="35">
        <f>1-COS(RADIANS(TA[[#This Row],[Avg. Target Angle during Fault Time (Radians)]]-TA[[#This Row],[Angle of affected equipment ]]))</f>
        <v>0.11705240714107301</v>
      </c>
      <c r="AI320" s="27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43">
        <f t="shared" si="14"/>
        <v>2026</v>
      </c>
      <c r="C321" s="116">
        <f t="shared" si="15"/>
        <v>2025</v>
      </c>
      <c r="D321" s="2" t="s">
        <v>155</v>
      </c>
      <c r="E321" s="2" t="s">
        <v>155</v>
      </c>
      <c r="F321" s="30">
        <v>45748</v>
      </c>
      <c r="G321" s="2">
        <f>DAY(EOMONTH(TA[[#This Row],[Month Year]],0))</f>
        <v>30</v>
      </c>
      <c r="H321" s="21">
        <v>45766</v>
      </c>
      <c r="I321" s="32">
        <f>IFERROR(VLOOKUP(TA[[#This Row],[Date]],Raw_Data[[Date]:[Sunset Time (POA&lt;20 W/m2)]],3,0),"")</f>
        <v>0.26805555555555555</v>
      </c>
      <c r="J321" s="32">
        <f>IFERROR(VLOOKUP(TA[[#This Row],[Date]],Raw_Data[[Date]:[Sunset Time (POA&lt;20 W/m2)]],4,0),"")</f>
        <v>0.7729166666666667</v>
      </c>
      <c r="K321" s="27">
        <f>IFERROR((TA[[#This Row],[Sunset Time (POA&lt;20 W/m2)]]-TA[[#This Row],[Sunrise Time (POA&gt;20 W/m2)]])*24,"")</f>
        <v>12.116666666666669</v>
      </c>
      <c r="L321" s="2" t="s">
        <v>285</v>
      </c>
      <c r="M321" s="33">
        <f>IFERROR(VLOOKUP(TA[[#This Row],[Affected Equipment]],'Basic Data'!$I$2:$K$40,3,0),"")</f>
        <v>1.7241379310344799E-3</v>
      </c>
      <c r="N321">
        <v>-28</v>
      </c>
      <c r="O321" t="s">
        <v>133</v>
      </c>
      <c r="P321" s="114" t="s">
        <v>307</v>
      </c>
      <c r="Q321" s="113" t="s">
        <v>307</v>
      </c>
      <c r="R321">
        <v>118</v>
      </c>
      <c r="S321" s="2">
        <v>22</v>
      </c>
      <c r="T321" t="s">
        <v>286</v>
      </c>
      <c r="U321" t="s">
        <v>291</v>
      </c>
      <c r="V321" t="s">
        <v>289</v>
      </c>
      <c r="W321" s="32"/>
      <c r="X321" s="32"/>
      <c r="Y321" s="26"/>
      <c r="Z321" s="26"/>
      <c r="AA321" s="27">
        <f>IF(TA[[#This Row],[Work Start time on Fault]]="NA","",(TA[[#This Row],[Fault Acknowledgement Time ]]-TA[[#This Row],[Fault Time]])*24)</f>
        <v>0</v>
      </c>
      <c r="AB321" s="27">
        <f>(TA[[#This Row],[Work Start time on Fault]]-TA[[#This Row],[Fault Time]])*24</f>
        <v>0</v>
      </c>
      <c r="AC321" s="26">
        <f>(TA[[#This Row],[Work Completion time on fault]]-TA[[#This Row],[Fault Time]])*24</f>
        <v>0</v>
      </c>
      <c r="AD321" s="27">
        <f>IFERROR((TA[[#This Row],[Work Completion time on fault]]-TA[[#This Row],[Fault Time]])*24,"")</f>
        <v>0</v>
      </c>
      <c r="AE321" t="s">
        <v>319</v>
      </c>
      <c r="AF321" t="s">
        <v>247</v>
      </c>
      <c r="AG321" s="2"/>
      <c r="AH321" s="35">
        <f>1-COS(RADIANS(TA[[#This Row],[Avg. Target Angle during Fault Time (Radians)]]-TA[[#This Row],[Angle of affected equipment ]]))</f>
        <v>0.11705240714107301</v>
      </c>
      <c r="AI321" s="27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43">
        <f t="shared" si="14"/>
        <v>2026</v>
      </c>
      <c r="C322" s="116">
        <f t="shared" si="15"/>
        <v>2025</v>
      </c>
      <c r="D322" s="2" t="s">
        <v>155</v>
      </c>
      <c r="E322" s="2" t="s">
        <v>155</v>
      </c>
      <c r="F322" s="30">
        <v>45748</v>
      </c>
      <c r="G322" s="2">
        <f>DAY(EOMONTH(TA[[#This Row],[Month Year]],0))</f>
        <v>30</v>
      </c>
      <c r="H322" s="21">
        <v>45766</v>
      </c>
      <c r="I322" s="32">
        <f>IFERROR(VLOOKUP(TA[[#This Row],[Date]],Raw_Data[[Date]:[Sunset Time (POA&lt;20 W/m2)]],3,0),"")</f>
        <v>0.26805555555555555</v>
      </c>
      <c r="J322" s="32">
        <f>IFERROR(VLOOKUP(TA[[#This Row],[Date]],Raw_Data[[Date]:[Sunset Time (POA&lt;20 W/m2)]],4,0),"")</f>
        <v>0.7729166666666667</v>
      </c>
      <c r="K322" s="27">
        <f>IFERROR((TA[[#This Row],[Sunset Time (POA&lt;20 W/m2)]]-TA[[#This Row],[Sunrise Time (POA&gt;20 W/m2)]])*24,"")</f>
        <v>12.116666666666669</v>
      </c>
      <c r="L322" s="2" t="s">
        <v>287</v>
      </c>
      <c r="M322" s="33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314</v>
      </c>
      <c r="Q322" s="2" t="s">
        <v>320</v>
      </c>
      <c r="R322">
        <v>45</v>
      </c>
      <c r="S322" s="2">
        <v>8</v>
      </c>
      <c r="T322" t="s">
        <v>288</v>
      </c>
      <c r="U322" t="s">
        <v>317</v>
      </c>
      <c r="V322" t="s">
        <v>292</v>
      </c>
      <c r="W322" s="32">
        <f>IFERROR(VLOOKUP(TA[[#This Row],[Date]],Raw_Data[[Date]:[Sunset Time (POA&lt;20 W/m2)]],3,0),"")</f>
        <v>0.26805555555555555</v>
      </c>
      <c r="X322" s="32">
        <f>IFERROR(VLOOKUP(TA[[#This Row],[Date]],Raw_Data[[Date]:[Sunset Time (POA&lt;20 W/m2)]],3,0),"")</f>
        <v>0.26805555555555555</v>
      </c>
      <c r="Y322" s="26"/>
      <c r="Z322" s="26">
        <v>0.76041666666666663</v>
      </c>
      <c r="AA322" s="27">
        <f>IF(TA[[#This Row],[Work Start time on Fault]]="NA","",(TA[[#This Row],[Fault Acknowledgement Time ]]-TA[[#This Row],[Fault Time]])*24)</f>
        <v>0</v>
      </c>
      <c r="AB322" s="27">
        <f>(TA[[#This Row],[Work Start time on Fault]]-TA[[#This Row],[Fault Time]])*24</f>
        <v>-6.4333333333333336</v>
      </c>
      <c r="AC322" s="26">
        <f>(TA[[#This Row],[Work Completion time on fault]]-TA[[#This Row],[Fault Time]])*24</f>
        <v>11.816666666666666</v>
      </c>
      <c r="AD322" s="27">
        <f>IFERROR((TA[[#This Row],[Work Completion time on fault]]-TA[[#This Row],[Fault Time]])*24,"")</f>
        <v>11.816666666666666</v>
      </c>
      <c r="AE322" t="s">
        <v>300</v>
      </c>
      <c r="AF322" t="s">
        <v>247</v>
      </c>
      <c r="AG322" s="2"/>
      <c r="AH322" s="35">
        <f>1-COS(RADIANS(TA[[#This Row],[Avg. Target Angle during Fault Time (Radians)]]-TA[[#This Row],[Angle of affected equipment ]]))</f>
        <v>0.11705240714107301</v>
      </c>
      <c r="AI322" s="27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43">
        <f t="shared" si="14"/>
        <v>2026</v>
      </c>
      <c r="C323" s="116">
        <f t="shared" si="15"/>
        <v>2025</v>
      </c>
      <c r="D323" s="2" t="s">
        <v>155</v>
      </c>
      <c r="E323" s="2" t="s">
        <v>155</v>
      </c>
      <c r="F323" s="30">
        <v>45748</v>
      </c>
      <c r="G323" s="2">
        <f>DAY(EOMONTH(TA[[#This Row],[Month Year]],0))</f>
        <v>30</v>
      </c>
      <c r="H323" s="21">
        <v>45766</v>
      </c>
      <c r="I323" s="32">
        <f>IFERROR(VLOOKUP(TA[[#This Row],[Date]],Raw_Data[[Date]:[Sunset Time (POA&lt;20 W/m2)]],3,0),"")</f>
        <v>0.26805555555555555</v>
      </c>
      <c r="J323" s="32">
        <f>IFERROR(VLOOKUP(TA[[#This Row],[Date]],Raw_Data[[Date]:[Sunset Time (POA&lt;20 W/m2)]],4,0),"")</f>
        <v>0.7729166666666667</v>
      </c>
      <c r="K323" s="27">
        <f>IFERROR((TA[[#This Row],[Sunset Time (POA&lt;20 W/m2)]]-TA[[#This Row],[Sunrise Time (POA&gt;20 W/m2)]])*24,"")</f>
        <v>12.116666666666669</v>
      </c>
      <c r="L323" s="2" t="s">
        <v>287</v>
      </c>
      <c r="M323" s="33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314</v>
      </c>
      <c r="Q323" s="2" t="s">
        <v>320</v>
      </c>
      <c r="R323">
        <v>47</v>
      </c>
      <c r="S323" s="2">
        <v>18</v>
      </c>
      <c r="T323" t="s">
        <v>288</v>
      </c>
      <c r="U323" t="s">
        <v>317</v>
      </c>
      <c r="V323" t="s">
        <v>292</v>
      </c>
      <c r="W323" s="32">
        <f>IFERROR(VLOOKUP(TA[[#This Row],[Date]],Raw_Data[[Date]:[Sunset Time (POA&lt;20 W/m2)]],3,0),"")</f>
        <v>0.26805555555555555</v>
      </c>
      <c r="X323" s="32">
        <f>IFERROR(VLOOKUP(TA[[#This Row],[Date]],Raw_Data[[Date]:[Sunset Time (POA&lt;20 W/m2)]],3,0),"")</f>
        <v>0.26805555555555555</v>
      </c>
      <c r="Y323" s="26"/>
      <c r="Z323" s="26">
        <v>0.76041666666666663</v>
      </c>
      <c r="AA323" s="27">
        <f>IF(TA[[#This Row],[Work Start time on Fault]]="NA","",(TA[[#This Row],[Fault Acknowledgement Time ]]-TA[[#This Row],[Fault Time]])*24)</f>
        <v>0</v>
      </c>
      <c r="AB323" s="27">
        <f>(TA[[#This Row],[Work Start time on Fault]]-TA[[#This Row],[Fault Time]])*24</f>
        <v>-6.4333333333333336</v>
      </c>
      <c r="AC323" s="26">
        <f>(TA[[#This Row],[Work Completion time on fault]]-TA[[#This Row],[Fault Time]])*24</f>
        <v>11.816666666666666</v>
      </c>
      <c r="AD323" s="27">
        <f>IFERROR((TA[[#This Row],[Work Completion time on fault]]-TA[[#This Row],[Fault Time]])*24,"")</f>
        <v>11.816666666666666</v>
      </c>
      <c r="AE323" t="s">
        <v>300</v>
      </c>
      <c r="AF323" t="s">
        <v>247</v>
      </c>
      <c r="AG323" s="2"/>
      <c r="AH323" s="35">
        <f>1-COS(RADIANS(TA[[#This Row],[Avg. Target Angle during Fault Time (Radians)]]-TA[[#This Row],[Angle of affected equipment ]]))</f>
        <v>0.11705240714107301</v>
      </c>
      <c r="AI323" s="27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43">
        <f t="shared" si="14"/>
        <v>2026</v>
      </c>
      <c r="C324" s="116">
        <f t="shared" si="15"/>
        <v>2025</v>
      </c>
      <c r="D324" s="2" t="s">
        <v>155</v>
      </c>
      <c r="E324" s="2" t="s">
        <v>155</v>
      </c>
      <c r="F324" s="30">
        <v>45748</v>
      </c>
      <c r="G324" s="2">
        <f>DAY(EOMONTH(TA[[#This Row],[Month Year]],0))</f>
        <v>30</v>
      </c>
      <c r="H324" s="21">
        <v>45766</v>
      </c>
      <c r="I324" s="32">
        <f>IFERROR(VLOOKUP(TA[[#This Row],[Date]],Raw_Data[[Date]:[Sunset Time (POA&lt;20 W/m2)]],3,0),"")</f>
        <v>0.26805555555555555</v>
      </c>
      <c r="J324" s="32">
        <f>IFERROR(VLOOKUP(TA[[#This Row],[Date]],Raw_Data[[Date]:[Sunset Time (POA&lt;20 W/m2)]],4,0),"")</f>
        <v>0.7729166666666667</v>
      </c>
      <c r="K324" s="27">
        <f>IFERROR((TA[[#This Row],[Sunset Time (POA&lt;20 W/m2)]]-TA[[#This Row],[Sunrise Time (POA&gt;20 W/m2)]])*24,"")</f>
        <v>12.116666666666669</v>
      </c>
      <c r="L324" s="2" t="s">
        <v>287</v>
      </c>
      <c r="M324" s="33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321</v>
      </c>
      <c r="Q324" s="2" t="s">
        <v>314</v>
      </c>
      <c r="R324">
        <v>30</v>
      </c>
      <c r="S324" s="2">
        <v>57</v>
      </c>
      <c r="T324" t="s">
        <v>288</v>
      </c>
      <c r="U324" t="s">
        <v>317</v>
      </c>
      <c r="V324" t="s">
        <v>292</v>
      </c>
      <c r="W324" s="32">
        <f>IFERROR(VLOOKUP(TA[[#This Row],[Date]],Raw_Data[[Date]:[Sunset Time (POA&lt;20 W/m2)]],3,0),"")</f>
        <v>0.26805555555555555</v>
      </c>
      <c r="X324" s="32">
        <f>IFERROR(VLOOKUP(TA[[#This Row],[Date]],Raw_Data[[Date]:[Sunset Time (POA&lt;20 W/m2)]],3,0),"")</f>
        <v>0.26805555555555555</v>
      </c>
      <c r="Y324" s="26"/>
      <c r="Z324" s="26">
        <v>0.76041666666666663</v>
      </c>
      <c r="AA324" s="27">
        <f>IF(TA[[#This Row],[Work Start time on Fault]]="NA","",(TA[[#This Row],[Fault Acknowledgement Time ]]-TA[[#This Row],[Fault Time]])*24)</f>
        <v>0</v>
      </c>
      <c r="AB324" s="27">
        <f>(TA[[#This Row],[Work Start time on Fault]]-TA[[#This Row],[Fault Time]])*24</f>
        <v>-6.4333333333333336</v>
      </c>
      <c r="AC324" s="26">
        <f>(TA[[#This Row],[Work Completion time on fault]]-TA[[#This Row],[Fault Time]])*24</f>
        <v>11.816666666666666</v>
      </c>
      <c r="AD324" s="27">
        <f>IFERROR((TA[[#This Row],[Work Completion time on fault]]-TA[[#This Row],[Fault Time]])*24,"")</f>
        <v>11.816666666666666</v>
      </c>
      <c r="AE324" t="s">
        <v>300</v>
      </c>
      <c r="AF324" t="s">
        <v>247</v>
      </c>
      <c r="AG324" s="2"/>
      <c r="AH324" s="35">
        <f>1-COS(RADIANS(TA[[#This Row],[Avg. Target Angle during Fault Time (Radians)]]-TA[[#This Row],[Angle of affected equipment ]]))</f>
        <v>0.11705240714107301</v>
      </c>
      <c r="AI324" s="27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43">
        <f t="shared" ref="B325:B388" si="17">YEAR(H325)+IF(MONTH(H325)&gt;=4,1,0)</f>
        <v>2026</v>
      </c>
      <c r="C325" s="116">
        <f t="shared" ref="C325:C388" si="18">YEAR(H325)</f>
        <v>2025</v>
      </c>
      <c r="D325" s="2" t="s">
        <v>155</v>
      </c>
      <c r="E325" s="2" t="s">
        <v>155</v>
      </c>
      <c r="F325" s="30">
        <v>45748</v>
      </c>
      <c r="G325" s="2">
        <f>DAY(EOMONTH(TA[[#This Row],[Month Year]],0))</f>
        <v>30</v>
      </c>
      <c r="H325" s="21">
        <v>45766</v>
      </c>
      <c r="I325" s="32">
        <f>IFERROR(VLOOKUP(TA[[#This Row],[Date]],Raw_Data[[Date]:[Sunset Time (POA&lt;20 W/m2)]],3,0),"")</f>
        <v>0.26805555555555555</v>
      </c>
      <c r="J325" s="32">
        <f>IFERROR(VLOOKUP(TA[[#This Row],[Date]],Raw_Data[[Date]:[Sunset Time (POA&lt;20 W/m2)]],4,0),"")</f>
        <v>0.7729166666666667</v>
      </c>
      <c r="K325" s="27">
        <f>IFERROR((TA[[#This Row],[Sunset Time (POA&lt;20 W/m2)]]-TA[[#This Row],[Sunrise Time (POA&gt;20 W/m2)]])*24,"")</f>
        <v>12.116666666666669</v>
      </c>
      <c r="L325" s="2" t="s">
        <v>287</v>
      </c>
      <c r="M325" s="33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321</v>
      </c>
      <c r="Q325" s="2" t="s">
        <v>314</v>
      </c>
      <c r="R325">
        <v>31</v>
      </c>
      <c r="S325" s="2">
        <v>61</v>
      </c>
      <c r="T325" t="s">
        <v>288</v>
      </c>
      <c r="U325" t="s">
        <v>317</v>
      </c>
      <c r="V325" t="s">
        <v>292</v>
      </c>
      <c r="W325" s="32">
        <f>IFERROR(VLOOKUP(TA[[#This Row],[Date]],Raw_Data[[Date]:[Sunset Time (POA&lt;20 W/m2)]],3,0),"")</f>
        <v>0.26805555555555555</v>
      </c>
      <c r="X325" s="32">
        <f>IFERROR(VLOOKUP(TA[[#This Row],[Date]],Raw_Data[[Date]:[Sunset Time (POA&lt;20 W/m2)]],3,0),"")</f>
        <v>0.26805555555555555</v>
      </c>
      <c r="Y325" s="26"/>
      <c r="Z325" s="26">
        <v>0.76041666666666663</v>
      </c>
      <c r="AA325" s="27">
        <f>IF(TA[[#This Row],[Work Start time on Fault]]="NA","",(TA[[#This Row],[Fault Acknowledgement Time ]]-TA[[#This Row],[Fault Time]])*24)</f>
        <v>0</v>
      </c>
      <c r="AB325" s="27">
        <f>(TA[[#This Row],[Work Start time on Fault]]-TA[[#This Row],[Fault Time]])*24</f>
        <v>-6.4333333333333336</v>
      </c>
      <c r="AC325" s="26">
        <f>(TA[[#This Row],[Work Completion time on fault]]-TA[[#This Row],[Fault Time]])*24</f>
        <v>11.816666666666666</v>
      </c>
      <c r="AD325" s="27">
        <f>IFERROR((TA[[#This Row],[Work Completion time on fault]]-TA[[#This Row],[Fault Time]])*24,"")</f>
        <v>11.816666666666666</v>
      </c>
      <c r="AE325" t="s">
        <v>300</v>
      </c>
      <c r="AF325" t="s">
        <v>247</v>
      </c>
      <c r="AG325" s="2"/>
      <c r="AH325" s="35">
        <f>1-COS(RADIANS(TA[[#This Row],[Avg. Target Angle during Fault Time (Radians)]]-TA[[#This Row],[Angle of affected equipment ]]))</f>
        <v>0.11705240714107301</v>
      </c>
      <c r="AI325" s="27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43">
        <f t="shared" si="17"/>
        <v>2026</v>
      </c>
      <c r="C326" s="116">
        <f t="shared" si="18"/>
        <v>2025</v>
      </c>
      <c r="D326" s="2" t="s">
        <v>155</v>
      </c>
      <c r="E326" s="2" t="s">
        <v>155</v>
      </c>
      <c r="F326" s="30">
        <v>45748</v>
      </c>
      <c r="G326" s="2">
        <f>DAY(EOMONTH(TA[[#This Row],[Month Year]],0))</f>
        <v>30</v>
      </c>
      <c r="H326" s="21">
        <v>45766</v>
      </c>
      <c r="I326" s="32">
        <f>IFERROR(VLOOKUP(TA[[#This Row],[Date]],Raw_Data[[Date]:[Sunset Time (POA&lt;20 W/m2)]],3,0),"")</f>
        <v>0.26805555555555555</v>
      </c>
      <c r="J326" s="32">
        <f>IFERROR(VLOOKUP(TA[[#This Row],[Date]],Raw_Data[[Date]:[Sunset Time (POA&lt;20 W/m2)]],4,0),"")</f>
        <v>0.7729166666666667</v>
      </c>
      <c r="K326" s="27">
        <f>IFERROR((TA[[#This Row],[Sunset Time (POA&lt;20 W/m2)]]-TA[[#This Row],[Sunrise Time (POA&gt;20 W/m2)]])*24,"")</f>
        <v>12.116666666666669</v>
      </c>
      <c r="L326" s="2" t="s">
        <v>303</v>
      </c>
      <c r="M326" s="33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321</v>
      </c>
      <c r="Q326" s="2" t="s">
        <v>314</v>
      </c>
      <c r="R326">
        <v>26</v>
      </c>
      <c r="S326" s="2">
        <v>37</v>
      </c>
      <c r="T326" t="s">
        <v>288</v>
      </c>
      <c r="U326" t="s">
        <v>317</v>
      </c>
      <c r="V326" t="s">
        <v>292</v>
      </c>
      <c r="W326" s="32">
        <f>IFERROR(VLOOKUP(TA[[#This Row],[Date]],Raw_Data[[Date]:[Sunset Time (POA&lt;20 W/m2)]],3,0),"")</f>
        <v>0.26805555555555555</v>
      </c>
      <c r="X326" s="32">
        <f>IFERROR(VLOOKUP(TA[[#This Row],[Date]],Raw_Data[[Date]:[Sunset Time (POA&lt;20 W/m2)]],3,0),"")</f>
        <v>0.26805555555555555</v>
      </c>
      <c r="Y326" s="26"/>
      <c r="Z326" s="26">
        <v>0.76041666666666663</v>
      </c>
      <c r="AA326" s="27">
        <f>IF(TA[[#This Row],[Work Start time on Fault]]="NA","",(TA[[#This Row],[Fault Acknowledgement Time ]]-TA[[#This Row],[Fault Time]])*24)</f>
        <v>0</v>
      </c>
      <c r="AB326" s="27">
        <f>(TA[[#This Row],[Work Start time on Fault]]-TA[[#This Row],[Fault Time]])*24</f>
        <v>-6.4333333333333336</v>
      </c>
      <c r="AC326" s="26">
        <f>(TA[[#This Row],[Work Completion time on fault]]-TA[[#This Row],[Fault Time]])*24</f>
        <v>11.816666666666666</v>
      </c>
      <c r="AD326" s="27">
        <f>IFERROR((TA[[#This Row],[Work Completion time on fault]]-TA[[#This Row],[Fault Time]])*24,"")</f>
        <v>11.816666666666666</v>
      </c>
      <c r="AE326" t="s">
        <v>300</v>
      </c>
      <c r="AF326" t="s">
        <v>247</v>
      </c>
      <c r="AG326" s="2"/>
      <c r="AH326" s="35">
        <f>1-COS(RADIANS(TA[[#This Row],[Avg. Target Angle during Fault Time (Radians)]]-TA[[#This Row],[Angle of affected equipment ]]))</f>
        <v>0.11705240714107301</v>
      </c>
      <c r="AI326" s="27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43">
        <f t="shared" si="17"/>
        <v>2026</v>
      </c>
      <c r="C327" s="116">
        <f t="shared" si="18"/>
        <v>2025</v>
      </c>
      <c r="D327" s="2" t="s">
        <v>155</v>
      </c>
      <c r="E327" s="2" t="s">
        <v>155</v>
      </c>
      <c r="F327" s="30">
        <v>45748</v>
      </c>
      <c r="G327" s="2">
        <f>DAY(EOMONTH(TA[[#This Row],[Month Year]],0))</f>
        <v>30</v>
      </c>
      <c r="H327" s="21">
        <v>45766</v>
      </c>
      <c r="I327" s="32">
        <f>IFERROR(VLOOKUP(TA[[#This Row],[Date]],Raw_Data[[Date]:[Sunset Time (POA&lt;20 W/m2)]],3,0),"")</f>
        <v>0.26805555555555555</v>
      </c>
      <c r="J327" s="32">
        <f>IFERROR(VLOOKUP(TA[[#This Row],[Date]],Raw_Data[[Date]:[Sunset Time (POA&lt;20 W/m2)]],4,0),"")</f>
        <v>0.7729166666666667</v>
      </c>
      <c r="K327" s="27">
        <f>IFERROR((TA[[#This Row],[Sunset Time (POA&lt;20 W/m2)]]-TA[[#This Row],[Sunrise Time (POA&gt;20 W/m2)]])*24,"")</f>
        <v>12.116666666666669</v>
      </c>
      <c r="L327" s="2" t="s">
        <v>303</v>
      </c>
      <c r="M327" s="33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321</v>
      </c>
      <c r="Q327" s="2" t="s">
        <v>314</v>
      </c>
      <c r="R327">
        <v>27</v>
      </c>
      <c r="S327" s="2">
        <v>42</v>
      </c>
      <c r="T327" t="s">
        <v>288</v>
      </c>
      <c r="U327" t="s">
        <v>317</v>
      </c>
      <c r="V327" t="s">
        <v>292</v>
      </c>
      <c r="W327" s="32">
        <f>IFERROR(VLOOKUP(TA[[#This Row],[Date]],Raw_Data[[Date]:[Sunset Time (POA&lt;20 W/m2)]],3,0),"")</f>
        <v>0.26805555555555555</v>
      </c>
      <c r="X327" s="32">
        <f>IFERROR(VLOOKUP(TA[[#This Row],[Date]],Raw_Data[[Date]:[Sunset Time (POA&lt;20 W/m2)]],3,0),"")</f>
        <v>0.26805555555555555</v>
      </c>
      <c r="Y327" s="26"/>
      <c r="Z327" s="26">
        <v>0.76041666666666663</v>
      </c>
      <c r="AA327" s="27">
        <f>IF(TA[[#This Row],[Work Start time on Fault]]="NA","",(TA[[#This Row],[Fault Acknowledgement Time ]]-TA[[#This Row],[Fault Time]])*24)</f>
        <v>0</v>
      </c>
      <c r="AB327" s="27">
        <f>(TA[[#This Row],[Work Start time on Fault]]-TA[[#This Row],[Fault Time]])*24</f>
        <v>-6.4333333333333336</v>
      </c>
      <c r="AC327" s="26">
        <f>(TA[[#This Row],[Work Completion time on fault]]-TA[[#This Row],[Fault Time]])*24</f>
        <v>11.816666666666666</v>
      </c>
      <c r="AD327" s="27">
        <f>IFERROR((TA[[#This Row],[Work Completion time on fault]]-TA[[#This Row],[Fault Time]])*24,"")</f>
        <v>11.816666666666666</v>
      </c>
      <c r="AE327" t="s">
        <v>300</v>
      </c>
      <c r="AF327" t="s">
        <v>247</v>
      </c>
      <c r="AG327" s="2"/>
      <c r="AH327" s="35">
        <f>1-COS(RADIANS(TA[[#This Row],[Avg. Target Angle during Fault Time (Radians)]]-TA[[#This Row],[Angle of affected equipment ]]))</f>
        <v>0.11705240714107301</v>
      </c>
      <c r="AI327" s="27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43">
        <f t="shared" si="17"/>
        <v>2026</v>
      </c>
      <c r="C328" s="116">
        <f t="shared" si="18"/>
        <v>2025</v>
      </c>
      <c r="D328" s="2" t="s">
        <v>155</v>
      </c>
      <c r="E328" s="2" t="s">
        <v>155</v>
      </c>
      <c r="F328" s="30">
        <v>45748</v>
      </c>
      <c r="G328" s="2">
        <f>DAY(EOMONTH(TA[[#This Row],[Month Year]],0))</f>
        <v>30</v>
      </c>
      <c r="H328" s="21">
        <v>45767</v>
      </c>
      <c r="I328" s="32">
        <f>IFERROR(VLOOKUP(TA[[#This Row],[Date]],Raw_Data[[Date]:[Sunset Time (POA&lt;20 W/m2)]],3,0),"")</f>
        <v>0.25833333333333336</v>
      </c>
      <c r="J328" s="32">
        <f>IFERROR(VLOOKUP(TA[[#This Row],[Date]],Raw_Data[[Date]:[Sunset Time (POA&lt;20 W/m2)]],4,0),"")</f>
        <v>0.76875000000000004</v>
      </c>
      <c r="K328" s="27">
        <f>IFERROR((TA[[#This Row],[Sunset Time (POA&lt;20 W/m2)]]-TA[[#This Row],[Sunrise Time (POA&gt;20 W/m2)]])*24,"")</f>
        <v>12.250000000000002</v>
      </c>
      <c r="L328" s="2" t="s">
        <v>285</v>
      </c>
      <c r="M328" s="33">
        <f>IFERROR(VLOOKUP(TA[[#This Row],[Affected Equipment]],'Basic Data'!$I$2:$K$40,3,0),"")</f>
        <v>1.7241379310344799E-3</v>
      </c>
      <c r="N328">
        <v>-28</v>
      </c>
      <c r="O328" t="s">
        <v>135</v>
      </c>
      <c r="P328" s="114" t="s">
        <v>309</v>
      </c>
      <c r="Q328" s="113" t="s">
        <v>309</v>
      </c>
      <c r="R328">
        <v>130</v>
      </c>
      <c r="S328" s="2">
        <v>37</v>
      </c>
      <c r="T328" t="s">
        <v>286</v>
      </c>
      <c r="U328" t="s">
        <v>291</v>
      </c>
      <c r="V328" t="s">
        <v>289</v>
      </c>
      <c r="W328" s="32"/>
      <c r="X328" s="32"/>
      <c r="Y328" s="26"/>
      <c r="Z328" s="26"/>
      <c r="AA328" s="27">
        <f>IF(TA[[#This Row],[Work Start time on Fault]]="NA","",(TA[[#This Row],[Fault Acknowledgement Time ]]-TA[[#This Row],[Fault Time]])*24)</f>
        <v>0</v>
      </c>
      <c r="AB328" s="27">
        <f>(TA[[#This Row],[Work Start time on Fault]]-TA[[#This Row],[Fault Time]])*24</f>
        <v>0</v>
      </c>
      <c r="AC328" s="26">
        <f>(TA[[#This Row],[Work Completion time on fault]]-TA[[#This Row],[Fault Time]])*24</f>
        <v>0</v>
      </c>
      <c r="AD328" s="27">
        <f>IFERROR((TA[[#This Row],[Work Completion time on fault]]-TA[[#This Row],[Fault Time]])*24,"")</f>
        <v>0</v>
      </c>
      <c r="AE328" t="s">
        <v>319</v>
      </c>
      <c r="AF328" t="s">
        <v>247</v>
      </c>
      <c r="AG328" s="2"/>
      <c r="AH328" s="35">
        <f>1-COS(RADIANS(TA[[#This Row],[Avg. Target Angle during Fault Time (Radians)]]-TA[[#This Row],[Angle of affected equipment ]]))</f>
        <v>0.11705240714107301</v>
      </c>
      <c r="AI328" s="27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43">
        <f t="shared" si="17"/>
        <v>2026</v>
      </c>
      <c r="C329" s="116">
        <f t="shared" si="18"/>
        <v>2025</v>
      </c>
      <c r="D329" s="2" t="s">
        <v>155</v>
      </c>
      <c r="E329" s="2" t="s">
        <v>155</v>
      </c>
      <c r="F329" s="30">
        <v>45748</v>
      </c>
      <c r="G329" s="2">
        <f>DAY(EOMONTH(TA[[#This Row],[Month Year]],0))</f>
        <v>30</v>
      </c>
      <c r="H329" s="21">
        <v>45767</v>
      </c>
      <c r="I329" s="32">
        <f>IFERROR(VLOOKUP(TA[[#This Row],[Date]],Raw_Data[[Date]:[Sunset Time (POA&lt;20 W/m2)]],3,0),"")</f>
        <v>0.25833333333333336</v>
      </c>
      <c r="J329" s="32">
        <f>IFERROR(VLOOKUP(TA[[#This Row],[Date]],Raw_Data[[Date]:[Sunset Time (POA&lt;20 W/m2)]],4,0),"")</f>
        <v>0.76875000000000004</v>
      </c>
      <c r="K329" s="27">
        <f>IFERROR((TA[[#This Row],[Sunset Time (POA&lt;20 W/m2)]]-TA[[#This Row],[Sunrise Time (POA&gt;20 W/m2)]])*24,"")</f>
        <v>12.250000000000002</v>
      </c>
      <c r="L329" s="2" t="s">
        <v>285</v>
      </c>
      <c r="M329" s="33">
        <f>IFERROR(VLOOKUP(TA[[#This Row],[Affected Equipment]],'Basic Data'!$I$2:$K$40,3,0),"")</f>
        <v>1.7241379310344799E-3</v>
      </c>
      <c r="N329">
        <v>-28</v>
      </c>
      <c r="O329" t="s">
        <v>135</v>
      </c>
      <c r="P329" s="114" t="s">
        <v>309</v>
      </c>
      <c r="Q329" s="113" t="s">
        <v>309</v>
      </c>
      <c r="R329">
        <v>131</v>
      </c>
      <c r="S329" s="2">
        <v>38</v>
      </c>
      <c r="T329" t="s">
        <v>286</v>
      </c>
      <c r="U329" t="s">
        <v>291</v>
      </c>
      <c r="V329" t="s">
        <v>289</v>
      </c>
      <c r="W329" s="32"/>
      <c r="X329" s="32"/>
      <c r="Y329" s="26"/>
      <c r="Z329" s="26"/>
      <c r="AA329" s="27">
        <f>IF(TA[[#This Row],[Work Start time on Fault]]="NA","",(TA[[#This Row],[Fault Acknowledgement Time ]]-TA[[#This Row],[Fault Time]])*24)</f>
        <v>0</v>
      </c>
      <c r="AB329" s="27">
        <f>(TA[[#This Row],[Work Start time on Fault]]-TA[[#This Row],[Fault Time]])*24</f>
        <v>0</v>
      </c>
      <c r="AC329" s="26">
        <f>(TA[[#This Row],[Work Completion time on fault]]-TA[[#This Row],[Fault Time]])*24</f>
        <v>0</v>
      </c>
      <c r="AD329" s="27">
        <f>IFERROR((TA[[#This Row],[Work Completion time on fault]]-TA[[#This Row],[Fault Time]])*24,"")</f>
        <v>0</v>
      </c>
      <c r="AE329" t="s">
        <v>319</v>
      </c>
      <c r="AF329" t="s">
        <v>247</v>
      </c>
      <c r="AG329" s="2"/>
      <c r="AH329" s="35">
        <f>1-COS(RADIANS(TA[[#This Row],[Avg. Target Angle during Fault Time (Radians)]]-TA[[#This Row],[Angle of affected equipment ]]))</f>
        <v>0.11705240714107301</v>
      </c>
      <c r="AI329" s="27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43">
        <f t="shared" si="17"/>
        <v>2026</v>
      </c>
      <c r="C330" s="116">
        <f t="shared" si="18"/>
        <v>2025</v>
      </c>
      <c r="D330" s="2" t="s">
        <v>155</v>
      </c>
      <c r="E330" s="2" t="s">
        <v>155</v>
      </c>
      <c r="F330" s="30">
        <v>45748</v>
      </c>
      <c r="G330" s="2">
        <f>DAY(EOMONTH(TA[[#This Row],[Month Year]],0))</f>
        <v>30</v>
      </c>
      <c r="H330" s="21">
        <v>45767</v>
      </c>
      <c r="I330" s="32">
        <f>IFERROR(VLOOKUP(TA[[#This Row],[Date]],Raw_Data[[Date]:[Sunset Time (POA&lt;20 W/m2)]],3,0),"")</f>
        <v>0.25833333333333336</v>
      </c>
      <c r="J330" s="32">
        <f>IFERROR(VLOOKUP(TA[[#This Row],[Date]],Raw_Data[[Date]:[Sunset Time (POA&lt;20 W/m2)]],4,0),"")</f>
        <v>0.76875000000000004</v>
      </c>
      <c r="K330" s="27">
        <f>IFERROR((TA[[#This Row],[Sunset Time (POA&lt;20 W/m2)]]-TA[[#This Row],[Sunrise Time (POA&gt;20 W/m2)]])*24,"")</f>
        <v>12.250000000000002</v>
      </c>
      <c r="L330" s="2" t="s">
        <v>285</v>
      </c>
      <c r="M330" s="33">
        <f>IFERROR(VLOOKUP(TA[[#This Row],[Affected Equipment]],'Basic Data'!$I$2:$K$40,3,0),"")</f>
        <v>1.7241379310344799E-3</v>
      </c>
      <c r="N330">
        <v>-28</v>
      </c>
      <c r="O330" t="s">
        <v>135</v>
      </c>
      <c r="P330" s="114" t="s">
        <v>309</v>
      </c>
      <c r="Q330" s="113" t="s">
        <v>309</v>
      </c>
      <c r="R330">
        <v>131</v>
      </c>
      <c r="S330" s="2">
        <v>39</v>
      </c>
      <c r="T330" t="s">
        <v>286</v>
      </c>
      <c r="U330" t="s">
        <v>291</v>
      </c>
      <c r="V330" t="s">
        <v>289</v>
      </c>
      <c r="W330" s="32"/>
      <c r="X330" s="32"/>
      <c r="Y330" s="26"/>
      <c r="Z330" s="26"/>
      <c r="AA330" s="27">
        <f>IF(TA[[#This Row],[Work Start time on Fault]]="NA","",(TA[[#This Row],[Fault Acknowledgement Time ]]-TA[[#This Row],[Fault Time]])*24)</f>
        <v>0</v>
      </c>
      <c r="AB330" s="27">
        <f>(TA[[#This Row],[Work Start time on Fault]]-TA[[#This Row],[Fault Time]])*24</f>
        <v>0</v>
      </c>
      <c r="AC330" s="26">
        <f>(TA[[#This Row],[Work Completion time on fault]]-TA[[#This Row],[Fault Time]])*24</f>
        <v>0</v>
      </c>
      <c r="AD330" s="27">
        <f>IFERROR((TA[[#This Row],[Work Completion time on fault]]-TA[[#This Row],[Fault Time]])*24,"")</f>
        <v>0</v>
      </c>
      <c r="AE330" t="s">
        <v>319</v>
      </c>
      <c r="AF330" t="s">
        <v>247</v>
      </c>
      <c r="AG330" s="2"/>
      <c r="AH330" s="35">
        <f>1-COS(RADIANS(TA[[#This Row],[Avg. Target Angle during Fault Time (Radians)]]-TA[[#This Row],[Angle of affected equipment ]]))</f>
        <v>0.11705240714107301</v>
      </c>
      <c r="AI330" s="27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43">
        <f t="shared" si="17"/>
        <v>2026</v>
      </c>
      <c r="C331" s="116">
        <f t="shared" si="18"/>
        <v>2025</v>
      </c>
      <c r="D331" s="2" t="s">
        <v>155</v>
      </c>
      <c r="E331" s="2" t="s">
        <v>155</v>
      </c>
      <c r="F331" s="30">
        <v>45748</v>
      </c>
      <c r="G331" s="2">
        <f>DAY(EOMONTH(TA[[#This Row],[Month Year]],0))</f>
        <v>30</v>
      </c>
      <c r="H331" s="21">
        <v>45767</v>
      </c>
      <c r="I331" s="32">
        <f>IFERROR(VLOOKUP(TA[[#This Row],[Date]],Raw_Data[[Date]:[Sunset Time (POA&lt;20 W/m2)]],3,0),"")</f>
        <v>0.25833333333333336</v>
      </c>
      <c r="J331" s="32">
        <f>IFERROR(VLOOKUP(TA[[#This Row],[Date]],Raw_Data[[Date]:[Sunset Time (POA&lt;20 W/m2)]],4,0),"")</f>
        <v>0.76875000000000004</v>
      </c>
      <c r="K331" s="27">
        <f>IFERROR((TA[[#This Row],[Sunset Time (POA&lt;20 W/m2)]]-TA[[#This Row],[Sunrise Time (POA&gt;20 W/m2)]])*24,"")</f>
        <v>12.250000000000002</v>
      </c>
      <c r="L331" s="2" t="s">
        <v>287</v>
      </c>
      <c r="M331" s="33">
        <f>IFERROR(VLOOKUP(TA[[#This Row],[Affected Equipment]],'Basic Data'!$I$2:$K$40,3,0),"")</f>
        <v>8.6206896551724102E-3</v>
      </c>
      <c r="N331">
        <v>-28</v>
      </c>
      <c r="O331" t="s">
        <v>135</v>
      </c>
      <c r="P331" s="114" t="s">
        <v>309</v>
      </c>
      <c r="Q331" s="2" t="s">
        <v>312</v>
      </c>
      <c r="R331">
        <v>133</v>
      </c>
      <c r="S331" s="2">
        <v>26</v>
      </c>
      <c r="T331" t="s">
        <v>288</v>
      </c>
      <c r="U331" t="s">
        <v>291</v>
      </c>
      <c r="V331" t="s">
        <v>305</v>
      </c>
      <c r="W331" s="32"/>
      <c r="X331" s="32"/>
      <c r="Y331" s="26"/>
      <c r="Z331" s="26"/>
      <c r="AA331" s="27">
        <f>IF(TA[[#This Row],[Work Start time on Fault]]="NA","",(TA[[#This Row],[Fault Acknowledgement Time ]]-TA[[#This Row],[Fault Time]])*24)</f>
        <v>0</v>
      </c>
      <c r="AB331" s="27">
        <f>(TA[[#This Row],[Work Start time on Fault]]-TA[[#This Row],[Fault Time]])*24</f>
        <v>0</v>
      </c>
      <c r="AC331" s="26">
        <f>(TA[[#This Row],[Work Completion time on fault]]-TA[[#This Row],[Fault Time]])*24</f>
        <v>0</v>
      </c>
      <c r="AD331" s="27">
        <f>IFERROR((TA[[#This Row],[Work Completion time on fault]]-TA[[#This Row],[Fault Time]])*24,"")</f>
        <v>0</v>
      </c>
      <c r="AE331" t="s">
        <v>319</v>
      </c>
      <c r="AF331" t="s">
        <v>247</v>
      </c>
      <c r="AG331" s="2"/>
      <c r="AH331" s="35">
        <f>1-COS(RADIANS(TA[[#This Row],[Avg. Target Angle during Fault Time (Radians)]]-TA[[#This Row],[Angle of affected equipment ]]))</f>
        <v>0.11705240714107301</v>
      </c>
      <c r="AI331" s="27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43">
        <f t="shared" si="17"/>
        <v>2026</v>
      </c>
      <c r="C332" s="116">
        <f t="shared" si="18"/>
        <v>2025</v>
      </c>
      <c r="D332" s="2" t="s">
        <v>155</v>
      </c>
      <c r="E332" s="2" t="s">
        <v>155</v>
      </c>
      <c r="F332" s="30">
        <v>45748</v>
      </c>
      <c r="G332" s="2">
        <f>DAY(EOMONTH(TA[[#This Row],[Month Year]],0))</f>
        <v>30</v>
      </c>
      <c r="H332" s="21">
        <v>45767</v>
      </c>
      <c r="I332" s="32">
        <f>IFERROR(VLOOKUP(TA[[#This Row],[Date]],Raw_Data[[Date]:[Sunset Time (POA&lt;20 W/m2)]],3,0),"")</f>
        <v>0.25833333333333336</v>
      </c>
      <c r="J332" s="32">
        <f>IFERROR(VLOOKUP(TA[[#This Row],[Date]],Raw_Data[[Date]:[Sunset Time (POA&lt;20 W/m2)]],4,0),"")</f>
        <v>0.76875000000000004</v>
      </c>
      <c r="K332" s="27">
        <f>IFERROR((TA[[#This Row],[Sunset Time (POA&lt;20 W/m2)]]-TA[[#This Row],[Sunrise Time (POA&gt;20 W/m2)]])*24,"")</f>
        <v>12.250000000000002</v>
      </c>
      <c r="L332" s="2" t="s">
        <v>285</v>
      </c>
      <c r="M332" s="33">
        <f>IFERROR(VLOOKUP(TA[[#This Row],[Affected Equipment]],'Basic Data'!$I$2:$K$40,3,0),"")</f>
        <v>1.7241379310344799E-3</v>
      </c>
      <c r="N332">
        <v>-28</v>
      </c>
      <c r="O332" t="s">
        <v>133</v>
      </c>
      <c r="P332" s="114" t="s">
        <v>307</v>
      </c>
      <c r="Q332" s="113" t="s">
        <v>308</v>
      </c>
      <c r="R332">
        <v>7</v>
      </c>
      <c r="S332" s="2">
        <v>32</v>
      </c>
      <c r="T332" t="s">
        <v>286</v>
      </c>
      <c r="U332" t="s">
        <v>291</v>
      </c>
      <c r="V332" t="s">
        <v>289</v>
      </c>
      <c r="W332" s="32"/>
      <c r="X332" s="32"/>
      <c r="Y332" s="26"/>
      <c r="Z332" s="26"/>
      <c r="AA332" s="27">
        <f>IF(TA[[#This Row],[Work Start time on Fault]]="NA","",(TA[[#This Row],[Fault Acknowledgement Time ]]-TA[[#This Row],[Fault Time]])*24)</f>
        <v>0</v>
      </c>
      <c r="AB332" s="27">
        <f>(TA[[#This Row],[Work Start time on Fault]]-TA[[#This Row],[Fault Time]])*24</f>
        <v>0</v>
      </c>
      <c r="AC332" s="26">
        <f>(TA[[#This Row],[Work Completion time on fault]]-TA[[#This Row],[Fault Time]])*24</f>
        <v>0</v>
      </c>
      <c r="AD332" s="27">
        <f>IFERROR((TA[[#This Row],[Work Completion time on fault]]-TA[[#This Row],[Fault Time]])*24,"")</f>
        <v>0</v>
      </c>
      <c r="AE332" t="s">
        <v>319</v>
      </c>
      <c r="AF332" t="s">
        <v>247</v>
      </c>
      <c r="AG332" s="2"/>
      <c r="AH332" s="35">
        <f>1-COS(RADIANS(TA[[#This Row],[Avg. Target Angle during Fault Time (Radians)]]-TA[[#This Row],[Angle of affected equipment ]]))</f>
        <v>0.11705240714107301</v>
      </c>
      <c r="AI332" s="27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43">
        <f t="shared" si="17"/>
        <v>2026</v>
      </c>
      <c r="C333" s="116">
        <f t="shared" si="18"/>
        <v>2025</v>
      </c>
      <c r="D333" s="2" t="s">
        <v>155</v>
      </c>
      <c r="E333" s="2" t="s">
        <v>155</v>
      </c>
      <c r="F333" s="30">
        <v>45748</v>
      </c>
      <c r="G333" s="2">
        <f>DAY(EOMONTH(TA[[#This Row],[Month Year]],0))</f>
        <v>30</v>
      </c>
      <c r="H333" s="21">
        <v>45767</v>
      </c>
      <c r="I333" s="32">
        <f>IFERROR(VLOOKUP(TA[[#This Row],[Date]],Raw_Data[[Date]:[Sunset Time (POA&lt;20 W/m2)]],3,0),"")</f>
        <v>0.25833333333333336</v>
      </c>
      <c r="J333" s="32">
        <f>IFERROR(VLOOKUP(TA[[#This Row],[Date]],Raw_Data[[Date]:[Sunset Time (POA&lt;20 W/m2)]],4,0),"")</f>
        <v>0.76875000000000004</v>
      </c>
      <c r="K333" s="27">
        <f>IFERROR((TA[[#This Row],[Sunset Time (POA&lt;20 W/m2)]]-TA[[#This Row],[Sunrise Time (POA&gt;20 W/m2)]])*24,"")</f>
        <v>12.250000000000002</v>
      </c>
      <c r="L333" s="2" t="s">
        <v>285</v>
      </c>
      <c r="M333" s="33">
        <f>IFERROR(VLOOKUP(TA[[#This Row],[Affected Equipment]],'Basic Data'!$I$2:$K$40,3,0),"")</f>
        <v>1.7241379310344799E-3</v>
      </c>
      <c r="N333">
        <v>-28</v>
      </c>
      <c r="O333" t="s">
        <v>137</v>
      </c>
      <c r="P333" s="114" t="s">
        <v>306</v>
      </c>
      <c r="Q333" s="113" t="s">
        <v>310</v>
      </c>
      <c r="R333">
        <v>166</v>
      </c>
      <c r="S333" s="2">
        <v>91</v>
      </c>
      <c r="T333" t="s">
        <v>286</v>
      </c>
      <c r="U333" t="s">
        <v>291</v>
      </c>
      <c r="V333" t="s">
        <v>289</v>
      </c>
      <c r="W333" s="32"/>
      <c r="X333" s="32"/>
      <c r="Y333" s="26"/>
      <c r="Z333" s="26"/>
      <c r="AA333" s="27">
        <f>IF(TA[[#This Row],[Work Start time on Fault]]="NA","",(TA[[#This Row],[Fault Acknowledgement Time ]]-TA[[#This Row],[Fault Time]])*24)</f>
        <v>0</v>
      </c>
      <c r="AB333" s="27">
        <f>(TA[[#This Row],[Work Start time on Fault]]-TA[[#This Row],[Fault Time]])*24</f>
        <v>0</v>
      </c>
      <c r="AC333" s="26">
        <f>(TA[[#This Row],[Work Completion time on fault]]-TA[[#This Row],[Fault Time]])*24</f>
        <v>0</v>
      </c>
      <c r="AD333" s="27">
        <f>IFERROR((TA[[#This Row],[Work Completion time on fault]]-TA[[#This Row],[Fault Time]])*24,"")</f>
        <v>0</v>
      </c>
      <c r="AE333" t="s">
        <v>319</v>
      </c>
      <c r="AF333" t="s">
        <v>247</v>
      </c>
      <c r="AG333" s="2"/>
      <c r="AH333" s="35">
        <f>1-COS(RADIANS(TA[[#This Row],[Avg. Target Angle during Fault Time (Radians)]]-TA[[#This Row],[Angle of affected equipment ]]))</f>
        <v>0.11705240714107301</v>
      </c>
      <c r="AI333" s="27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43">
        <f t="shared" si="17"/>
        <v>2026</v>
      </c>
      <c r="C334" s="116">
        <f t="shared" si="18"/>
        <v>2025</v>
      </c>
      <c r="D334" s="2" t="s">
        <v>155</v>
      </c>
      <c r="E334" s="2" t="s">
        <v>155</v>
      </c>
      <c r="F334" s="30">
        <v>45748</v>
      </c>
      <c r="G334" s="2">
        <f>DAY(EOMONTH(TA[[#This Row],[Month Year]],0))</f>
        <v>30</v>
      </c>
      <c r="H334" s="21">
        <v>45767</v>
      </c>
      <c r="I334" s="32">
        <f>IFERROR(VLOOKUP(TA[[#This Row],[Date]],Raw_Data[[Date]:[Sunset Time (POA&lt;20 W/m2)]],3,0),"")</f>
        <v>0.25833333333333336</v>
      </c>
      <c r="J334" s="32">
        <f>IFERROR(VLOOKUP(TA[[#This Row],[Date]],Raw_Data[[Date]:[Sunset Time (POA&lt;20 W/m2)]],4,0),"")</f>
        <v>0.76875000000000004</v>
      </c>
      <c r="K334" s="27">
        <f>IFERROR((TA[[#This Row],[Sunset Time (POA&lt;20 W/m2)]]-TA[[#This Row],[Sunrise Time (POA&gt;20 W/m2)]])*24,"")</f>
        <v>12.250000000000002</v>
      </c>
      <c r="L334" s="2" t="s">
        <v>285</v>
      </c>
      <c r="M334" s="33">
        <f>IFERROR(VLOOKUP(TA[[#This Row],[Affected Equipment]],'Basic Data'!$I$2:$K$40,3,0),"")</f>
        <v>1.7241379310344799E-3</v>
      </c>
      <c r="N334">
        <v>-28</v>
      </c>
      <c r="O334" t="s">
        <v>133</v>
      </c>
      <c r="P334" s="114" t="s">
        <v>307</v>
      </c>
      <c r="Q334" s="113" t="s">
        <v>307</v>
      </c>
      <c r="R334">
        <v>117</v>
      </c>
      <c r="S334" s="2">
        <v>20</v>
      </c>
      <c r="T334" t="s">
        <v>286</v>
      </c>
      <c r="U334" t="s">
        <v>291</v>
      </c>
      <c r="V334" t="s">
        <v>289</v>
      </c>
      <c r="W334" s="32"/>
      <c r="X334" s="32"/>
      <c r="Y334" s="26"/>
      <c r="Z334" s="26"/>
      <c r="AA334" s="27">
        <f>IF(TA[[#This Row],[Work Start time on Fault]]="NA","",(TA[[#This Row],[Fault Acknowledgement Time ]]-TA[[#This Row],[Fault Time]])*24)</f>
        <v>0</v>
      </c>
      <c r="AB334" s="27">
        <f>(TA[[#This Row],[Work Start time on Fault]]-TA[[#This Row],[Fault Time]])*24</f>
        <v>0</v>
      </c>
      <c r="AC334" s="26">
        <f>(TA[[#This Row],[Work Completion time on fault]]-TA[[#This Row],[Fault Time]])*24</f>
        <v>0</v>
      </c>
      <c r="AD334" s="27">
        <f>IFERROR((TA[[#This Row],[Work Completion time on fault]]-TA[[#This Row],[Fault Time]])*24,"")</f>
        <v>0</v>
      </c>
      <c r="AE334" t="s">
        <v>319</v>
      </c>
      <c r="AF334" t="s">
        <v>247</v>
      </c>
      <c r="AG334" s="2"/>
      <c r="AH334" s="35">
        <f>1-COS(RADIANS(TA[[#This Row],[Avg. Target Angle during Fault Time (Radians)]]-TA[[#This Row],[Angle of affected equipment ]]))</f>
        <v>0.11705240714107301</v>
      </c>
      <c r="AI334" s="27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43">
        <f t="shared" si="17"/>
        <v>2026</v>
      </c>
      <c r="C335" s="116">
        <f t="shared" si="18"/>
        <v>2025</v>
      </c>
      <c r="D335" s="2" t="s">
        <v>155</v>
      </c>
      <c r="E335" s="2" t="s">
        <v>155</v>
      </c>
      <c r="F335" s="30">
        <v>45748</v>
      </c>
      <c r="G335" s="2">
        <f>DAY(EOMONTH(TA[[#This Row],[Month Year]],0))</f>
        <v>30</v>
      </c>
      <c r="H335" s="21">
        <v>45767</v>
      </c>
      <c r="I335" s="32">
        <f>IFERROR(VLOOKUP(TA[[#This Row],[Date]],Raw_Data[[Date]:[Sunset Time (POA&lt;20 W/m2)]],3,0),"")</f>
        <v>0.25833333333333336</v>
      </c>
      <c r="J335" s="32">
        <f>IFERROR(VLOOKUP(TA[[#This Row],[Date]],Raw_Data[[Date]:[Sunset Time (POA&lt;20 W/m2)]],4,0),"")</f>
        <v>0.76875000000000004</v>
      </c>
      <c r="K335" s="27">
        <f>IFERROR((TA[[#This Row],[Sunset Time (POA&lt;20 W/m2)]]-TA[[#This Row],[Sunrise Time (POA&gt;20 W/m2)]])*24,"")</f>
        <v>12.250000000000002</v>
      </c>
      <c r="L335" s="2" t="s">
        <v>285</v>
      </c>
      <c r="M335" s="33">
        <f>IFERROR(VLOOKUP(TA[[#This Row],[Affected Equipment]],'Basic Data'!$I$2:$K$40,3,0),"")</f>
        <v>1.7241379310344799E-3</v>
      </c>
      <c r="N335">
        <v>-28</v>
      </c>
      <c r="O335" t="s">
        <v>133</v>
      </c>
      <c r="P335" s="114" t="s">
        <v>307</v>
      </c>
      <c r="Q335" s="113" t="s">
        <v>307</v>
      </c>
      <c r="R335">
        <v>118</v>
      </c>
      <c r="S335" s="2">
        <v>22</v>
      </c>
      <c r="T335" t="s">
        <v>286</v>
      </c>
      <c r="U335" t="s">
        <v>291</v>
      </c>
      <c r="V335" t="s">
        <v>289</v>
      </c>
      <c r="W335" s="32"/>
      <c r="X335" s="32"/>
      <c r="Y335" s="26"/>
      <c r="Z335" s="26"/>
      <c r="AA335" s="27">
        <f>IF(TA[[#This Row],[Work Start time on Fault]]="NA","",(TA[[#This Row],[Fault Acknowledgement Time ]]-TA[[#This Row],[Fault Time]])*24)</f>
        <v>0</v>
      </c>
      <c r="AB335" s="27">
        <f>(TA[[#This Row],[Work Start time on Fault]]-TA[[#This Row],[Fault Time]])*24</f>
        <v>0</v>
      </c>
      <c r="AC335" s="26">
        <f>(TA[[#This Row],[Work Completion time on fault]]-TA[[#This Row],[Fault Time]])*24</f>
        <v>0</v>
      </c>
      <c r="AD335" s="27">
        <f>IFERROR((TA[[#This Row],[Work Completion time on fault]]-TA[[#This Row],[Fault Time]])*24,"")</f>
        <v>0</v>
      </c>
      <c r="AE335" t="s">
        <v>319</v>
      </c>
      <c r="AF335" t="s">
        <v>247</v>
      </c>
      <c r="AG335" s="2"/>
      <c r="AH335" s="35">
        <f>1-COS(RADIANS(TA[[#This Row],[Avg. Target Angle during Fault Time (Radians)]]-TA[[#This Row],[Angle of affected equipment ]]))</f>
        <v>0.11705240714107301</v>
      </c>
      <c r="AI335" s="27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43">
        <f t="shared" si="17"/>
        <v>2026</v>
      </c>
      <c r="C336" s="116">
        <f t="shared" si="18"/>
        <v>2025</v>
      </c>
      <c r="D336" s="2" t="s">
        <v>155</v>
      </c>
      <c r="E336" s="2" t="s">
        <v>155</v>
      </c>
      <c r="F336" s="30">
        <v>45748</v>
      </c>
      <c r="G336" s="2">
        <f>DAY(EOMONTH(TA[[#This Row],[Month Year]],0))</f>
        <v>30</v>
      </c>
      <c r="H336" s="21">
        <v>45767</v>
      </c>
      <c r="I336" s="32">
        <f>IFERROR(VLOOKUP(TA[[#This Row],[Date]],Raw_Data[[Date]:[Sunset Time (POA&lt;20 W/m2)]],3,0),"")</f>
        <v>0.25833333333333336</v>
      </c>
      <c r="J336" s="32">
        <f>IFERROR(VLOOKUP(TA[[#This Row],[Date]],Raw_Data[[Date]:[Sunset Time (POA&lt;20 W/m2)]],4,0),"")</f>
        <v>0.76875000000000004</v>
      </c>
      <c r="K336" s="27">
        <f>IFERROR((TA[[#This Row],[Sunset Time (POA&lt;20 W/m2)]]-TA[[#This Row],[Sunrise Time (POA&gt;20 W/m2)]])*24,"")</f>
        <v>12.250000000000002</v>
      </c>
      <c r="L336" s="2" t="s">
        <v>287</v>
      </c>
      <c r="M336" s="33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314</v>
      </c>
      <c r="Q336" s="2" t="s">
        <v>320</v>
      </c>
      <c r="R336">
        <v>45</v>
      </c>
      <c r="S336" s="2">
        <v>8</v>
      </c>
      <c r="T336" t="s">
        <v>288</v>
      </c>
      <c r="U336" t="s">
        <v>317</v>
      </c>
      <c r="V336" t="s">
        <v>292</v>
      </c>
      <c r="W336" s="32">
        <f>IFERROR(VLOOKUP(TA[[#This Row],[Date]],Raw_Data[[Date]:[Sunset Time (POA&lt;20 W/m2)]],3,0),"")</f>
        <v>0.25833333333333336</v>
      </c>
      <c r="X336" s="32">
        <f>IFERROR(VLOOKUP(TA[[#This Row],[Date]],Raw_Data[[Date]:[Sunset Time (POA&lt;20 W/m2)]],3,0),"")</f>
        <v>0.25833333333333336</v>
      </c>
      <c r="Y336" s="26"/>
      <c r="Z336" s="26">
        <v>0.76041666666666663</v>
      </c>
      <c r="AA336" s="27">
        <f>IF(TA[[#This Row],[Work Start time on Fault]]="NA","",(TA[[#This Row],[Fault Acknowledgement Time ]]-TA[[#This Row],[Fault Time]])*24)</f>
        <v>0</v>
      </c>
      <c r="AB336" s="27">
        <f>(TA[[#This Row],[Work Start time on Fault]]-TA[[#This Row],[Fault Time]])*24</f>
        <v>-6.2000000000000011</v>
      </c>
      <c r="AC336" s="26">
        <f>(TA[[#This Row],[Work Completion time on fault]]-TA[[#This Row],[Fault Time]])*24</f>
        <v>12.049999999999997</v>
      </c>
      <c r="AD336" s="27">
        <f>IFERROR((TA[[#This Row],[Work Completion time on fault]]-TA[[#This Row],[Fault Time]])*24,"")</f>
        <v>12.049999999999997</v>
      </c>
      <c r="AE336" t="s">
        <v>300</v>
      </c>
      <c r="AF336" t="s">
        <v>247</v>
      </c>
      <c r="AG336" s="2"/>
      <c r="AH336" s="35">
        <f>1-COS(RADIANS(TA[[#This Row],[Avg. Target Angle during Fault Time (Radians)]]-TA[[#This Row],[Angle of affected equipment ]]))</f>
        <v>0.11705240714107301</v>
      </c>
      <c r="AI336" s="27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43">
        <f t="shared" si="17"/>
        <v>2026</v>
      </c>
      <c r="C337" s="116">
        <f t="shared" si="18"/>
        <v>2025</v>
      </c>
      <c r="D337" s="2" t="s">
        <v>155</v>
      </c>
      <c r="E337" s="2" t="s">
        <v>155</v>
      </c>
      <c r="F337" s="30">
        <v>45748</v>
      </c>
      <c r="G337" s="2">
        <f>DAY(EOMONTH(TA[[#This Row],[Month Year]],0))</f>
        <v>30</v>
      </c>
      <c r="H337" s="21">
        <v>45767</v>
      </c>
      <c r="I337" s="32">
        <f>IFERROR(VLOOKUP(TA[[#This Row],[Date]],Raw_Data[[Date]:[Sunset Time (POA&lt;20 W/m2)]],3,0),"")</f>
        <v>0.25833333333333336</v>
      </c>
      <c r="J337" s="32">
        <f>IFERROR(VLOOKUP(TA[[#This Row],[Date]],Raw_Data[[Date]:[Sunset Time (POA&lt;20 W/m2)]],4,0),"")</f>
        <v>0.76875000000000004</v>
      </c>
      <c r="K337" s="27">
        <f>IFERROR((TA[[#This Row],[Sunset Time (POA&lt;20 W/m2)]]-TA[[#This Row],[Sunrise Time (POA&gt;20 W/m2)]])*24,"")</f>
        <v>12.250000000000002</v>
      </c>
      <c r="L337" s="2" t="s">
        <v>287</v>
      </c>
      <c r="M337" s="33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314</v>
      </c>
      <c r="Q337" s="2" t="s">
        <v>320</v>
      </c>
      <c r="R337">
        <v>47</v>
      </c>
      <c r="S337" s="2">
        <v>18</v>
      </c>
      <c r="T337" t="s">
        <v>288</v>
      </c>
      <c r="U337" t="s">
        <v>317</v>
      </c>
      <c r="V337" t="s">
        <v>292</v>
      </c>
      <c r="W337" s="32">
        <f>IFERROR(VLOOKUP(TA[[#This Row],[Date]],Raw_Data[[Date]:[Sunset Time (POA&lt;20 W/m2)]],3,0),"")</f>
        <v>0.25833333333333336</v>
      </c>
      <c r="X337" s="32">
        <f>IFERROR(VLOOKUP(TA[[#This Row],[Date]],Raw_Data[[Date]:[Sunset Time (POA&lt;20 W/m2)]],3,0),"")</f>
        <v>0.25833333333333336</v>
      </c>
      <c r="Y337" s="26"/>
      <c r="Z337" s="26">
        <v>0.76041666666666663</v>
      </c>
      <c r="AA337" s="27">
        <f>IF(TA[[#This Row],[Work Start time on Fault]]="NA","",(TA[[#This Row],[Fault Acknowledgement Time ]]-TA[[#This Row],[Fault Time]])*24)</f>
        <v>0</v>
      </c>
      <c r="AB337" s="27">
        <f>(TA[[#This Row],[Work Start time on Fault]]-TA[[#This Row],[Fault Time]])*24</f>
        <v>-6.2000000000000011</v>
      </c>
      <c r="AC337" s="26">
        <f>(TA[[#This Row],[Work Completion time on fault]]-TA[[#This Row],[Fault Time]])*24</f>
        <v>12.049999999999997</v>
      </c>
      <c r="AD337" s="27">
        <f>IFERROR((TA[[#This Row],[Work Completion time on fault]]-TA[[#This Row],[Fault Time]])*24,"")</f>
        <v>12.049999999999997</v>
      </c>
      <c r="AE337" t="s">
        <v>300</v>
      </c>
      <c r="AF337" t="s">
        <v>247</v>
      </c>
      <c r="AG337" s="2"/>
      <c r="AH337" s="35">
        <f>1-COS(RADIANS(TA[[#This Row],[Avg. Target Angle during Fault Time (Radians)]]-TA[[#This Row],[Angle of affected equipment ]]))</f>
        <v>0.11705240714107301</v>
      </c>
      <c r="AI337" s="27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43">
        <f t="shared" si="17"/>
        <v>2026</v>
      </c>
      <c r="C338" s="116">
        <f t="shared" si="18"/>
        <v>2025</v>
      </c>
      <c r="D338" s="2" t="s">
        <v>155</v>
      </c>
      <c r="E338" s="2" t="s">
        <v>155</v>
      </c>
      <c r="F338" s="30">
        <v>45748</v>
      </c>
      <c r="G338" s="2">
        <f>DAY(EOMONTH(TA[[#This Row],[Month Year]],0))</f>
        <v>30</v>
      </c>
      <c r="H338" s="21">
        <v>45767</v>
      </c>
      <c r="I338" s="32">
        <f>IFERROR(VLOOKUP(TA[[#This Row],[Date]],Raw_Data[[Date]:[Sunset Time (POA&lt;20 W/m2)]],3,0),"")</f>
        <v>0.25833333333333336</v>
      </c>
      <c r="J338" s="32">
        <f>IFERROR(VLOOKUP(TA[[#This Row],[Date]],Raw_Data[[Date]:[Sunset Time (POA&lt;20 W/m2)]],4,0),"")</f>
        <v>0.76875000000000004</v>
      </c>
      <c r="K338" s="27">
        <f>IFERROR((TA[[#This Row],[Sunset Time (POA&lt;20 W/m2)]]-TA[[#This Row],[Sunrise Time (POA&gt;20 W/m2)]])*24,"")</f>
        <v>12.250000000000002</v>
      </c>
      <c r="L338" s="2" t="s">
        <v>287</v>
      </c>
      <c r="M338" s="33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321</v>
      </c>
      <c r="Q338" s="2" t="s">
        <v>314</v>
      </c>
      <c r="R338">
        <v>30</v>
      </c>
      <c r="S338" s="2">
        <v>57</v>
      </c>
      <c r="T338" t="s">
        <v>288</v>
      </c>
      <c r="U338" t="s">
        <v>317</v>
      </c>
      <c r="V338" t="s">
        <v>292</v>
      </c>
      <c r="W338" s="32">
        <f>IFERROR(VLOOKUP(TA[[#This Row],[Date]],Raw_Data[[Date]:[Sunset Time (POA&lt;20 W/m2)]],3,0),"")</f>
        <v>0.25833333333333336</v>
      </c>
      <c r="X338" s="32">
        <f>IFERROR(VLOOKUP(TA[[#This Row],[Date]],Raw_Data[[Date]:[Sunset Time (POA&lt;20 W/m2)]],3,0),"")</f>
        <v>0.25833333333333336</v>
      </c>
      <c r="Y338" s="26"/>
      <c r="Z338" s="26">
        <v>0.76041666666666663</v>
      </c>
      <c r="AA338" s="27">
        <f>IF(TA[[#This Row],[Work Start time on Fault]]="NA","",(TA[[#This Row],[Fault Acknowledgement Time ]]-TA[[#This Row],[Fault Time]])*24)</f>
        <v>0</v>
      </c>
      <c r="AB338" s="27">
        <f>(TA[[#This Row],[Work Start time on Fault]]-TA[[#This Row],[Fault Time]])*24</f>
        <v>-6.2000000000000011</v>
      </c>
      <c r="AC338" s="26">
        <f>(TA[[#This Row],[Work Completion time on fault]]-TA[[#This Row],[Fault Time]])*24</f>
        <v>12.049999999999997</v>
      </c>
      <c r="AD338" s="27">
        <f>IFERROR((TA[[#This Row],[Work Completion time on fault]]-TA[[#This Row],[Fault Time]])*24,"")</f>
        <v>12.049999999999997</v>
      </c>
      <c r="AE338" t="s">
        <v>300</v>
      </c>
      <c r="AF338" t="s">
        <v>247</v>
      </c>
      <c r="AG338" s="2"/>
      <c r="AH338" s="35">
        <f>1-COS(RADIANS(TA[[#This Row],[Avg. Target Angle during Fault Time (Radians)]]-TA[[#This Row],[Angle of affected equipment ]]))</f>
        <v>0.11705240714107301</v>
      </c>
      <c r="AI338" s="27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43">
        <f t="shared" si="17"/>
        <v>2026</v>
      </c>
      <c r="C339" s="116">
        <f t="shared" si="18"/>
        <v>2025</v>
      </c>
      <c r="D339" s="2" t="s">
        <v>155</v>
      </c>
      <c r="E339" s="2" t="s">
        <v>155</v>
      </c>
      <c r="F339" s="30">
        <v>45748</v>
      </c>
      <c r="G339" s="2">
        <f>DAY(EOMONTH(TA[[#This Row],[Month Year]],0))</f>
        <v>30</v>
      </c>
      <c r="H339" s="21">
        <v>45767</v>
      </c>
      <c r="I339" s="32">
        <f>IFERROR(VLOOKUP(TA[[#This Row],[Date]],Raw_Data[[Date]:[Sunset Time (POA&lt;20 W/m2)]],3,0),"")</f>
        <v>0.25833333333333336</v>
      </c>
      <c r="J339" s="32">
        <f>IFERROR(VLOOKUP(TA[[#This Row],[Date]],Raw_Data[[Date]:[Sunset Time (POA&lt;20 W/m2)]],4,0),"")</f>
        <v>0.76875000000000004</v>
      </c>
      <c r="K339" s="27">
        <f>IFERROR((TA[[#This Row],[Sunset Time (POA&lt;20 W/m2)]]-TA[[#This Row],[Sunrise Time (POA&gt;20 W/m2)]])*24,"")</f>
        <v>12.250000000000002</v>
      </c>
      <c r="L339" s="2" t="s">
        <v>287</v>
      </c>
      <c r="M339" s="33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321</v>
      </c>
      <c r="Q339" s="2" t="s">
        <v>314</v>
      </c>
      <c r="R339">
        <v>31</v>
      </c>
      <c r="S339" s="2">
        <v>61</v>
      </c>
      <c r="T339" t="s">
        <v>288</v>
      </c>
      <c r="U339" t="s">
        <v>317</v>
      </c>
      <c r="V339" t="s">
        <v>292</v>
      </c>
      <c r="W339" s="32">
        <f>IFERROR(VLOOKUP(TA[[#This Row],[Date]],Raw_Data[[Date]:[Sunset Time (POA&lt;20 W/m2)]],3,0),"")</f>
        <v>0.25833333333333336</v>
      </c>
      <c r="X339" s="32">
        <f>IFERROR(VLOOKUP(TA[[#This Row],[Date]],Raw_Data[[Date]:[Sunset Time (POA&lt;20 W/m2)]],3,0),"")</f>
        <v>0.25833333333333336</v>
      </c>
      <c r="Y339" s="26"/>
      <c r="Z339" s="26">
        <v>0.76041666666666663</v>
      </c>
      <c r="AA339" s="27">
        <f>IF(TA[[#This Row],[Work Start time on Fault]]="NA","",(TA[[#This Row],[Fault Acknowledgement Time ]]-TA[[#This Row],[Fault Time]])*24)</f>
        <v>0</v>
      </c>
      <c r="AB339" s="27">
        <f>(TA[[#This Row],[Work Start time on Fault]]-TA[[#This Row],[Fault Time]])*24</f>
        <v>-6.2000000000000011</v>
      </c>
      <c r="AC339" s="26">
        <f>(TA[[#This Row],[Work Completion time on fault]]-TA[[#This Row],[Fault Time]])*24</f>
        <v>12.049999999999997</v>
      </c>
      <c r="AD339" s="27">
        <f>IFERROR((TA[[#This Row],[Work Completion time on fault]]-TA[[#This Row],[Fault Time]])*24,"")</f>
        <v>12.049999999999997</v>
      </c>
      <c r="AE339" t="s">
        <v>300</v>
      </c>
      <c r="AF339" t="s">
        <v>247</v>
      </c>
      <c r="AG339" s="2"/>
      <c r="AH339" s="35">
        <f>1-COS(RADIANS(TA[[#This Row],[Avg. Target Angle during Fault Time (Radians)]]-TA[[#This Row],[Angle of affected equipment ]]))</f>
        <v>0.11705240714107301</v>
      </c>
      <c r="AI339" s="27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43">
        <f t="shared" si="17"/>
        <v>2026</v>
      </c>
      <c r="C340" s="116">
        <f t="shared" si="18"/>
        <v>2025</v>
      </c>
      <c r="D340" s="2" t="s">
        <v>155</v>
      </c>
      <c r="E340" s="2" t="s">
        <v>155</v>
      </c>
      <c r="F340" s="30">
        <v>45748</v>
      </c>
      <c r="G340" s="2">
        <f>DAY(EOMONTH(TA[[#This Row],[Month Year]],0))</f>
        <v>30</v>
      </c>
      <c r="H340" s="21">
        <v>45767</v>
      </c>
      <c r="I340" s="32">
        <f>IFERROR(VLOOKUP(TA[[#This Row],[Date]],Raw_Data[[Date]:[Sunset Time (POA&lt;20 W/m2)]],3,0),"")</f>
        <v>0.25833333333333336</v>
      </c>
      <c r="J340" s="32">
        <f>IFERROR(VLOOKUP(TA[[#This Row],[Date]],Raw_Data[[Date]:[Sunset Time (POA&lt;20 W/m2)]],4,0),"")</f>
        <v>0.76875000000000004</v>
      </c>
      <c r="K340" s="27">
        <f>IFERROR((TA[[#This Row],[Sunset Time (POA&lt;20 W/m2)]]-TA[[#This Row],[Sunrise Time (POA&gt;20 W/m2)]])*24,"")</f>
        <v>12.250000000000002</v>
      </c>
      <c r="L340" s="2" t="s">
        <v>303</v>
      </c>
      <c r="M340" s="33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321</v>
      </c>
      <c r="Q340" s="2" t="s">
        <v>314</v>
      </c>
      <c r="R340">
        <v>26</v>
      </c>
      <c r="S340" s="2">
        <v>37</v>
      </c>
      <c r="T340" t="s">
        <v>288</v>
      </c>
      <c r="U340" t="s">
        <v>317</v>
      </c>
      <c r="V340" t="s">
        <v>292</v>
      </c>
      <c r="W340" s="32">
        <f>IFERROR(VLOOKUP(TA[[#This Row],[Date]],Raw_Data[[Date]:[Sunset Time (POA&lt;20 W/m2)]],3,0),"")</f>
        <v>0.25833333333333336</v>
      </c>
      <c r="X340" s="32">
        <f>IFERROR(VLOOKUP(TA[[#This Row],[Date]],Raw_Data[[Date]:[Sunset Time (POA&lt;20 W/m2)]],3,0),"")</f>
        <v>0.25833333333333336</v>
      </c>
      <c r="Y340" s="26"/>
      <c r="Z340" s="26">
        <v>0.76041666666666663</v>
      </c>
      <c r="AA340" s="27">
        <f>IF(TA[[#This Row],[Work Start time on Fault]]="NA","",(TA[[#This Row],[Fault Acknowledgement Time ]]-TA[[#This Row],[Fault Time]])*24)</f>
        <v>0</v>
      </c>
      <c r="AB340" s="27">
        <f>(TA[[#This Row],[Work Start time on Fault]]-TA[[#This Row],[Fault Time]])*24</f>
        <v>-6.2000000000000011</v>
      </c>
      <c r="AC340" s="26">
        <f>(TA[[#This Row],[Work Completion time on fault]]-TA[[#This Row],[Fault Time]])*24</f>
        <v>12.049999999999997</v>
      </c>
      <c r="AD340" s="27">
        <f>IFERROR((TA[[#This Row],[Work Completion time on fault]]-TA[[#This Row],[Fault Time]])*24,"")</f>
        <v>12.049999999999997</v>
      </c>
      <c r="AE340" t="s">
        <v>300</v>
      </c>
      <c r="AF340" t="s">
        <v>247</v>
      </c>
      <c r="AG340" s="2"/>
      <c r="AH340" s="35">
        <f>1-COS(RADIANS(TA[[#This Row],[Avg. Target Angle during Fault Time (Radians)]]-TA[[#This Row],[Angle of affected equipment ]]))</f>
        <v>0.11705240714107301</v>
      </c>
      <c r="AI340" s="27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43">
        <f t="shared" si="17"/>
        <v>2026</v>
      </c>
      <c r="C341" s="116">
        <f t="shared" si="18"/>
        <v>2025</v>
      </c>
      <c r="D341" s="2" t="s">
        <v>155</v>
      </c>
      <c r="E341" s="2" t="s">
        <v>155</v>
      </c>
      <c r="F341" s="30">
        <v>45748</v>
      </c>
      <c r="G341" s="2">
        <f>DAY(EOMONTH(TA[[#This Row],[Month Year]],0))</f>
        <v>30</v>
      </c>
      <c r="H341" s="21">
        <v>45767</v>
      </c>
      <c r="I341" s="32">
        <f>IFERROR(VLOOKUP(TA[[#This Row],[Date]],Raw_Data[[Date]:[Sunset Time (POA&lt;20 W/m2)]],3,0),"")</f>
        <v>0.25833333333333336</v>
      </c>
      <c r="J341" s="32">
        <f>IFERROR(VLOOKUP(TA[[#This Row],[Date]],Raw_Data[[Date]:[Sunset Time (POA&lt;20 W/m2)]],4,0),"")</f>
        <v>0.76875000000000004</v>
      </c>
      <c r="K341" s="27">
        <f>IFERROR((TA[[#This Row],[Sunset Time (POA&lt;20 W/m2)]]-TA[[#This Row],[Sunrise Time (POA&gt;20 W/m2)]])*24,"")</f>
        <v>12.250000000000002</v>
      </c>
      <c r="L341" s="2" t="s">
        <v>303</v>
      </c>
      <c r="M341" s="33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321</v>
      </c>
      <c r="Q341" s="2" t="s">
        <v>314</v>
      </c>
      <c r="R341">
        <v>27</v>
      </c>
      <c r="S341" s="2">
        <v>42</v>
      </c>
      <c r="T341" t="s">
        <v>288</v>
      </c>
      <c r="U341" t="s">
        <v>317</v>
      </c>
      <c r="V341" t="s">
        <v>292</v>
      </c>
      <c r="W341" s="32">
        <f>IFERROR(VLOOKUP(TA[[#This Row],[Date]],Raw_Data[[Date]:[Sunset Time (POA&lt;20 W/m2)]],3,0),"")</f>
        <v>0.25833333333333336</v>
      </c>
      <c r="X341" s="32">
        <f>IFERROR(VLOOKUP(TA[[#This Row],[Date]],Raw_Data[[Date]:[Sunset Time (POA&lt;20 W/m2)]],3,0),"")</f>
        <v>0.25833333333333336</v>
      </c>
      <c r="Y341" s="26"/>
      <c r="Z341" s="26">
        <v>0.76041666666666663</v>
      </c>
      <c r="AA341" s="27">
        <f>IF(TA[[#This Row],[Work Start time on Fault]]="NA","",(TA[[#This Row],[Fault Acknowledgement Time ]]-TA[[#This Row],[Fault Time]])*24)</f>
        <v>0</v>
      </c>
      <c r="AB341" s="27">
        <f>(TA[[#This Row],[Work Start time on Fault]]-TA[[#This Row],[Fault Time]])*24</f>
        <v>-6.2000000000000011</v>
      </c>
      <c r="AC341" s="26">
        <f>(TA[[#This Row],[Work Completion time on fault]]-TA[[#This Row],[Fault Time]])*24</f>
        <v>12.049999999999997</v>
      </c>
      <c r="AD341" s="27">
        <f>IFERROR((TA[[#This Row],[Work Completion time on fault]]-TA[[#This Row],[Fault Time]])*24,"")</f>
        <v>12.049999999999997</v>
      </c>
      <c r="AE341" t="s">
        <v>300</v>
      </c>
      <c r="AF341" t="s">
        <v>247</v>
      </c>
      <c r="AG341" s="2"/>
      <c r="AH341" s="35">
        <f>1-COS(RADIANS(TA[[#This Row],[Avg. Target Angle during Fault Time (Radians)]]-TA[[#This Row],[Angle of affected equipment ]]))</f>
        <v>0.11705240714107301</v>
      </c>
      <c r="AI341" s="27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43">
        <f t="shared" si="17"/>
        <v>2026</v>
      </c>
      <c r="C342" s="116">
        <f t="shared" si="18"/>
        <v>2025</v>
      </c>
      <c r="D342" s="2" t="s">
        <v>155</v>
      </c>
      <c r="E342" s="2" t="s">
        <v>155</v>
      </c>
      <c r="F342" s="30">
        <v>45748</v>
      </c>
      <c r="G342" s="2">
        <f>DAY(EOMONTH(TA[[#This Row],[Month Year]],0))</f>
        <v>30</v>
      </c>
      <c r="H342" s="21">
        <v>45768</v>
      </c>
      <c r="I342" s="32">
        <f>IFERROR(VLOOKUP(TA[[#This Row],[Date]],Raw_Data[[Date]:[Sunset Time (POA&lt;20 W/m2)]],3,0),"")</f>
        <v>0.25555555555555554</v>
      </c>
      <c r="J342" s="32">
        <f>IFERROR(VLOOKUP(TA[[#This Row],[Date]],Raw_Data[[Date]:[Sunset Time (POA&lt;20 W/m2)]],4,0),"")</f>
        <v>0.75694444444444442</v>
      </c>
      <c r="K342" s="27">
        <f>IFERROR((TA[[#This Row],[Sunset Time (POA&lt;20 W/m2)]]-TA[[#This Row],[Sunrise Time (POA&gt;20 W/m2)]])*24,"")</f>
        <v>12.033333333333333</v>
      </c>
      <c r="L342" s="2" t="s">
        <v>285</v>
      </c>
      <c r="M342" s="33">
        <f>IFERROR(VLOOKUP(TA[[#This Row],[Affected Equipment]],'Basic Data'!$I$2:$K$40,3,0),"")</f>
        <v>1.7241379310344799E-3</v>
      </c>
      <c r="N342">
        <v>-28</v>
      </c>
      <c r="O342" t="s">
        <v>135</v>
      </c>
      <c r="P342" s="114" t="s">
        <v>309</v>
      </c>
      <c r="Q342" s="113" t="s">
        <v>309</v>
      </c>
      <c r="R342">
        <v>130</v>
      </c>
      <c r="S342" s="2">
        <v>37</v>
      </c>
      <c r="T342" t="s">
        <v>286</v>
      </c>
      <c r="U342" t="s">
        <v>291</v>
      </c>
      <c r="V342" t="s">
        <v>289</v>
      </c>
      <c r="W342" s="32"/>
      <c r="X342" s="32"/>
      <c r="Y342" s="26"/>
      <c r="Z342" s="26"/>
      <c r="AA342" s="27">
        <f>IF(TA[[#This Row],[Work Start time on Fault]]="NA","",(TA[[#This Row],[Fault Acknowledgement Time ]]-TA[[#This Row],[Fault Time]])*24)</f>
        <v>0</v>
      </c>
      <c r="AB342" s="27">
        <f>(TA[[#This Row],[Work Start time on Fault]]-TA[[#This Row],[Fault Time]])*24</f>
        <v>0</v>
      </c>
      <c r="AC342" s="26">
        <f>(TA[[#This Row],[Work Completion time on fault]]-TA[[#This Row],[Fault Time]])*24</f>
        <v>0</v>
      </c>
      <c r="AD342" s="27">
        <f>IFERROR((TA[[#This Row],[Work Completion time on fault]]-TA[[#This Row],[Fault Time]])*24,"")</f>
        <v>0</v>
      </c>
      <c r="AE342" t="s">
        <v>319</v>
      </c>
      <c r="AF342" t="s">
        <v>247</v>
      </c>
      <c r="AG342" s="2"/>
      <c r="AH342" s="35">
        <f>1-COS(RADIANS(TA[[#This Row],[Avg. Target Angle during Fault Time (Radians)]]-TA[[#This Row],[Angle of affected equipment ]]))</f>
        <v>0.11705240714107301</v>
      </c>
      <c r="AI342" s="27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43">
        <f t="shared" si="17"/>
        <v>2026</v>
      </c>
      <c r="C343" s="116">
        <f t="shared" si="18"/>
        <v>2025</v>
      </c>
      <c r="D343" s="2" t="s">
        <v>155</v>
      </c>
      <c r="E343" s="2" t="s">
        <v>155</v>
      </c>
      <c r="F343" s="30">
        <v>45748</v>
      </c>
      <c r="G343" s="2">
        <f>DAY(EOMONTH(TA[[#This Row],[Month Year]],0))</f>
        <v>30</v>
      </c>
      <c r="H343" s="21">
        <v>45768</v>
      </c>
      <c r="I343" s="32">
        <f>IFERROR(VLOOKUP(TA[[#This Row],[Date]],Raw_Data[[Date]:[Sunset Time (POA&lt;20 W/m2)]],3,0),"")</f>
        <v>0.25555555555555554</v>
      </c>
      <c r="J343" s="32">
        <f>IFERROR(VLOOKUP(TA[[#This Row],[Date]],Raw_Data[[Date]:[Sunset Time (POA&lt;20 W/m2)]],4,0),"")</f>
        <v>0.75694444444444442</v>
      </c>
      <c r="K343" s="27">
        <f>IFERROR((TA[[#This Row],[Sunset Time (POA&lt;20 W/m2)]]-TA[[#This Row],[Sunrise Time (POA&gt;20 W/m2)]])*24,"")</f>
        <v>12.033333333333333</v>
      </c>
      <c r="L343" s="2" t="s">
        <v>285</v>
      </c>
      <c r="M343" s="33">
        <f>IFERROR(VLOOKUP(TA[[#This Row],[Affected Equipment]],'Basic Data'!$I$2:$K$40,3,0),"")</f>
        <v>1.7241379310344799E-3</v>
      </c>
      <c r="N343">
        <v>-28</v>
      </c>
      <c r="O343" t="s">
        <v>135</v>
      </c>
      <c r="P343" s="114" t="s">
        <v>309</v>
      </c>
      <c r="Q343" s="113" t="s">
        <v>309</v>
      </c>
      <c r="R343">
        <v>131</v>
      </c>
      <c r="S343" s="2">
        <v>38</v>
      </c>
      <c r="T343" t="s">
        <v>286</v>
      </c>
      <c r="U343" t="s">
        <v>291</v>
      </c>
      <c r="V343" t="s">
        <v>289</v>
      </c>
      <c r="W343" s="32"/>
      <c r="X343" s="32"/>
      <c r="Y343" s="26"/>
      <c r="Z343" s="26"/>
      <c r="AA343" s="27">
        <f>IF(TA[[#This Row],[Work Start time on Fault]]="NA","",(TA[[#This Row],[Fault Acknowledgement Time ]]-TA[[#This Row],[Fault Time]])*24)</f>
        <v>0</v>
      </c>
      <c r="AB343" s="27">
        <f>(TA[[#This Row],[Work Start time on Fault]]-TA[[#This Row],[Fault Time]])*24</f>
        <v>0</v>
      </c>
      <c r="AC343" s="26">
        <f>(TA[[#This Row],[Work Completion time on fault]]-TA[[#This Row],[Fault Time]])*24</f>
        <v>0</v>
      </c>
      <c r="AD343" s="27">
        <f>IFERROR((TA[[#This Row],[Work Completion time on fault]]-TA[[#This Row],[Fault Time]])*24,"")</f>
        <v>0</v>
      </c>
      <c r="AE343" t="s">
        <v>319</v>
      </c>
      <c r="AF343" t="s">
        <v>247</v>
      </c>
      <c r="AG343" s="2"/>
      <c r="AH343" s="35">
        <f>1-COS(RADIANS(TA[[#This Row],[Avg. Target Angle during Fault Time (Radians)]]-TA[[#This Row],[Angle of affected equipment ]]))</f>
        <v>0.11705240714107301</v>
      </c>
      <c r="AI343" s="27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43">
        <f t="shared" si="17"/>
        <v>2026</v>
      </c>
      <c r="C344" s="116">
        <f t="shared" si="18"/>
        <v>2025</v>
      </c>
      <c r="D344" s="2" t="s">
        <v>155</v>
      </c>
      <c r="E344" s="2" t="s">
        <v>155</v>
      </c>
      <c r="F344" s="30">
        <v>45748</v>
      </c>
      <c r="G344" s="2">
        <f>DAY(EOMONTH(TA[[#This Row],[Month Year]],0))</f>
        <v>30</v>
      </c>
      <c r="H344" s="21">
        <v>45768</v>
      </c>
      <c r="I344" s="32">
        <f>IFERROR(VLOOKUP(TA[[#This Row],[Date]],Raw_Data[[Date]:[Sunset Time (POA&lt;20 W/m2)]],3,0),"")</f>
        <v>0.25555555555555554</v>
      </c>
      <c r="J344" s="32">
        <f>IFERROR(VLOOKUP(TA[[#This Row],[Date]],Raw_Data[[Date]:[Sunset Time (POA&lt;20 W/m2)]],4,0),"")</f>
        <v>0.75694444444444442</v>
      </c>
      <c r="K344" s="27">
        <f>IFERROR((TA[[#This Row],[Sunset Time (POA&lt;20 W/m2)]]-TA[[#This Row],[Sunrise Time (POA&gt;20 W/m2)]])*24,"")</f>
        <v>12.033333333333333</v>
      </c>
      <c r="L344" s="2" t="s">
        <v>285</v>
      </c>
      <c r="M344" s="33">
        <f>IFERROR(VLOOKUP(TA[[#This Row],[Affected Equipment]],'Basic Data'!$I$2:$K$40,3,0),"")</f>
        <v>1.7241379310344799E-3</v>
      </c>
      <c r="N344">
        <v>-28</v>
      </c>
      <c r="O344" t="s">
        <v>135</v>
      </c>
      <c r="P344" s="114" t="s">
        <v>309</v>
      </c>
      <c r="Q344" s="113" t="s">
        <v>309</v>
      </c>
      <c r="R344">
        <v>131</v>
      </c>
      <c r="S344" s="2">
        <v>39</v>
      </c>
      <c r="T344" t="s">
        <v>286</v>
      </c>
      <c r="U344" t="s">
        <v>291</v>
      </c>
      <c r="V344" t="s">
        <v>289</v>
      </c>
      <c r="W344" s="32"/>
      <c r="X344" s="32"/>
      <c r="Y344" s="26"/>
      <c r="Z344" s="26"/>
      <c r="AA344" s="27">
        <f>IF(TA[[#This Row],[Work Start time on Fault]]="NA","",(TA[[#This Row],[Fault Acknowledgement Time ]]-TA[[#This Row],[Fault Time]])*24)</f>
        <v>0</v>
      </c>
      <c r="AB344" s="27">
        <f>(TA[[#This Row],[Work Start time on Fault]]-TA[[#This Row],[Fault Time]])*24</f>
        <v>0</v>
      </c>
      <c r="AC344" s="26">
        <f>(TA[[#This Row],[Work Completion time on fault]]-TA[[#This Row],[Fault Time]])*24</f>
        <v>0</v>
      </c>
      <c r="AD344" s="27">
        <f>IFERROR((TA[[#This Row],[Work Completion time on fault]]-TA[[#This Row],[Fault Time]])*24,"")</f>
        <v>0</v>
      </c>
      <c r="AE344" t="s">
        <v>319</v>
      </c>
      <c r="AF344" t="s">
        <v>247</v>
      </c>
      <c r="AG344" s="2"/>
      <c r="AH344" s="35">
        <f>1-COS(RADIANS(TA[[#This Row],[Avg. Target Angle during Fault Time (Radians)]]-TA[[#This Row],[Angle of affected equipment ]]))</f>
        <v>0.11705240714107301</v>
      </c>
      <c r="AI344" s="27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43">
        <f t="shared" si="17"/>
        <v>2026</v>
      </c>
      <c r="C345" s="116">
        <f t="shared" si="18"/>
        <v>2025</v>
      </c>
      <c r="D345" s="2" t="s">
        <v>155</v>
      </c>
      <c r="E345" s="2" t="s">
        <v>155</v>
      </c>
      <c r="F345" s="30">
        <v>45748</v>
      </c>
      <c r="G345" s="2">
        <f>DAY(EOMONTH(TA[[#This Row],[Month Year]],0))</f>
        <v>30</v>
      </c>
      <c r="H345" s="21">
        <v>45768</v>
      </c>
      <c r="I345" s="32">
        <f>IFERROR(VLOOKUP(TA[[#This Row],[Date]],Raw_Data[[Date]:[Sunset Time (POA&lt;20 W/m2)]],3,0),"")</f>
        <v>0.25555555555555554</v>
      </c>
      <c r="J345" s="32">
        <f>IFERROR(VLOOKUP(TA[[#This Row],[Date]],Raw_Data[[Date]:[Sunset Time (POA&lt;20 W/m2)]],4,0),"")</f>
        <v>0.75694444444444442</v>
      </c>
      <c r="K345" s="27">
        <f>IFERROR((TA[[#This Row],[Sunset Time (POA&lt;20 W/m2)]]-TA[[#This Row],[Sunrise Time (POA&gt;20 W/m2)]])*24,"")</f>
        <v>12.033333333333333</v>
      </c>
      <c r="L345" s="2" t="s">
        <v>287</v>
      </c>
      <c r="M345" s="33">
        <f>IFERROR(VLOOKUP(TA[[#This Row],[Affected Equipment]],'Basic Data'!$I$2:$K$40,3,0),"")</f>
        <v>8.6206896551724102E-3</v>
      </c>
      <c r="N345">
        <v>-28</v>
      </c>
      <c r="O345" t="s">
        <v>135</v>
      </c>
      <c r="P345" s="114" t="s">
        <v>309</v>
      </c>
      <c r="Q345" s="2" t="s">
        <v>312</v>
      </c>
      <c r="R345">
        <v>133</v>
      </c>
      <c r="S345" s="2">
        <v>26</v>
      </c>
      <c r="T345" t="s">
        <v>288</v>
      </c>
      <c r="U345" t="s">
        <v>291</v>
      </c>
      <c r="V345" t="s">
        <v>305</v>
      </c>
      <c r="W345" s="32">
        <f>IFERROR(VLOOKUP(TA[[#This Row],[Date]],Raw_Data[[Date]:[Sunset Time (POA&lt;20 W/m2)]],3,0),"")</f>
        <v>0.25555555555555554</v>
      </c>
      <c r="X345" s="32">
        <f>IFERROR(VLOOKUP(TA[[#This Row],[Date]],Raw_Data[[Date]:[Sunset Time (POA&lt;20 W/m2)]],3,0),"")</f>
        <v>0.25555555555555554</v>
      </c>
      <c r="Y345" s="26"/>
      <c r="Z345" s="26">
        <v>0.76041666666666663</v>
      </c>
      <c r="AA345" s="27">
        <f>IF(TA[[#This Row],[Work Start time on Fault]]="NA","",(TA[[#This Row],[Fault Acknowledgement Time ]]-TA[[#This Row],[Fault Time]])*24)</f>
        <v>0</v>
      </c>
      <c r="AB345" s="27">
        <f>(TA[[#This Row],[Work Start time on Fault]]-TA[[#This Row],[Fault Time]])*24</f>
        <v>-6.1333333333333329</v>
      </c>
      <c r="AC345" s="26">
        <f>(TA[[#This Row],[Work Completion time on fault]]-TA[[#This Row],[Fault Time]])*24</f>
        <v>12.116666666666667</v>
      </c>
      <c r="AD345" s="27">
        <f>IFERROR((TA[[#This Row],[Work Completion time on fault]]-TA[[#This Row],[Fault Time]])*24,"")</f>
        <v>12.116666666666667</v>
      </c>
      <c r="AE345" t="s">
        <v>319</v>
      </c>
      <c r="AF345" t="s">
        <v>247</v>
      </c>
      <c r="AG345" s="2"/>
      <c r="AH345" s="35">
        <f>1-COS(RADIANS(TA[[#This Row],[Avg. Target Angle during Fault Time (Radians)]]-TA[[#This Row],[Angle of affected equipment ]]))</f>
        <v>0.11705240714107301</v>
      </c>
      <c r="AI345" s="27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43">
        <f t="shared" si="17"/>
        <v>2026</v>
      </c>
      <c r="C346" s="116">
        <f t="shared" si="18"/>
        <v>2025</v>
      </c>
      <c r="D346" s="2" t="s">
        <v>155</v>
      </c>
      <c r="E346" s="2" t="s">
        <v>155</v>
      </c>
      <c r="F346" s="30">
        <v>45748</v>
      </c>
      <c r="G346" s="2">
        <f>DAY(EOMONTH(TA[[#This Row],[Month Year]],0))</f>
        <v>30</v>
      </c>
      <c r="H346" s="21">
        <v>45768</v>
      </c>
      <c r="I346" s="32">
        <f>IFERROR(VLOOKUP(TA[[#This Row],[Date]],Raw_Data[[Date]:[Sunset Time (POA&lt;20 W/m2)]],3,0),"")</f>
        <v>0.25555555555555554</v>
      </c>
      <c r="J346" s="32">
        <f>IFERROR(VLOOKUP(TA[[#This Row],[Date]],Raw_Data[[Date]:[Sunset Time (POA&lt;20 W/m2)]],4,0),"")</f>
        <v>0.75694444444444442</v>
      </c>
      <c r="K346" s="27">
        <f>IFERROR((TA[[#This Row],[Sunset Time (POA&lt;20 W/m2)]]-TA[[#This Row],[Sunrise Time (POA&gt;20 W/m2)]])*24,"")</f>
        <v>12.033333333333333</v>
      </c>
      <c r="L346" s="2" t="s">
        <v>285</v>
      </c>
      <c r="M346" s="33">
        <f>IFERROR(VLOOKUP(TA[[#This Row],[Affected Equipment]],'Basic Data'!$I$2:$K$40,3,0),"")</f>
        <v>1.7241379310344799E-3</v>
      </c>
      <c r="N346">
        <v>-28</v>
      </c>
      <c r="O346" t="s">
        <v>133</v>
      </c>
      <c r="P346" s="114" t="s">
        <v>307</v>
      </c>
      <c r="Q346" s="113" t="s">
        <v>308</v>
      </c>
      <c r="R346">
        <v>7</v>
      </c>
      <c r="S346" s="2">
        <v>32</v>
      </c>
      <c r="T346" t="s">
        <v>286</v>
      </c>
      <c r="U346" t="s">
        <v>291</v>
      </c>
      <c r="V346" t="s">
        <v>289</v>
      </c>
      <c r="W346" s="32"/>
      <c r="X346" s="32"/>
      <c r="Y346" s="26"/>
      <c r="Z346" s="26"/>
      <c r="AA346" s="27">
        <f>IF(TA[[#This Row],[Work Start time on Fault]]="NA","",(TA[[#This Row],[Fault Acknowledgement Time ]]-TA[[#This Row],[Fault Time]])*24)</f>
        <v>0</v>
      </c>
      <c r="AB346" s="27">
        <f>(TA[[#This Row],[Work Start time on Fault]]-TA[[#This Row],[Fault Time]])*24</f>
        <v>0</v>
      </c>
      <c r="AC346" s="26">
        <f>(TA[[#This Row],[Work Completion time on fault]]-TA[[#This Row],[Fault Time]])*24</f>
        <v>0</v>
      </c>
      <c r="AD346" s="27">
        <f>IFERROR((TA[[#This Row],[Work Completion time on fault]]-TA[[#This Row],[Fault Time]])*24,"")</f>
        <v>0</v>
      </c>
      <c r="AE346" t="s">
        <v>319</v>
      </c>
      <c r="AF346" t="s">
        <v>247</v>
      </c>
      <c r="AG346" s="2"/>
      <c r="AH346" s="35">
        <f>1-COS(RADIANS(TA[[#This Row],[Avg. Target Angle during Fault Time (Radians)]]-TA[[#This Row],[Angle of affected equipment ]]))</f>
        <v>0.11705240714107301</v>
      </c>
      <c r="AI346" s="27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43">
        <f t="shared" si="17"/>
        <v>2026</v>
      </c>
      <c r="C347" s="116">
        <f t="shared" si="18"/>
        <v>2025</v>
      </c>
      <c r="D347" s="2" t="s">
        <v>155</v>
      </c>
      <c r="E347" s="2" t="s">
        <v>155</v>
      </c>
      <c r="F347" s="30">
        <v>45748</v>
      </c>
      <c r="G347" s="2">
        <f>DAY(EOMONTH(TA[[#This Row],[Month Year]],0))</f>
        <v>30</v>
      </c>
      <c r="H347" s="21">
        <v>45768</v>
      </c>
      <c r="I347" s="32">
        <f>IFERROR(VLOOKUP(TA[[#This Row],[Date]],Raw_Data[[Date]:[Sunset Time (POA&lt;20 W/m2)]],3,0),"")</f>
        <v>0.25555555555555554</v>
      </c>
      <c r="J347" s="32">
        <f>IFERROR(VLOOKUP(TA[[#This Row],[Date]],Raw_Data[[Date]:[Sunset Time (POA&lt;20 W/m2)]],4,0),"")</f>
        <v>0.75694444444444442</v>
      </c>
      <c r="K347" s="27">
        <f>IFERROR((TA[[#This Row],[Sunset Time (POA&lt;20 W/m2)]]-TA[[#This Row],[Sunrise Time (POA&gt;20 W/m2)]])*24,"")</f>
        <v>12.033333333333333</v>
      </c>
      <c r="L347" s="2" t="s">
        <v>285</v>
      </c>
      <c r="M347" s="33">
        <f>IFERROR(VLOOKUP(TA[[#This Row],[Affected Equipment]],'Basic Data'!$I$2:$K$40,3,0),"")</f>
        <v>1.7241379310344799E-3</v>
      </c>
      <c r="N347">
        <v>-28</v>
      </c>
      <c r="O347" t="s">
        <v>137</v>
      </c>
      <c r="P347" s="114" t="s">
        <v>306</v>
      </c>
      <c r="Q347" s="113" t="s">
        <v>310</v>
      </c>
      <c r="R347">
        <v>166</v>
      </c>
      <c r="S347" s="2">
        <v>91</v>
      </c>
      <c r="T347" t="s">
        <v>286</v>
      </c>
      <c r="U347" t="s">
        <v>291</v>
      </c>
      <c r="V347" t="s">
        <v>289</v>
      </c>
      <c r="W347" s="32"/>
      <c r="X347" s="32"/>
      <c r="Y347" s="26"/>
      <c r="Z347" s="26"/>
      <c r="AA347" s="27">
        <f>IF(TA[[#This Row],[Work Start time on Fault]]="NA","",(TA[[#This Row],[Fault Acknowledgement Time ]]-TA[[#This Row],[Fault Time]])*24)</f>
        <v>0</v>
      </c>
      <c r="AB347" s="27">
        <f>(TA[[#This Row],[Work Start time on Fault]]-TA[[#This Row],[Fault Time]])*24</f>
        <v>0</v>
      </c>
      <c r="AC347" s="26">
        <f>(TA[[#This Row],[Work Completion time on fault]]-TA[[#This Row],[Fault Time]])*24</f>
        <v>0</v>
      </c>
      <c r="AD347" s="27">
        <f>IFERROR((TA[[#This Row],[Work Completion time on fault]]-TA[[#This Row],[Fault Time]])*24,"")</f>
        <v>0</v>
      </c>
      <c r="AE347" t="s">
        <v>319</v>
      </c>
      <c r="AF347" t="s">
        <v>247</v>
      </c>
      <c r="AG347" s="2"/>
      <c r="AH347" s="35">
        <f>1-COS(RADIANS(TA[[#This Row],[Avg. Target Angle during Fault Time (Radians)]]-TA[[#This Row],[Angle of affected equipment ]]))</f>
        <v>0.11705240714107301</v>
      </c>
      <c r="AI347" s="27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43">
        <f t="shared" si="17"/>
        <v>2026</v>
      </c>
      <c r="C348" s="116">
        <f t="shared" si="18"/>
        <v>2025</v>
      </c>
      <c r="D348" s="2" t="s">
        <v>155</v>
      </c>
      <c r="E348" s="2" t="s">
        <v>155</v>
      </c>
      <c r="F348" s="30">
        <v>45748</v>
      </c>
      <c r="G348" s="2">
        <f>DAY(EOMONTH(TA[[#This Row],[Month Year]],0))</f>
        <v>30</v>
      </c>
      <c r="H348" s="21">
        <v>45768</v>
      </c>
      <c r="I348" s="32">
        <f>IFERROR(VLOOKUP(TA[[#This Row],[Date]],Raw_Data[[Date]:[Sunset Time (POA&lt;20 W/m2)]],3,0),"")</f>
        <v>0.25555555555555554</v>
      </c>
      <c r="J348" s="32">
        <f>IFERROR(VLOOKUP(TA[[#This Row],[Date]],Raw_Data[[Date]:[Sunset Time (POA&lt;20 W/m2)]],4,0),"")</f>
        <v>0.75694444444444442</v>
      </c>
      <c r="K348" s="27">
        <f>IFERROR((TA[[#This Row],[Sunset Time (POA&lt;20 W/m2)]]-TA[[#This Row],[Sunrise Time (POA&gt;20 W/m2)]])*24,"")</f>
        <v>12.033333333333333</v>
      </c>
      <c r="L348" s="2" t="s">
        <v>285</v>
      </c>
      <c r="M348" s="33">
        <f>IFERROR(VLOOKUP(TA[[#This Row],[Affected Equipment]],'Basic Data'!$I$2:$K$40,3,0),"")</f>
        <v>1.7241379310344799E-3</v>
      </c>
      <c r="N348">
        <v>-28</v>
      </c>
      <c r="O348" t="s">
        <v>133</v>
      </c>
      <c r="P348" s="114" t="s">
        <v>307</v>
      </c>
      <c r="Q348" s="113" t="s">
        <v>307</v>
      </c>
      <c r="R348">
        <v>117</v>
      </c>
      <c r="S348" s="2">
        <v>20</v>
      </c>
      <c r="T348" t="s">
        <v>286</v>
      </c>
      <c r="U348" t="s">
        <v>291</v>
      </c>
      <c r="V348" t="s">
        <v>289</v>
      </c>
      <c r="W348" s="32"/>
      <c r="X348" s="32"/>
      <c r="Y348" s="26"/>
      <c r="Z348" s="26"/>
      <c r="AA348" s="27">
        <f>IF(TA[[#This Row],[Work Start time on Fault]]="NA","",(TA[[#This Row],[Fault Acknowledgement Time ]]-TA[[#This Row],[Fault Time]])*24)</f>
        <v>0</v>
      </c>
      <c r="AB348" s="27">
        <f>(TA[[#This Row],[Work Start time on Fault]]-TA[[#This Row],[Fault Time]])*24</f>
        <v>0</v>
      </c>
      <c r="AC348" s="26">
        <f>(TA[[#This Row],[Work Completion time on fault]]-TA[[#This Row],[Fault Time]])*24</f>
        <v>0</v>
      </c>
      <c r="AD348" s="27">
        <f>IFERROR((TA[[#This Row],[Work Completion time on fault]]-TA[[#This Row],[Fault Time]])*24,"")</f>
        <v>0</v>
      </c>
      <c r="AE348" t="s">
        <v>319</v>
      </c>
      <c r="AF348" t="s">
        <v>247</v>
      </c>
      <c r="AG348" s="2"/>
      <c r="AH348" s="35">
        <f>1-COS(RADIANS(TA[[#This Row],[Avg. Target Angle during Fault Time (Radians)]]-TA[[#This Row],[Angle of affected equipment ]]))</f>
        <v>0.11705240714107301</v>
      </c>
      <c r="AI348" s="27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43">
        <f t="shared" si="17"/>
        <v>2026</v>
      </c>
      <c r="C349" s="116">
        <f t="shared" si="18"/>
        <v>2025</v>
      </c>
      <c r="D349" s="2" t="s">
        <v>155</v>
      </c>
      <c r="E349" s="2" t="s">
        <v>155</v>
      </c>
      <c r="F349" s="30">
        <v>45748</v>
      </c>
      <c r="G349" s="2">
        <f>DAY(EOMONTH(TA[[#This Row],[Month Year]],0))</f>
        <v>30</v>
      </c>
      <c r="H349" s="21">
        <v>45768</v>
      </c>
      <c r="I349" s="32">
        <f>IFERROR(VLOOKUP(TA[[#This Row],[Date]],Raw_Data[[Date]:[Sunset Time (POA&lt;20 W/m2)]],3,0),"")</f>
        <v>0.25555555555555554</v>
      </c>
      <c r="J349" s="32">
        <f>IFERROR(VLOOKUP(TA[[#This Row],[Date]],Raw_Data[[Date]:[Sunset Time (POA&lt;20 W/m2)]],4,0),"")</f>
        <v>0.75694444444444442</v>
      </c>
      <c r="K349" s="27">
        <f>IFERROR((TA[[#This Row],[Sunset Time (POA&lt;20 W/m2)]]-TA[[#This Row],[Sunrise Time (POA&gt;20 W/m2)]])*24,"")</f>
        <v>12.033333333333333</v>
      </c>
      <c r="L349" s="2" t="s">
        <v>285</v>
      </c>
      <c r="M349" s="33">
        <f>IFERROR(VLOOKUP(TA[[#This Row],[Affected Equipment]],'Basic Data'!$I$2:$K$40,3,0),"")</f>
        <v>1.7241379310344799E-3</v>
      </c>
      <c r="N349">
        <v>-28</v>
      </c>
      <c r="O349" t="s">
        <v>133</v>
      </c>
      <c r="P349" s="114" t="s">
        <v>307</v>
      </c>
      <c r="Q349" s="113" t="s">
        <v>307</v>
      </c>
      <c r="R349">
        <v>118</v>
      </c>
      <c r="S349" s="2">
        <v>22</v>
      </c>
      <c r="T349" t="s">
        <v>286</v>
      </c>
      <c r="U349" t="s">
        <v>291</v>
      </c>
      <c r="V349" t="s">
        <v>289</v>
      </c>
      <c r="W349" s="32"/>
      <c r="X349" s="32"/>
      <c r="Y349" s="26"/>
      <c r="Z349" s="26"/>
      <c r="AA349" s="27">
        <f>IF(TA[[#This Row],[Work Start time on Fault]]="NA","",(TA[[#This Row],[Fault Acknowledgement Time ]]-TA[[#This Row],[Fault Time]])*24)</f>
        <v>0</v>
      </c>
      <c r="AB349" s="27">
        <f>(TA[[#This Row],[Work Start time on Fault]]-TA[[#This Row],[Fault Time]])*24</f>
        <v>0</v>
      </c>
      <c r="AC349" s="26">
        <f>(TA[[#This Row],[Work Completion time on fault]]-TA[[#This Row],[Fault Time]])*24</f>
        <v>0</v>
      </c>
      <c r="AD349" s="27">
        <f>IFERROR((TA[[#This Row],[Work Completion time on fault]]-TA[[#This Row],[Fault Time]])*24,"")</f>
        <v>0</v>
      </c>
      <c r="AE349" t="s">
        <v>319</v>
      </c>
      <c r="AF349" t="s">
        <v>247</v>
      </c>
      <c r="AG349" s="2"/>
      <c r="AH349" s="35">
        <f>1-COS(RADIANS(TA[[#This Row],[Avg. Target Angle during Fault Time (Radians)]]-TA[[#This Row],[Angle of affected equipment ]]))</f>
        <v>0.11705240714107301</v>
      </c>
      <c r="AI349" s="27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43">
        <f t="shared" si="17"/>
        <v>2026</v>
      </c>
      <c r="C350" s="116">
        <f t="shared" si="18"/>
        <v>2025</v>
      </c>
      <c r="D350" s="2" t="s">
        <v>155</v>
      </c>
      <c r="E350" s="2" t="s">
        <v>155</v>
      </c>
      <c r="F350" s="30">
        <v>45748</v>
      </c>
      <c r="G350" s="2">
        <f>DAY(EOMONTH(TA[[#This Row],[Month Year]],0))</f>
        <v>30</v>
      </c>
      <c r="H350" s="21">
        <v>45768</v>
      </c>
      <c r="I350" s="32">
        <f>IFERROR(VLOOKUP(TA[[#This Row],[Date]],Raw_Data[[Date]:[Sunset Time (POA&lt;20 W/m2)]],3,0),"")</f>
        <v>0.25555555555555554</v>
      </c>
      <c r="J350" s="32">
        <f>IFERROR(VLOOKUP(TA[[#This Row],[Date]],Raw_Data[[Date]:[Sunset Time (POA&lt;20 W/m2)]],4,0),"")</f>
        <v>0.75694444444444442</v>
      </c>
      <c r="K350" s="27">
        <f>IFERROR((TA[[#This Row],[Sunset Time (POA&lt;20 W/m2)]]-TA[[#This Row],[Sunrise Time (POA&gt;20 W/m2)]])*24,"")</f>
        <v>12.033333333333333</v>
      </c>
      <c r="L350" s="2" t="s">
        <v>287</v>
      </c>
      <c r="M350" s="33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314</v>
      </c>
      <c r="Q350" s="2" t="s">
        <v>320</v>
      </c>
      <c r="R350">
        <v>45</v>
      </c>
      <c r="S350" s="2">
        <v>8</v>
      </c>
      <c r="T350" t="s">
        <v>288</v>
      </c>
      <c r="U350" t="s">
        <v>317</v>
      </c>
      <c r="V350" t="s">
        <v>292</v>
      </c>
      <c r="W350" s="32"/>
      <c r="X350" s="32"/>
      <c r="Y350" s="26"/>
      <c r="Z350" s="26"/>
      <c r="AA350" s="27">
        <f>IF(TA[[#This Row],[Work Start time on Fault]]="NA","",(TA[[#This Row],[Fault Acknowledgement Time ]]-TA[[#This Row],[Fault Time]])*24)</f>
        <v>0</v>
      </c>
      <c r="AB350" s="27">
        <f>(TA[[#This Row],[Work Start time on Fault]]-TA[[#This Row],[Fault Time]])*24</f>
        <v>0</v>
      </c>
      <c r="AC350" s="26">
        <f>(TA[[#This Row],[Work Completion time on fault]]-TA[[#This Row],[Fault Time]])*24</f>
        <v>0</v>
      </c>
      <c r="AD350" s="27">
        <f>IFERROR((TA[[#This Row],[Work Completion time on fault]]-TA[[#This Row],[Fault Time]])*24,"")</f>
        <v>0</v>
      </c>
      <c r="AE350" t="s">
        <v>319</v>
      </c>
      <c r="AF350" t="s">
        <v>247</v>
      </c>
      <c r="AG350" s="2"/>
      <c r="AH350" s="35">
        <f>1-COS(RADIANS(TA[[#This Row],[Avg. Target Angle during Fault Time (Radians)]]-TA[[#This Row],[Angle of affected equipment ]]))</f>
        <v>0.11705240714107301</v>
      </c>
      <c r="AI350" s="27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43">
        <f t="shared" si="17"/>
        <v>2026</v>
      </c>
      <c r="C351" s="116">
        <f t="shared" si="18"/>
        <v>2025</v>
      </c>
      <c r="D351" s="2" t="s">
        <v>155</v>
      </c>
      <c r="E351" s="2" t="s">
        <v>155</v>
      </c>
      <c r="F351" s="30">
        <v>45748</v>
      </c>
      <c r="G351" s="2">
        <f>DAY(EOMONTH(TA[[#This Row],[Month Year]],0))</f>
        <v>30</v>
      </c>
      <c r="H351" s="21">
        <v>45768</v>
      </c>
      <c r="I351" s="32">
        <f>IFERROR(VLOOKUP(TA[[#This Row],[Date]],Raw_Data[[Date]:[Sunset Time (POA&lt;20 W/m2)]],3,0),"")</f>
        <v>0.25555555555555554</v>
      </c>
      <c r="J351" s="32">
        <f>IFERROR(VLOOKUP(TA[[#This Row],[Date]],Raw_Data[[Date]:[Sunset Time (POA&lt;20 W/m2)]],4,0),"")</f>
        <v>0.75694444444444442</v>
      </c>
      <c r="K351" s="27">
        <f>IFERROR((TA[[#This Row],[Sunset Time (POA&lt;20 W/m2)]]-TA[[#This Row],[Sunrise Time (POA&gt;20 W/m2)]])*24,"")</f>
        <v>12.033333333333333</v>
      </c>
      <c r="L351" s="2" t="s">
        <v>287</v>
      </c>
      <c r="M351" s="33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314</v>
      </c>
      <c r="Q351" s="2" t="s">
        <v>320</v>
      </c>
      <c r="R351">
        <v>47</v>
      </c>
      <c r="S351" s="2">
        <v>18</v>
      </c>
      <c r="T351" t="s">
        <v>288</v>
      </c>
      <c r="U351" t="s">
        <v>317</v>
      </c>
      <c r="V351" t="s">
        <v>292</v>
      </c>
      <c r="W351" s="32"/>
      <c r="X351" s="32"/>
      <c r="Y351" s="26"/>
      <c r="Z351" s="26"/>
      <c r="AA351" s="27">
        <f>IF(TA[[#This Row],[Work Start time on Fault]]="NA","",(TA[[#This Row],[Fault Acknowledgement Time ]]-TA[[#This Row],[Fault Time]])*24)</f>
        <v>0</v>
      </c>
      <c r="AB351" s="27">
        <f>(TA[[#This Row],[Work Start time on Fault]]-TA[[#This Row],[Fault Time]])*24</f>
        <v>0</v>
      </c>
      <c r="AC351" s="26">
        <f>(TA[[#This Row],[Work Completion time on fault]]-TA[[#This Row],[Fault Time]])*24</f>
        <v>0</v>
      </c>
      <c r="AD351" s="27">
        <f>IFERROR((TA[[#This Row],[Work Completion time on fault]]-TA[[#This Row],[Fault Time]])*24,"")</f>
        <v>0</v>
      </c>
      <c r="AE351" t="s">
        <v>319</v>
      </c>
      <c r="AF351" t="s">
        <v>247</v>
      </c>
      <c r="AG351" s="2"/>
      <c r="AH351" s="35">
        <f>1-COS(RADIANS(TA[[#This Row],[Avg. Target Angle during Fault Time (Radians)]]-TA[[#This Row],[Angle of affected equipment ]]))</f>
        <v>0.11705240714107301</v>
      </c>
      <c r="AI351" s="27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43">
        <f t="shared" si="17"/>
        <v>2026</v>
      </c>
      <c r="C352" s="116">
        <f t="shared" si="18"/>
        <v>2025</v>
      </c>
      <c r="D352" s="2" t="s">
        <v>155</v>
      </c>
      <c r="E352" s="2" t="s">
        <v>155</v>
      </c>
      <c r="F352" s="30">
        <v>45748</v>
      </c>
      <c r="G352" s="2">
        <f>DAY(EOMONTH(TA[[#This Row],[Month Year]],0))</f>
        <v>30</v>
      </c>
      <c r="H352" s="21">
        <v>45768</v>
      </c>
      <c r="I352" s="32">
        <f>IFERROR(VLOOKUP(TA[[#This Row],[Date]],Raw_Data[[Date]:[Sunset Time (POA&lt;20 W/m2)]],3,0),"")</f>
        <v>0.25555555555555554</v>
      </c>
      <c r="J352" s="32">
        <f>IFERROR(VLOOKUP(TA[[#This Row],[Date]],Raw_Data[[Date]:[Sunset Time (POA&lt;20 W/m2)]],4,0),"")</f>
        <v>0.75694444444444442</v>
      </c>
      <c r="K352" s="27">
        <f>IFERROR((TA[[#This Row],[Sunset Time (POA&lt;20 W/m2)]]-TA[[#This Row],[Sunrise Time (POA&gt;20 W/m2)]])*24,"")</f>
        <v>12.033333333333333</v>
      </c>
      <c r="L352" s="2" t="s">
        <v>287</v>
      </c>
      <c r="M352" s="33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321</v>
      </c>
      <c r="Q352" s="2" t="s">
        <v>314</v>
      </c>
      <c r="R352">
        <v>30</v>
      </c>
      <c r="S352" s="2">
        <v>57</v>
      </c>
      <c r="T352" t="s">
        <v>288</v>
      </c>
      <c r="U352" t="s">
        <v>317</v>
      </c>
      <c r="V352" t="s">
        <v>292</v>
      </c>
      <c r="W352" s="32"/>
      <c r="X352" s="32"/>
      <c r="Y352" s="26"/>
      <c r="Z352" s="26"/>
      <c r="AA352" s="27">
        <f>IF(TA[[#This Row],[Work Start time on Fault]]="NA","",(TA[[#This Row],[Fault Acknowledgement Time ]]-TA[[#This Row],[Fault Time]])*24)</f>
        <v>0</v>
      </c>
      <c r="AB352" s="27">
        <f>(TA[[#This Row],[Work Start time on Fault]]-TA[[#This Row],[Fault Time]])*24</f>
        <v>0</v>
      </c>
      <c r="AC352" s="26">
        <f>(TA[[#This Row],[Work Completion time on fault]]-TA[[#This Row],[Fault Time]])*24</f>
        <v>0</v>
      </c>
      <c r="AD352" s="27">
        <f>IFERROR((TA[[#This Row],[Work Completion time on fault]]-TA[[#This Row],[Fault Time]])*24,"")</f>
        <v>0</v>
      </c>
      <c r="AE352" t="s">
        <v>319</v>
      </c>
      <c r="AF352" t="s">
        <v>247</v>
      </c>
      <c r="AG352" s="2"/>
      <c r="AH352" s="35">
        <f>1-COS(RADIANS(TA[[#This Row],[Avg. Target Angle during Fault Time (Radians)]]-TA[[#This Row],[Angle of affected equipment ]]))</f>
        <v>0.11705240714107301</v>
      </c>
      <c r="AI352" s="27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43">
        <f t="shared" si="17"/>
        <v>2026</v>
      </c>
      <c r="C353" s="116">
        <f t="shared" si="18"/>
        <v>2025</v>
      </c>
      <c r="D353" s="2" t="s">
        <v>155</v>
      </c>
      <c r="E353" s="2" t="s">
        <v>155</v>
      </c>
      <c r="F353" s="30">
        <v>45748</v>
      </c>
      <c r="G353" s="2">
        <f>DAY(EOMONTH(TA[[#This Row],[Month Year]],0))</f>
        <v>30</v>
      </c>
      <c r="H353" s="21">
        <v>45768</v>
      </c>
      <c r="I353" s="32">
        <f>IFERROR(VLOOKUP(TA[[#This Row],[Date]],Raw_Data[[Date]:[Sunset Time (POA&lt;20 W/m2)]],3,0),"")</f>
        <v>0.25555555555555554</v>
      </c>
      <c r="J353" s="32">
        <f>IFERROR(VLOOKUP(TA[[#This Row],[Date]],Raw_Data[[Date]:[Sunset Time (POA&lt;20 W/m2)]],4,0),"")</f>
        <v>0.75694444444444442</v>
      </c>
      <c r="K353" s="27">
        <f>IFERROR((TA[[#This Row],[Sunset Time (POA&lt;20 W/m2)]]-TA[[#This Row],[Sunrise Time (POA&gt;20 W/m2)]])*24,"")</f>
        <v>12.033333333333333</v>
      </c>
      <c r="L353" s="2" t="s">
        <v>287</v>
      </c>
      <c r="M353" s="33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321</v>
      </c>
      <c r="Q353" s="2" t="s">
        <v>314</v>
      </c>
      <c r="R353">
        <v>31</v>
      </c>
      <c r="S353" s="2">
        <v>61</v>
      </c>
      <c r="T353" t="s">
        <v>288</v>
      </c>
      <c r="U353" t="s">
        <v>317</v>
      </c>
      <c r="V353" t="s">
        <v>292</v>
      </c>
      <c r="W353" s="32"/>
      <c r="X353" s="32"/>
      <c r="Y353" s="26"/>
      <c r="Z353" s="26"/>
      <c r="AA353" s="27">
        <f>IF(TA[[#This Row],[Work Start time on Fault]]="NA","",(TA[[#This Row],[Fault Acknowledgement Time ]]-TA[[#This Row],[Fault Time]])*24)</f>
        <v>0</v>
      </c>
      <c r="AB353" s="27">
        <f>(TA[[#This Row],[Work Start time on Fault]]-TA[[#This Row],[Fault Time]])*24</f>
        <v>0</v>
      </c>
      <c r="AC353" s="26">
        <f>(TA[[#This Row],[Work Completion time on fault]]-TA[[#This Row],[Fault Time]])*24</f>
        <v>0</v>
      </c>
      <c r="AD353" s="27">
        <f>IFERROR((TA[[#This Row],[Work Completion time on fault]]-TA[[#This Row],[Fault Time]])*24,"")</f>
        <v>0</v>
      </c>
      <c r="AE353" t="s">
        <v>319</v>
      </c>
      <c r="AF353" t="s">
        <v>247</v>
      </c>
      <c r="AG353" s="2"/>
      <c r="AH353" s="35">
        <f>1-COS(RADIANS(TA[[#This Row],[Avg. Target Angle during Fault Time (Radians)]]-TA[[#This Row],[Angle of affected equipment ]]))</f>
        <v>0.11705240714107301</v>
      </c>
      <c r="AI353" s="27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43">
        <f t="shared" si="17"/>
        <v>2026</v>
      </c>
      <c r="C354" s="116">
        <f t="shared" si="18"/>
        <v>2025</v>
      </c>
      <c r="D354" s="2" t="s">
        <v>155</v>
      </c>
      <c r="E354" s="2" t="s">
        <v>155</v>
      </c>
      <c r="F354" s="30">
        <v>45748</v>
      </c>
      <c r="G354" s="2">
        <f>DAY(EOMONTH(TA[[#This Row],[Month Year]],0))</f>
        <v>30</v>
      </c>
      <c r="H354" s="21">
        <v>45768</v>
      </c>
      <c r="I354" s="32">
        <f>IFERROR(VLOOKUP(TA[[#This Row],[Date]],Raw_Data[[Date]:[Sunset Time (POA&lt;20 W/m2)]],3,0),"")</f>
        <v>0.25555555555555554</v>
      </c>
      <c r="J354" s="32">
        <f>IFERROR(VLOOKUP(TA[[#This Row],[Date]],Raw_Data[[Date]:[Sunset Time (POA&lt;20 W/m2)]],4,0),"")</f>
        <v>0.75694444444444442</v>
      </c>
      <c r="K354" s="27">
        <f>IFERROR((TA[[#This Row],[Sunset Time (POA&lt;20 W/m2)]]-TA[[#This Row],[Sunrise Time (POA&gt;20 W/m2)]])*24,"")</f>
        <v>12.033333333333333</v>
      </c>
      <c r="L354" s="2" t="s">
        <v>303</v>
      </c>
      <c r="M354" s="33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321</v>
      </c>
      <c r="Q354" s="2" t="s">
        <v>314</v>
      </c>
      <c r="R354">
        <v>26</v>
      </c>
      <c r="S354" s="2">
        <v>37</v>
      </c>
      <c r="T354" t="s">
        <v>288</v>
      </c>
      <c r="U354" t="s">
        <v>317</v>
      </c>
      <c r="V354" t="s">
        <v>292</v>
      </c>
      <c r="W354" s="32"/>
      <c r="X354" s="32"/>
      <c r="Y354" s="26"/>
      <c r="Z354" s="26"/>
      <c r="AA354" s="27">
        <f>IF(TA[[#This Row],[Work Start time on Fault]]="NA","",(TA[[#This Row],[Fault Acknowledgement Time ]]-TA[[#This Row],[Fault Time]])*24)</f>
        <v>0</v>
      </c>
      <c r="AB354" s="27">
        <f>(TA[[#This Row],[Work Start time on Fault]]-TA[[#This Row],[Fault Time]])*24</f>
        <v>0</v>
      </c>
      <c r="AC354" s="26">
        <f>(TA[[#This Row],[Work Completion time on fault]]-TA[[#This Row],[Fault Time]])*24</f>
        <v>0</v>
      </c>
      <c r="AD354" s="27">
        <f>IFERROR((TA[[#This Row],[Work Completion time on fault]]-TA[[#This Row],[Fault Time]])*24,"")</f>
        <v>0</v>
      </c>
      <c r="AE354" t="s">
        <v>319</v>
      </c>
      <c r="AF354" t="s">
        <v>247</v>
      </c>
      <c r="AG354" s="2"/>
      <c r="AH354" s="35">
        <f>1-COS(RADIANS(TA[[#This Row],[Avg. Target Angle during Fault Time (Radians)]]-TA[[#This Row],[Angle of affected equipment ]]))</f>
        <v>0.11705240714107301</v>
      </c>
      <c r="AI354" s="27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43">
        <f t="shared" si="17"/>
        <v>2026</v>
      </c>
      <c r="C355" s="116">
        <f t="shared" si="18"/>
        <v>2025</v>
      </c>
      <c r="D355" s="2" t="s">
        <v>155</v>
      </c>
      <c r="E355" s="2" t="s">
        <v>155</v>
      </c>
      <c r="F355" s="30">
        <v>45748</v>
      </c>
      <c r="G355" s="2">
        <f>DAY(EOMONTH(TA[[#This Row],[Month Year]],0))</f>
        <v>30</v>
      </c>
      <c r="H355" s="21">
        <v>45768</v>
      </c>
      <c r="I355" s="32">
        <f>IFERROR(VLOOKUP(TA[[#This Row],[Date]],Raw_Data[[Date]:[Sunset Time (POA&lt;20 W/m2)]],3,0),"")</f>
        <v>0.25555555555555554</v>
      </c>
      <c r="J355" s="32">
        <f>IFERROR(VLOOKUP(TA[[#This Row],[Date]],Raw_Data[[Date]:[Sunset Time (POA&lt;20 W/m2)]],4,0),"")</f>
        <v>0.75694444444444442</v>
      </c>
      <c r="K355" s="27">
        <f>IFERROR((TA[[#This Row],[Sunset Time (POA&lt;20 W/m2)]]-TA[[#This Row],[Sunrise Time (POA&gt;20 W/m2)]])*24,"")</f>
        <v>12.033333333333333</v>
      </c>
      <c r="L355" s="2" t="s">
        <v>303</v>
      </c>
      <c r="M355" s="33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321</v>
      </c>
      <c r="Q355" s="2" t="s">
        <v>314</v>
      </c>
      <c r="R355">
        <v>27</v>
      </c>
      <c r="S355" s="2">
        <v>42</v>
      </c>
      <c r="T355" t="s">
        <v>288</v>
      </c>
      <c r="U355" t="s">
        <v>317</v>
      </c>
      <c r="V355" t="s">
        <v>292</v>
      </c>
      <c r="W355" s="32">
        <f>IFERROR(VLOOKUP(TA[[#This Row],[Date]],Raw_Data[[Date]:[Sunset Time (POA&lt;20 W/m2)]],3,0),"")</f>
        <v>0.25555555555555554</v>
      </c>
      <c r="X355" s="32">
        <f>IFERROR(VLOOKUP(TA[[#This Row],[Date]],Raw_Data[[Date]:[Sunset Time (POA&lt;20 W/m2)]],3,0),"")</f>
        <v>0.25555555555555554</v>
      </c>
      <c r="Y355" s="26"/>
      <c r="Z355" s="26">
        <v>0.76041666666666663</v>
      </c>
      <c r="AA355" s="27">
        <f>IF(TA[[#This Row],[Work Start time on Fault]]="NA","",(TA[[#This Row],[Fault Acknowledgement Time ]]-TA[[#This Row],[Fault Time]])*24)</f>
        <v>0</v>
      </c>
      <c r="AB355" s="27">
        <f>(TA[[#This Row],[Work Start time on Fault]]-TA[[#This Row],[Fault Time]])*24</f>
        <v>-6.1333333333333329</v>
      </c>
      <c r="AC355" s="26">
        <f>(TA[[#This Row],[Work Completion time on fault]]-TA[[#This Row],[Fault Time]])*24</f>
        <v>12.116666666666667</v>
      </c>
      <c r="AD355" s="27">
        <f>IFERROR((TA[[#This Row],[Work Completion time on fault]]-TA[[#This Row],[Fault Time]])*24,"")</f>
        <v>12.116666666666667</v>
      </c>
      <c r="AE355" t="s">
        <v>300</v>
      </c>
      <c r="AF355" t="s">
        <v>247</v>
      </c>
      <c r="AG355" s="2"/>
      <c r="AH355" s="35">
        <f>1-COS(RADIANS(TA[[#This Row],[Avg. Target Angle during Fault Time (Radians)]]-TA[[#This Row],[Angle of affected equipment ]]))</f>
        <v>0.11705240714107301</v>
      </c>
      <c r="AI355" s="27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43">
        <f t="shared" si="17"/>
        <v>2026</v>
      </c>
      <c r="C356" s="116">
        <f t="shared" si="18"/>
        <v>2025</v>
      </c>
      <c r="D356" s="2" t="s">
        <v>155</v>
      </c>
      <c r="E356" s="2" t="s">
        <v>155</v>
      </c>
      <c r="F356" s="30">
        <v>45748</v>
      </c>
      <c r="G356" s="2">
        <f>DAY(EOMONTH(TA[[#This Row],[Month Year]],0))</f>
        <v>30</v>
      </c>
      <c r="H356" s="21">
        <v>45769</v>
      </c>
      <c r="I356" s="32">
        <f>IFERROR(VLOOKUP(TA[[#This Row],[Date]],Raw_Data[[Date]:[Sunset Time (POA&lt;20 W/m2)]],3,0),"")</f>
        <v>0.2638888888888889</v>
      </c>
      <c r="J356" s="32">
        <f>IFERROR(VLOOKUP(TA[[#This Row],[Date]],Raw_Data[[Date]:[Sunset Time (POA&lt;20 W/m2)]],4,0),"")</f>
        <v>0.7680555555555556</v>
      </c>
      <c r="K356" s="27">
        <f>IFERROR((TA[[#This Row],[Sunset Time (POA&lt;20 W/m2)]]-TA[[#This Row],[Sunrise Time (POA&gt;20 W/m2)]])*24,"")</f>
        <v>12.1</v>
      </c>
      <c r="L356" s="2" t="s">
        <v>285</v>
      </c>
      <c r="M356" s="33">
        <f>IFERROR(VLOOKUP(TA[[#This Row],[Affected Equipment]],'Basic Data'!$I$2:$K$40,3,0),"")</f>
        <v>1.7241379310344799E-3</v>
      </c>
      <c r="N356">
        <v>-28</v>
      </c>
      <c r="O356" t="s">
        <v>135</v>
      </c>
      <c r="P356" s="114" t="s">
        <v>309</v>
      </c>
      <c r="Q356" s="113" t="s">
        <v>309</v>
      </c>
      <c r="R356">
        <v>130</v>
      </c>
      <c r="S356" s="2">
        <v>37</v>
      </c>
      <c r="T356" t="s">
        <v>286</v>
      </c>
      <c r="U356" t="s">
        <v>291</v>
      </c>
      <c r="V356" t="s">
        <v>289</v>
      </c>
      <c r="W356" s="32"/>
      <c r="X356" s="32"/>
      <c r="Y356" s="26"/>
      <c r="Z356" s="26"/>
      <c r="AA356" s="27">
        <f>IF(TA[[#This Row],[Work Start time on Fault]]="NA","",(TA[[#This Row],[Fault Acknowledgement Time ]]-TA[[#This Row],[Fault Time]])*24)</f>
        <v>0</v>
      </c>
      <c r="AB356" s="27">
        <f>(TA[[#This Row],[Work Start time on Fault]]-TA[[#This Row],[Fault Time]])*24</f>
        <v>0</v>
      </c>
      <c r="AC356" s="26">
        <f>(TA[[#This Row],[Work Completion time on fault]]-TA[[#This Row],[Fault Time]])*24</f>
        <v>0</v>
      </c>
      <c r="AD356" s="27">
        <f>IFERROR((TA[[#This Row],[Work Completion time on fault]]-TA[[#This Row],[Fault Time]])*24,"")</f>
        <v>0</v>
      </c>
      <c r="AE356" t="s">
        <v>319</v>
      </c>
      <c r="AF356" t="s">
        <v>247</v>
      </c>
      <c r="AG356" s="2"/>
      <c r="AH356" s="35">
        <f>1-COS(RADIANS(TA[[#This Row],[Avg. Target Angle during Fault Time (Radians)]]-TA[[#This Row],[Angle of affected equipment ]]))</f>
        <v>0.11705240714107301</v>
      </c>
      <c r="AI356" s="27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43">
        <f t="shared" si="17"/>
        <v>2026</v>
      </c>
      <c r="C357" s="116">
        <f t="shared" si="18"/>
        <v>2025</v>
      </c>
      <c r="D357" s="2" t="s">
        <v>155</v>
      </c>
      <c r="E357" s="2" t="s">
        <v>155</v>
      </c>
      <c r="F357" s="30">
        <v>45748</v>
      </c>
      <c r="G357" s="2">
        <f>DAY(EOMONTH(TA[[#This Row],[Month Year]],0))</f>
        <v>30</v>
      </c>
      <c r="H357" s="21">
        <v>45769</v>
      </c>
      <c r="I357" s="32">
        <f>IFERROR(VLOOKUP(TA[[#This Row],[Date]],Raw_Data[[Date]:[Sunset Time (POA&lt;20 W/m2)]],3,0),"")</f>
        <v>0.2638888888888889</v>
      </c>
      <c r="J357" s="32">
        <f>IFERROR(VLOOKUP(TA[[#This Row],[Date]],Raw_Data[[Date]:[Sunset Time (POA&lt;20 W/m2)]],4,0),"")</f>
        <v>0.7680555555555556</v>
      </c>
      <c r="K357" s="27">
        <f>IFERROR((TA[[#This Row],[Sunset Time (POA&lt;20 W/m2)]]-TA[[#This Row],[Sunrise Time (POA&gt;20 W/m2)]])*24,"")</f>
        <v>12.1</v>
      </c>
      <c r="L357" s="2" t="s">
        <v>285</v>
      </c>
      <c r="M357" s="33">
        <f>IFERROR(VLOOKUP(TA[[#This Row],[Affected Equipment]],'Basic Data'!$I$2:$K$40,3,0),"")</f>
        <v>1.7241379310344799E-3</v>
      </c>
      <c r="N357">
        <v>-28</v>
      </c>
      <c r="O357" t="s">
        <v>135</v>
      </c>
      <c r="P357" s="114" t="s">
        <v>309</v>
      </c>
      <c r="Q357" s="113" t="s">
        <v>309</v>
      </c>
      <c r="R357">
        <v>131</v>
      </c>
      <c r="S357" s="2">
        <v>38</v>
      </c>
      <c r="T357" t="s">
        <v>286</v>
      </c>
      <c r="U357" t="s">
        <v>291</v>
      </c>
      <c r="V357" t="s">
        <v>289</v>
      </c>
      <c r="W357" s="32"/>
      <c r="X357" s="32"/>
      <c r="Y357" s="26"/>
      <c r="Z357" s="26"/>
      <c r="AA357" s="27">
        <f>IF(TA[[#This Row],[Work Start time on Fault]]="NA","",(TA[[#This Row],[Fault Acknowledgement Time ]]-TA[[#This Row],[Fault Time]])*24)</f>
        <v>0</v>
      </c>
      <c r="AB357" s="27">
        <f>(TA[[#This Row],[Work Start time on Fault]]-TA[[#This Row],[Fault Time]])*24</f>
        <v>0</v>
      </c>
      <c r="AC357" s="26">
        <f>(TA[[#This Row],[Work Completion time on fault]]-TA[[#This Row],[Fault Time]])*24</f>
        <v>0</v>
      </c>
      <c r="AD357" s="27">
        <f>IFERROR((TA[[#This Row],[Work Completion time on fault]]-TA[[#This Row],[Fault Time]])*24,"")</f>
        <v>0</v>
      </c>
      <c r="AE357" t="s">
        <v>319</v>
      </c>
      <c r="AF357" t="s">
        <v>247</v>
      </c>
      <c r="AG357" s="2"/>
      <c r="AH357" s="35">
        <f>1-COS(RADIANS(TA[[#This Row],[Avg. Target Angle during Fault Time (Radians)]]-TA[[#This Row],[Angle of affected equipment ]]))</f>
        <v>0.11705240714107301</v>
      </c>
      <c r="AI357" s="27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43">
        <f t="shared" si="17"/>
        <v>2026</v>
      </c>
      <c r="C358" s="116">
        <f t="shared" si="18"/>
        <v>2025</v>
      </c>
      <c r="D358" s="2" t="s">
        <v>155</v>
      </c>
      <c r="E358" s="2" t="s">
        <v>155</v>
      </c>
      <c r="F358" s="30">
        <v>45748</v>
      </c>
      <c r="G358" s="2">
        <f>DAY(EOMONTH(TA[[#This Row],[Month Year]],0))</f>
        <v>30</v>
      </c>
      <c r="H358" s="21">
        <v>45769</v>
      </c>
      <c r="I358" s="32">
        <f>IFERROR(VLOOKUP(TA[[#This Row],[Date]],Raw_Data[[Date]:[Sunset Time (POA&lt;20 W/m2)]],3,0),"")</f>
        <v>0.2638888888888889</v>
      </c>
      <c r="J358" s="32">
        <f>IFERROR(VLOOKUP(TA[[#This Row],[Date]],Raw_Data[[Date]:[Sunset Time (POA&lt;20 W/m2)]],4,0),"")</f>
        <v>0.7680555555555556</v>
      </c>
      <c r="K358" s="27">
        <f>IFERROR((TA[[#This Row],[Sunset Time (POA&lt;20 W/m2)]]-TA[[#This Row],[Sunrise Time (POA&gt;20 W/m2)]])*24,"")</f>
        <v>12.1</v>
      </c>
      <c r="L358" s="2" t="s">
        <v>285</v>
      </c>
      <c r="M358" s="33">
        <f>IFERROR(VLOOKUP(TA[[#This Row],[Affected Equipment]],'Basic Data'!$I$2:$K$40,3,0),"")</f>
        <v>1.7241379310344799E-3</v>
      </c>
      <c r="N358">
        <v>-28</v>
      </c>
      <c r="O358" t="s">
        <v>135</v>
      </c>
      <c r="P358" s="114" t="s">
        <v>309</v>
      </c>
      <c r="Q358" s="113" t="s">
        <v>309</v>
      </c>
      <c r="R358">
        <v>131</v>
      </c>
      <c r="S358" s="2">
        <v>39</v>
      </c>
      <c r="T358" t="s">
        <v>286</v>
      </c>
      <c r="U358" t="s">
        <v>291</v>
      </c>
      <c r="V358" t="s">
        <v>289</v>
      </c>
      <c r="W358" s="32"/>
      <c r="X358" s="32"/>
      <c r="Y358" s="26"/>
      <c r="Z358" s="26"/>
      <c r="AA358" s="27">
        <f>IF(TA[[#This Row],[Work Start time on Fault]]="NA","",(TA[[#This Row],[Fault Acknowledgement Time ]]-TA[[#This Row],[Fault Time]])*24)</f>
        <v>0</v>
      </c>
      <c r="AB358" s="27">
        <f>(TA[[#This Row],[Work Start time on Fault]]-TA[[#This Row],[Fault Time]])*24</f>
        <v>0</v>
      </c>
      <c r="AC358" s="26">
        <f>(TA[[#This Row],[Work Completion time on fault]]-TA[[#This Row],[Fault Time]])*24</f>
        <v>0</v>
      </c>
      <c r="AD358" s="27">
        <f>IFERROR((TA[[#This Row],[Work Completion time on fault]]-TA[[#This Row],[Fault Time]])*24,"")</f>
        <v>0</v>
      </c>
      <c r="AE358" t="s">
        <v>319</v>
      </c>
      <c r="AF358" t="s">
        <v>247</v>
      </c>
      <c r="AG358" s="2"/>
      <c r="AH358" s="35">
        <f>1-COS(RADIANS(TA[[#This Row],[Avg. Target Angle during Fault Time (Radians)]]-TA[[#This Row],[Angle of affected equipment ]]))</f>
        <v>0.11705240714107301</v>
      </c>
      <c r="AI358" s="27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43">
        <f t="shared" si="17"/>
        <v>2026</v>
      </c>
      <c r="C359" s="116">
        <f t="shared" si="18"/>
        <v>2025</v>
      </c>
      <c r="D359" s="2" t="s">
        <v>155</v>
      </c>
      <c r="E359" s="2" t="s">
        <v>155</v>
      </c>
      <c r="F359" s="30">
        <v>45748</v>
      </c>
      <c r="G359" s="2">
        <f>DAY(EOMONTH(TA[[#This Row],[Month Year]],0))</f>
        <v>30</v>
      </c>
      <c r="H359" s="21">
        <v>45769</v>
      </c>
      <c r="I359" s="32">
        <f>IFERROR(VLOOKUP(TA[[#This Row],[Date]],Raw_Data[[Date]:[Sunset Time (POA&lt;20 W/m2)]],3,0),"")</f>
        <v>0.2638888888888889</v>
      </c>
      <c r="J359" s="32">
        <f>IFERROR(VLOOKUP(TA[[#This Row],[Date]],Raw_Data[[Date]:[Sunset Time (POA&lt;20 W/m2)]],4,0),"")</f>
        <v>0.7680555555555556</v>
      </c>
      <c r="K359" s="27">
        <f>IFERROR((TA[[#This Row],[Sunset Time (POA&lt;20 W/m2)]]-TA[[#This Row],[Sunrise Time (POA&gt;20 W/m2)]])*24,"")</f>
        <v>12.1</v>
      </c>
      <c r="L359" s="2" t="s">
        <v>287</v>
      </c>
      <c r="M359" s="33">
        <f>IFERROR(VLOOKUP(TA[[#This Row],[Affected Equipment]],'Basic Data'!$I$2:$K$40,3,0),"")</f>
        <v>8.6206896551724102E-3</v>
      </c>
      <c r="N359">
        <v>-28</v>
      </c>
      <c r="O359" t="s">
        <v>135</v>
      </c>
      <c r="P359" s="114" t="s">
        <v>309</v>
      </c>
      <c r="Q359" s="2" t="s">
        <v>312</v>
      </c>
      <c r="R359">
        <v>133</v>
      </c>
      <c r="S359" s="2">
        <v>26</v>
      </c>
      <c r="T359" t="s">
        <v>288</v>
      </c>
      <c r="U359" t="s">
        <v>291</v>
      </c>
      <c r="V359" t="s">
        <v>305</v>
      </c>
      <c r="W359" s="32">
        <f>IFERROR(VLOOKUP(TA[[#This Row],[Date]],Raw_Data[[Date]:[Sunset Time (POA&lt;20 W/m2)]],3,0),"")</f>
        <v>0.2638888888888889</v>
      </c>
      <c r="X359" s="32">
        <f>IFERROR(VLOOKUP(TA[[#This Row],[Date]],Raw_Data[[Date]:[Sunset Time (POA&lt;20 W/m2)]],3,0),"")</f>
        <v>0.2638888888888889</v>
      </c>
      <c r="Y359" s="26"/>
      <c r="Z359" s="26">
        <v>0.76041666666666663</v>
      </c>
      <c r="AA359" s="27">
        <f>IF(TA[[#This Row],[Work Start time on Fault]]="NA","",(TA[[#This Row],[Fault Acknowledgement Time ]]-TA[[#This Row],[Fault Time]])*24)</f>
        <v>0</v>
      </c>
      <c r="AB359" s="27">
        <f>(TA[[#This Row],[Work Start time on Fault]]-TA[[#This Row],[Fault Time]])*24</f>
        <v>-6.3333333333333339</v>
      </c>
      <c r="AC359" s="26">
        <f>(TA[[#This Row],[Work Completion time on fault]]-TA[[#This Row],[Fault Time]])*24</f>
        <v>11.916666666666666</v>
      </c>
      <c r="AD359" s="27">
        <f>IFERROR((TA[[#This Row],[Work Completion time on fault]]-TA[[#This Row],[Fault Time]])*24,"")</f>
        <v>11.916666666666666</v>
      </c>
      <c r="AE359" t="s">
        <v>319</v>
      </c>
      <c r="AF359" t="s">
        <v>247</v>
      </c>
      <c r="AG359" s="2"/>
      <c r="AH359" s="35">
        <f>1-COS(RADIANS(TA[[#This Row],[Avg. Target Angle during Fault Time (Radians)]]-TA[[#This Row],[Angle of affected equipment ]]))</f>
        <v>0.11705240714107301</v>
      </c>
      <c r="AI359" s="27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43">
        <f t="shared" si="17"/>
        <v>2026</v>
      </c>
      <c r="C360" s="116">
        <f t="shared" si="18"/>
        <v>2025</v>
      </c>
      <c r="D360" s="2" t="s">
        <v>155</v>
      </c>
      <c r="E360" s="2" t="s">
        <v>155</v>
      </c>
      <c r="F360" s="30">
        <v>45748</v>
      </c>
      <c r="G360" s="2">
        <f>DAY(EOMONTH(TA[[#This Row],[Month Year]],0))</f>
        <v>30</v>
      </c>
      <c r="H360" s="21">
        <v>45769</v>
      </c>
      <c r="I360" s="32">
        <f>IFERROR(VLOOKUP(TA[[#This Row],[Date]],Raw_Data[[Date]:[Sunset Time (POA&lt;20 W/m2)]],3,0),"")</f>
        <v>0.2638888888888889</v>
      </c>
      <c r="J360" s="32">
        <f>IFERROR(VLOOKUP(TA[[#This Row],[Date]],Raw_Data[[Date]:[Sunset Time (POA&lt;20 W/m2)]],4,0),"")</f>
        <v>0.7680555555555556</v>
      </c>
      <c r="K360" s="27">
        <f>IFERROR((TA[[#This Row],[Sunset Time (POA&lt;20 W/m2)]]-TA[[#This Row],[Sunrise Time (POA&gt;20 W/m2)]])*24,"")</f>
        <v>12.1</v>
      </c>
      <c r="L360" s="2" t="s">
        <v>285</v>
      </c>
      <c r="M360" s="33">
        <f>IFERROR(VLOOKUP(TA[[#This Row],[Affected Equipment]],'Basic Data'!$I$2:$K$40,3,0),"")</f>
        <v>1.7241379310344799E-3</v>
      </c>
      <c r="N360">
        <v>-28</v>
      </c>
      <c r="O360" t="s">
        <v>133</v>
      </c>
      <c r="P360" s="114" t="s">
        <v>307</v>
      </c>
      <c r="Q360" s="113" t="s">
        <v>308</v>
      </c>
      <c r="R360">
        <v>7</v>
      </c>
      <c r="S360" s="2">
        <v>32</v>
      </c>
      <c r="T360" t="s">
        <v>286</v>
      </c>
      <c r="U360" t="s">
        <v>291</v>
      </c>
      <c r="V360" t="s">
        <v>289</v>
      </c>
      <c r="W360" s="32"/>
      <c r="X360" s="32"/>
      <c r="Y360" s="26"/>
      <c r="Z360" s="26"/>
      <c r="AA360" s="27">
        <f>IF(TA[[#This Row],[Work Start time on Fault]]="NA","",(TA[[#This Row],[Fault Acknowledgement Time ]]-TA[[#This Row],[Fault Time]])*24)</f>
        <v>0</v>
      </c>
      <c r="AB360" s="27">
        <f>(TA[[#This Row],[Work Start time on Fault]]-TA[[#This Row],[Fault Time]])*24</f>
        <v>0</v>
      </c>
      <c r="AC360" s="26">
        <f>(TA[[#This Row],[Work Completion time on fault]]-TA[[#This Row],[Fault Time]])*24</f>
        <v>0</v>
      </c>
      <c r="AD360" s="27">
        <f>IFERROR((TA[[#This Row],[Work Completion time on fault]]-TA[[#This Row],[Fault Time]])*24,"")</f>
        <v>0</v>
      </c>
      <c r="AE360" t="s">
        <v>319</v>
      </c>
      <c r="AF360" t="s">
        <v>247</v>
      </c>
      <c r="AG360" s="2"/>
      <c r="AH360" s="35">
        <f>1-COS(RADIANS(TA[[#This Row],[Avg. Target Angle during Fault Time (Radians)]]-TA[[#This Row],[Angle of affected equipment ]]))</f>
        <v>0.11705240714107301</v>
      </c>
      <c r="AI360" s="27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43">
        <f t="shared" si="17"/>
        <v>2026</v>
      </c>
      <c r="C361" s="116">
        <f t="shared" si="18"/>
        <v>2025</v>
      </c>
      <c r="D361" s="2" t="s">
        <v>155</v>
      </c>
      <c r="E361" s="2" t="s">
        <v>155</v>
      </c>
      <c r="F361" s="30">
        <v>45748</v>
      </c>
      <c r="G361" s="2">
        <f>DAY(EOMONTH(TA[[#This Row],[Month Year]],0))</f>
        <v>30</v>
      </c>
      <c r="H361" s="21">
        <v>45769</v>
      </c>
      <c r="I361" s="32">
        <f>IFERROR(VLOOKUP(TA[[#This Row],[Date]],Raw_Data[[Date]:[Sunset Time (POA&lt;20 W/m2)]],3,0),"")</f>
        <v>0.2638888888888889</v>
      </c>
      <c r="J361" s="32">
        <f>IFERROR(VLOOKUP(TA[[#This Row],[Date]],Raw_Data[[Date]:[Sunset Time (POA&lt;20 W/m2)]],4,0),"")</f>
        <v>0.7680555555555556</v>
      </c>
      <c r="K361" s="27">
        <f>IFERROR((TA[[#This Row],[Sunset Time (POA&lt;20 W/m2)]]-TA[[#This Row],[Sunrise Time (POA&gt;20 W/m2)]])*24,"")</f>
        <v>12.1</v>
      </c>
      <c r="L361" s="2" t="s">
        <v>285</v>
      </c>
      <c r="M361" s="33">
        <f>IFERROR(VLOOKUP(TA[[#This Row],[Affected Equipment]],'Basic Data'!$I$2:$K$40,3,0),"")</f>
        <v>1.7241379310344799E-3</v>
      </c>
      <c r="N361">
        <v>-28</v>
      </c>
      <c r="O361" t="s">
        <v>137</v>
      </c>
      <c r="P361" s="114" t="s">
        <v>306</v>
      </c>
      <c r="Q361" s="113" t="s">
        <v>310</v>
      </c>
      <c r="R361">
        <v>166</v>
      </c>
      <c r="S361" s="2">
        <v>91</v>
      </c>
      <c r="T361" t="s">
        <v>286</v>
      </c>
      <c r="U361" t="s">
        <v>291</v>
      </c>
      <c r="V361" t="s">
        <v>289</v>
      </c>
      <c r="W361" s="32"/>
      <c r="X361" s="32"/>
      <c r="Y361" s="26"/>
      <c r="Z361" s="26"/>
      <c r="AA361" s="27">
        <f>IF(TA[[#This Row],[Work Start time on Fault]]="NA","",(TA[[#This Row],[Fault Acknowledgement Time ]]-TA[[#This Row],[Fault Time]])*24)</f>
        <v>0</v>
      </c>
      <c r="AB361" s="27">
        <f>(TA[[#This Row],[Work Start time on Fault]]-TA[[#This Row],[Fault Time]])*24</f>
        <v>0</v>
      </c>
      <c r="AC361" s="26">
        <f>(TA[[#This Row],[Work Completion time on fault]]-TA[[#This Row],[Fault Time]])*24</f>
        <v>0</v>
      </c>
      <c r="AD361" s="27">
        <f>IFERROR((TA[[#This Row],[Work Completion time on fault]]-TA[[#This Row],[Fault Time]])*24,"")</f>
        <v>0</v>
      </c>
      <c r="AE361" t="s">
        <v>319</v>
      </c>
      <c r="AF361" t="s">
        <v>247</v>
      </c>
      <c r="AG361" s="2"/>
      <c r="AH361" s="35">
        <f>1-COS(RADIANS(TA[[#This Row],[Avg. Target Angle during Fault Time (Radians)]]-TA[[#This Row],[Angle of affected equipment ]]))</f>
        <v>0.11705240714107301</v>
      </c>
      <c r="AI361" s="27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43">
        <f t="shared" si="17"/>
        <v>2026</v>
      </c>
      <c r="C362" s="116">
        <f t="shared" si="18"/>
        <v>2025</v>
      </c>
      <c r="D362" s="2" t="s">
        <v>155</v>
      </c>
      <c r="E362" s="2" t="s">
        <v>155</v>
      </c>
      <c r="F362" s="30">
        <v>45748</v>
      </c>
      <c r="G362" s="2">
        <f>DAY(EOMONTH(TA[[#This Row],[Month Year]],0))</f>
        <v>30</v>
      </c>
      <c r="H362" s="21">
        <v>45769</v>
      </c>
      <c r="I362" s="32">
        <f>IFERROR(VLOOKUP(TA[[#This Row],[Date]],Raw_Data[[Date]:[Sunset Time (POA&lt;20 W/m2)]],3,0),"")</f>
        <v>0.2638888888888889</v>
      </c>
      <c r="J362" s="32">
        <f>IFERROR(VLOOKUP(TA[[#This Row],[Date]],Raw_Data[[Date]:[Sunset Time (POA&lt;20 W/m2)]],4,0),"")</f>
        <v>0.7680555555555556</v>
      </c>
      <c r="K362" s="27">
        <f>IFERROR((TA[[#This Row],[Sunset Time (POA&lt;20 W/m2)]]-TA[[#This Row],[Sunrise Time (POA&gt;20 W/m2)]])*24,"")</f>
        <v>12.1</v>
      </c>
      <c r="L362" s="2" t="s">
        <v>285</v>
      </c>
      <c r="M362" s="33">
        <f>IFERROR(VLOOKUP(TA[[#This Row],[Affected Equipment]],'Basic Data'!$I$2:$K$40,3,0),"")</f>
        <v>1.7241379310344799E-3</v>
      </c>
      <c r="N362">
        <v>-28</v>
      </c>
      <c r="O362" t="s">
        <v>133</v>
      </c>
      <c r="P362" s="114" t="s">
        <v>307</v>
      </c>
      <c r="Q362" s="113" t="s">
        <v>307</v>
      </c>
      <c r="R362">
        <v>117</v>
      </c>
      <c r="S362" s="2">
        <v>20</v>
      </c>
      <c r="T362" t="s">
        <v>286</v>
      </c>
      <c r="U362" t="s">
        <v>291</v>
      </c>
      <c r="V362" t="s">
        <v>289</v>
      </c>
      <c r="W362" s="32"/>
      <c r="X362" s="32"/>
      <c r="Y362" s="26"/>
      <c r="Z362" s="26"/>
      <c r="AA362" s="27">
        <f>IF(TA[[#This Row],[Work Start time on Fault]]="NA","",(TA[[#This Row],[Fault Acknowledgement Time ]]-TA[[#This Row],[Fault Time]])*24)</f>
        <v>0</v>
      </c>
      <c r="AB362" s="27">
        <f>(TA[[#This Row],[Work Start time on Fault]]-TA[[#This Row],[Fault Time]])*24</f>
        <v>0</v>
      </c>
      <c r="AC362" s="26">
        <f>(TA[[#This Row],[Work Completion time on fault]]-TA[[#This Row],[Fault Time]])*24</f>
        <v>0</v>
      </c>
      <c r="AD362" s="27">
        <f>IFERROR((TA[[#This Row],[Work Completion time on fault]]-TA[[#This Row],[Fault Time]])*24,"")</f>
        <v>0</v>
      </c>
      <c r="AE362" t="s">
        <v>319</v>
      </c>
      <c r="AF362" t="s">
        <v>247</v>
      </c>
      <c r="AG362" s="2"/>
      <c r="AH362" s="35">
        <f>1-COS(RADIANS(TA[[#This Row],[Avg. Target Angle during Fault Time (Radians)]]-TA[[#This Row],[Angle of affected equipment ]]))</f>
        <v>0.11705240714107301</v>
      </c>
      <c r="AI362" s="27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43">
        <f t="shared" si="17"/>
        <v>2026</v>
      </c>
      <c r="C363" s="116">
        <f t="shared" si="18"/>
        <v>2025</v>
      </c>
      <c r="D363" s="2" t="s">
        <v>155</v>
      </c>
      <c r="E363" s="2" t="s">
        <v>155</v>
      </c>
      <c r="F363" s="30">
        <v>45748</v>
      </c>
      <c r="G363" s="2">
        <f>DAY(EOMONTH(TA[[#This Row],[Month Year]],0))</f>
        <v>30</v>
      </c>
      <c r="H363" s="21">
        <v>45769</v>
      </c>
      <c r="I363" s="32">
        <f>IFERROR(VLOOKUP(TA[[#This Row],[Date]],Raw_Data[[Date]:[Sunset Time (POA&lt;20 W/m2)]],3,0),"")</f>
        <v>0.2638888888888889</v>
      </c>
      <c r="J363" s="32">
        <f>IFERROR(VLOOKUP(TA[[#This Row],[Date]],Raw_Data[[Date]:[Sunset Time (POA&lt;20 W/m2)]],4,0),"")</f>
        <v>0.7680555555555556</v>
      </c>
      <c r="K363" s="27">
        <f>IFERROR((TA[[#This Row],[Sunset Time (POA&lt;20 W/m2)]]-TA[[#This Row],[Sunrise Time (POA&gt;20 W/m2)]])*24,"")</f>
        <v>12.1</v>
      </c>
      <c r="L363" s="2" t="s">
        <v>285</v>
      </c>
      <c r="M363" s="33">
        <f>IFERROR(VLOOKUP(TA[[#This Row],[Affected Equipment]],'Basic Data'!$I$2:$K$40,3,0),"")</f>
        <v>1.7241379310344799E-3</v>
      </c>
      <c r="N363">
        <v>-28</v>
      </c>
      <c r="O363" t="s">
        <v>133</v>
      </c>
      <c r="P363" s="114" t="s">
        <v>307</v>
      </c>
      <c r="Q363" s="113" t="s">
        <v>307</v>
      </c>
      <c r="R363">
        <v>118</v>
      </c>
      <c r="S363" s="2">
        <v>22</v>
      </c>
      <c r="T363" t="s">
        <v>286</v>
      </c>
      <c r="U363" t="s">
        <v>291</v>
      </c>
      <c r="V363" t="s">
        <v>289</v>
      </c>
      <c r="W363" s="32"/>
      <c r="X363" s="32"/>
      <c r="Y363" s="26"/>
      <c r="Z363" s="26"/>
      <c r="AA363" s="27">
        <f>IF(TA[[#This Row],[Work Start time on Fault]]="NA","",(TA[[#This Row],[Fault Acknowledgement Time ]]-TA[[#This Row],[Fault Time]])*24)</f>
        <v>0</v>
      </c>
      <c r="AB363" s="27">
        <f>(TA[[#This Row],[Work Start time on Fault]]-TA[[#This Row],[Fault Time]])*24</f>
        <v>0</v>
      </c>
      <c r="AC363" s="26">
        <f>(TA[[#This Row],[Work Completion time on fault]]-TA[[#This Row],[Fault Time]])*24</f>
        <v>0</v>
      </c>
      <c r="AD363" s="27">
        <f>IFERROR((TA[[#This Row],[Work Completion time on fault]]-TA[[#This Row],[Fault Time]])*24,"")</f>
        <v>0</v>
      </c>
      <c r="AE363" t="s">
        <v>319</v>
      </c>
      <c r="AF363" t="s">
        <v>247</v>
      </c>
      <c r="AG363" s="2"/>
      <c r="AH363" s="35">
        <f>1-COS(RADIANS(TA[[#This Row],[Avg. Target Angle during Fault Time (Radians)]]-TA[[#This Row],[Angle of affected equipment ]]))</f>
        <v>0.11705240714107301</v>
      </c>
      <c r="AI363" s="27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43">
        <f t="shared" si="17"/>
        <v>2026</v>
      </c>
      <c r="C364" s="116">
        <f t="shared" si="18"/>
        <v>2025</v>
      </c>
      <c r="D364" s="2" t="s">
        <v>155</v>
      </c>
      <c r="E364" s="2" t="s">
        <v>155</v>
      </c>
      <c r="F364" s="30">
        <v>45748</v>
      </c>
      <c r="G364" s="2">
        <f>DAY(EOMONTH(TA[[#This Row],[Month Year]],0))</f>
        <v>30</v>
      </c>
      <c r="H364" s="21">
        <v>45769</v>
      </c>
      <c r="I364" s="32">
        <f>IFERROR(VLOOKUP(TA[[#This Row],[Date]],Raw_Data[[Date]:[Sunset Time (POA&lt;20 W/m2)]],3,0),"")</f>
        <v>0.2638888888888889</v>
      </c>
      <c r="J364" s="32">
        <f>IFERROR(VLOOKUP(TA[[#This Row],[Date]],Raw_Data[[Date]:[Sunset Time (POA&lt;20 W/m2)]],4,0),"")</f>
        <v>0.7680555555555556</v>
      </c>
      <c r="K364" s="27">
        <f>IFERROR((TA[[#This Row],[Sunset Time (POA&lt;20 W/m2)]]-TA[[#This Row],[Sunrise Time (POA&gt;20 W/m2)]])*24,"")</f>
        <v>12.1</v>
      </c>
      <c r="L364" s="2" t="s">
        <v>287</v>
      </c>
      <c r="M364" s="33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314</v>
      </c>
      <c r="Q364" s="2" t="s">
        <v>320</v>
      </c>
      <c r="R364">
        <v>45</v>
      </c>
      <c r="S364" s="2">
        <v>8</v>
      </c>
      <c r="T364" t="s">
        <v>288</v>
      </c>
      <c r="U364" t="s">
        <v>317</v>
      </c>
      <c r="V364" t="s">
        <v>292</v>
      </c>
      <c r="W364" s="32"/>
      <c r="X364" s="32"/>
      <c r="Y364" s="26"/>
      <c r="Z364" s="26"/>
      <c r="AA364" s="27">
        <f>IF(TA[[#This Row],[Work Start time on Fault]]="NA","",(TA[[#This Row],[Fault Acknowledgement Time ]]-TA[[#This Row],[Fault Time]])*24)</f>
        <v>0</v>
      </c>
      <c r="AB364" s="27">
        <f>(TA[[#This Row],[Work Start time on Fault]]-TA[[#This Row],[Fault Time]])*24</f>
        <v>0</v>
      </c>
      <c r="AC364" s="26">
        <f>(TA[[#This Row],[Work Completion time on fault]]-TA[[#This Row],[Fault Time]])*24</f>
        <v>0</v>
      </c>
      <c r="AD364" s="27">
        <f>IFERROR((TA[[#This Row],[Work Completion time on fault]]-TA[[#This Row],[Fault Time]])*24,"")</f>
        <v>0</v>
      </c>
      <c r="AE364" t="s">
        <v>319</v>
      </c>
      <c r="AF364" t="s">
        <v>247</v>
      </c>
      <c r="AG364" s="2"/>
      <c r="AH364" s="35">
        <f>1-COS(RADIANS(TA[[#This Row],[Avg. Target Angle during Fault Time (Radians)]]-TA[[#This Row],[Angle of affected equipment ]]))</f>
        <v>0.11705240714107301</v>
      </c>
      <c r="AI364" s="27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43">
        <f t="shared" si="17"/>
        <v>2026</v>
      </c>
      <c r="C365" s="116">
        <f t="shared" si="18"/>
        <v>2025</v>
      </c>
      <c r="D365" s="2" t="s">
        <v>155</v>
      </c>
      <c r="E365" s="2" t="s">
        <v>155</v>
      </c>
      <c r="F365" s="30">
        <v>45748</v>
      </c>
      <c r="G365" s="2">
        <f>DAY(EOMONTH(TA[[#This Row],[Month Year]],0))</f>
        <v>30</v>
      </c>
      <c r="H365" s="21">
        <v>45769</v>
      </c>
      <c r="I365" s="32">
        <f>IFERROR(VLOOKUP(TA[[#This Row],[Date]],Raw_Data[[Date]:[Sunset Time (POA&lt;20 W/m2)]],3,0),"")</f>
        <v>0.2638888888888889</v>
      </c>
      <c r="J365" s="32">
        <f>IFERROR(VLOOKUP(TA[[#This Row],[Date]],Raw_Data[[Date]:[Sunset Time (POA&lt;20 W/m2)]],4,0),"")</f>
        <v>0.7680555555555556</v>
      </c>
      <c r="K365" s="27">
        <f>IFERROR((TA[[#This Row],[Sunset Time (POA&lt;20 W/m2)]]-TA[[#This Row],[Sunrise Time (POA&gt;20 W/m2)]])*24,"")</f>
        <v>12.1</v>
      </c>
      <c r="L365" s="2" t="s">
        <v>287</v>
      </c>
      <c r="M365" s="33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314</v>
      </c>
      <c r="Q365" s="2" t="s">
        <v>320</v>
      </c>
      <c r="R365">
        <v>47</v>
      </c>
      <c r="S365" s="2">
        <v>18</v>
      </c>
      <c r="T365" t="s">
        <v>288</v>
      </c>
      <c r="U365" t="s">
        <v>317</v>
      </c>
      <c r="V365" t="s">
        <v>292</v>
      </c>
      <c r="W365" s="32"/>
      <c r="X365" s="32"/>
      <c r="Y365" s="26"/>
      <c r="Z365" s="26"/>
      <c r="AA365" s="27">
        <f>IF(TA[[#This Row],[Work Start time on Fault]]="NA","",(TA[[#This Row],[Fault Acknowledgement Time ]]-TA[[#This Row],[Fault Time]])*24)</f>
        <v>0</v>
      </c>
      <c r="AB365" s="27">
        <f>(TA[[#This Row],[Work Start time on Fault]]-TA[[#This Row],[Fault Time]])*24</f>
        <v>0</v>
      </c>
      <c r="AC365" s="26">
        <f>(TA[[#This Row],[Work Completion time on fault]]-TA[[#This Row],[Fault Time]])*24</f>
        <v>0</v>
      </c>
      <c r="AD365" s="27">
        <f>IFERROR((TA[[#This Row],[Work Completion time on fault]]-TA[[#This Row],[Fault Time]])*24,"")</f>
        <v>0</v>
      </c>
      <c r="AE365" t="s">
        <v>319</v>
      </c>
      <c r="AF365" t="s">
        <v>247</v>
      </c>
      <c r="AG365" s="2"/>
      <c r="AH365" s="35">
        <f>1-COS(RADIANS(TA[[#This Row],[Avg. Target Angle during Fault Time (Radians)]]-TA[[#This Row],[Angle of affected equipment ]]))</f>
        <v>0.11705240714107301</v>
      </c>
      <c r="AI365" s="27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43">
        <f t="shared" si="17"/>
        <v>2026</v>
      </c>
      <c r="C366" s="116">
        <f t="shared" si="18"/>
        <v>2025</v>
      </c>
      <c r="D366" s="2" t="s">
        <v>155</v>
      </c>
      <c r="E366" s="2" t="s">
        <v>155</v>
      </c>
      <c r="F366" s="30">
        <v>45748</v>
      </c>
      <c r="G366" s="2">
        <f>DAY(EOMONTH(TA[[#This Row],[Month Year]],0))</f>
        <v>30</v>
      </c>
      <c r="H366" s="21">
        <v>45769</v>
      </c>
      <c r="I366" s="32">
        <f>IFERROR(VLOOKUP(TA[[#This Row],[Date]],Raw_Data[[Date]:[Sunset Time (POA&lt;20 W/m2)]],3,0),"")</f>
        <v>0.2638888888888889</v>
      </c>
      <c r="J366" s="32">
        <f>IFERROR(VLOOKUP(TA[[#This Row],[Date]],Raw_Data[[Date]:[Sunset Time (POA&lt;20 W/m2)]],4,0),"")</f>
        <v>0.7680555555555556</v>
      </c>
      <c r="K366" s="27">
        <f>IFERROR((TA[[#This Row],[Sunset Time (POA&lt;20 W/m2)]]-TA[[#This Row],[Sunrise Time (POA&gt;20 W/m2)]])*24,"")</f>
        <v>12.1</v>
      </c>
      <c r="L366" s="2" t="s">
        <v>287</v>
      </c>
      <c r="M366" s="33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321</v>
      </c>
      <c r="Q366" s="2" t="s">
        <v>314</v>
      </c>
      <c r="R366">
        <v>30</v>
      </c>
      <c r="S366" s="2">
        <v>57</v>
      </c>
      <c r="T366" t="s">
        <v>288</v>
      </c>
      <c r="U366" t="s">
        <v>317</v>
      </c>
      <c r="V366" t="s">
        <v>292</v>
      </c>
      <c r="W366" s="32"/>
      <c r="X366" s="32"/>
      <c r="Y366" s="26"/>
      <c r="Z366" s="26"/>
      <c r="AA366" s="27">
        <f>IF(TA[[#This Row],[Work Start time on Fault]]="NA","",(TA[[#This Row],[Fault Acknowledgement Time ]]-TA[[#This Row],[Fault Time]])*24)</f>
        <v>0</v>
      </c>
      <c r="AB366" s="27">
        <f>(TA[[#This Row],[Work Start time on Fault]]-TA[[#This Row],[Fault Time]])*24</f>
        <v>0</v>
      </c>
      <c r="AC366" s="26">
        <f>(TA[[#This Row],[Work Completion time on fault]]-TA[[#This Row],[Fault Time]])*24</f>
        <v>0</v>
      </c>
      <c r="AD366" s="27">
        <f>IFERROR((TA[[#This Row],[Work Completion time on fault]]-TA[[#This Row],[Fault Time]])*24,"")</f>
        <v>0</v>
      </c>
      <c r="AE366" t="s">
        <v>319</v>
      </c>
      <c r="AF366" t="s">
        <v>247</v>
      </c>
      <c r="AG366" s="2"/>
      <c r="AH366" s="35">
        <f>1-COS(RADIANS(TA[[#This Row],[Avg. Target Angle during Fault Time (Radians)]]-TA[[#This Row],[Angle of affected equipment ]]))</f>
        <v>0.11705240714107301</v>
      </c>
      <c r="AI366" s="27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43">
        <f t="shared" si="17"/>
        <v>2026</v>
      </c>
      <c r="C367" s="116">
        <f t="shared" si="18"/>
        <v>2025</v>
      </c>
      <c r="D367" s="2" t="s">
        <v>155</v>
      </c>
      <c r="E367" s="2" t="s">
        <v>155</v>
      </c>
      <c r="F367" s="30">
        <v>45748</v>
      </c>
      <c r="G367" s="2">
        <f>DAY(EOMONTH(TA[[#This Row],[Month Year]],0))</f>
        <v>30</v>
      </c>
      <c r="H367" s="21">
        <v>45769</v>
      </c>
      <c r="I367" s="32">
        <f>IFERROR(VLOOKUP(TA[[#This Row],[Date]],Raw_Data[[Date]:[Sunset Time (POA&lt;20 W/m2)]],3,0),"")</f>
        <v>0.2638888888888889</v>
      </c>
      <c r="J367" s="32">
        <f>IFERROR(VLOOKUP(TA[[#This Row],[Date]],Raw_Data[[Date]:[Sunset Time (POA&lt;20 W/m2)]],4,0),"")</f>
        <v>0.7680555555555556</v>
      </c>
      <c r="K367" s="27">
        <f>IFERROR((TA[[#This Row],[Sunset Time (POA&lt;20 W/m2)]]-TA[[#This Row],[Sunrise Time (POA&gt;20 W/m2)]])*24,"")</f>
        <v>12.1</v>
      </c>
      <c r="L367" s="2" t="s">
        <v>287</v>
      </c>
      <c r="M367" s="33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321</v>
      </c>
      <c r="Q367" s="2" t="s">
        <v>314</v>
      </c>
      <c r="R367">
        <v>31</v>
      </c>
      <c r="S367" s="2">
        <v>61</v>
      </c>
      <c r="T367" t="s">
        <v>288</v>
      </c>
      <c r="U367" t="s">
        <v>317</v>
      </c>
      <c r="V367" t="s">
        <v>292</v>
      </c>
      <c r="W367" s="32"/>
      <c r="X367" s="32"/>
      <c r="Y367" s="26"/>
      <c r="Z367" s="26"/>
      <c r="AA367" s="27">
        <f>IF(TA[[#This Row],[Work Start time on Fault]]="NA","",(TA[[#This Row],[Fault Acknowledgement Time ]]-TA[[#This Row],[Fault Time]])*24)</f>
        <v>0</v>
      </c>
      <c r="AB367" s="27">
        <f>(TA[[#This Row],[Work Start time on Fault]]-TA[[#This Row],[Fault Time]])*24</f>
        <v>0</v>
      </c>
      <c r="AC367" s="26">
        <f>(TA[[#This Row],[Work Completion time on fault]]-TA[[#This Row],[Fault Time]])*24</f>
        <v>0</v>
      </c>
      <c r="AD367" s="27">
        <f>IFERROR((TA[[#This Row],[Work Completion time on fault]]-TA[[#This Row],[Fault Time]])*24,"")</f>
        <v>0</v>
      </c>
      <c r="AE367" t="s">
        <v>319</v>
      </c>
      <c r="AF367" t="s">
        <v>247</v>
      </c>
      <c r="AG367" s="2"/>
      <c r="AH367" s="35">
        <f>1-COS(RADIANS(TA[[#This Row],[Avg. Target Angle during Fault Time (Radians)]]-TA[[#This Row],[Angle of affected equipment ]]))</f>
        <v>0.11705240714107301</v>
      </c>
      <c r="AI367" s="27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43">
        <f t="shared" si="17"/>
        <v>2026</v>
      </c>
      <c r="C368" s="116">
        <f t="shared" si="18"/>
        <v>2025</v>
      </c>
      <c r="D368" s="2" t="s">
        <v>155</v>
      </c>
      <c r="E368" s="2" t="s">
        <v>155</v>
      </c>
      <c r="F368" s="30">
        <v>45748</v>
      </c>
      <c r="G368" s="2">
        <f>DAY(EOMONTH(TA[[#This Row],[Month Year]],0))</f>
        <v>30</v>
      </c>
      <c r="H368" s="21">
        <v>45769</v>
      </c>
      <c r="I368" s="32">
        <f>IFERROR(VLOOKUP(TA[[#This Row],[Date]],Raw_Data[[Date]:[Sunset Time (POA&lt;20 W/m2)]],3,0),"")</f>
        <v>0.2638888888888889</v>
      </c>
      <c r="J368" s="32">
        <f>IFERROR(VLOOKUP(TA[[#This Row],[Date]],Raw_Data[[Date]:[Sunset Time (POA&lt;20 W/m2)]],4,0),"")</f>
        <v>0.7680555555555556</v>
      </c>
      <c r="K368" s="27">
        <f>IFERROR((TA[[#This Row],[Sunset Time (POA&lt;20 W/m2)]]-TA[[#This Row],[Sunrise Time (POA&gt;20 W/m2)]])*24,"")</f>
        <v>12.1</v>
      </c>
      <c r="L368" s="2" t="s">
        <v>303</v>
      </c>
      <c r="M368" s="33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321</v>
      </c>
      <c r="Q368" s="2" t="s">
        <v>314</v>
      </c>
      <c r="R368">
        <v>26</v>
      </c>
      <c r="S368" s="2">
        <v>37</v>
      </c>
      <c r="T368" t="s">
        <v>288</v>
      </c>
      <c r="U368" t="s">
        <v>317</v>
      </c>
      <c r="V368" t="s">
        <v>292</v>
      </c>
      <c r="W368" s="32"/>
      <c r="X368" s="32"/>
      <c r="Y368" s="26"/>
      <c r="Z368" s="26"/>
      <c r="AA368" s="27">
        <f>IF(TA[[#This Row],[Work Start time on Fault]]="NA","",(TA[[#This Row],[Fault Acknowledgement Time ]]-TA[[#This Row],[Fault Time]])*24)</f>
        <v>0</v>
      </c>
      <c r="AB368" s="27">
        <f>(TA[[#This Row],[Work Start time on Fault]]-TA[[#This Row],[Fault Time]])*24</f>
        <v>0</v>
      </c>
      <c r="AC368" s="26">
        <f>(TA[[#This Row],[Work Completion time on fault]]-TA[[#This Row],[Fault Time]])*24</f>
        <v>0</v>
      </c>
      <c r="AD368" s="27">
        <f>IFERROR((TA[[#This Row],[Work Completion time on fault]]-TA[[#This Row],[Fault Time]])*24,"")</f>
        <v>0</v>
      </c>
      <c r="AE368" t="s">
        <v>319</v>
      </c>
      <c r="AF368" t="s">
        <v>247</v>
      </c>
      <c r="AG368" s="2"/>
      <c r="AH368" s="35">
        <f>1-COS(RADIANS(TA[[#This Row],[Avg. Target Angle during Fault Time (Radians)]]-TA[[#This Row],[Angle of affected equipment ]]))</f>
        <v>0.11705240714107301</v>
      </c>
      <c r="AI368" s="27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43">
        <f t="shared" si="17"/>
        <v>2026</v>
      </c>
      <c r="C369" s="116">
        <f t="shared" si="18"/>
        <v>2025</v>
      </c>
      <c r="D369" s="2" t="s">
        <v>155</v>
      </c>
      <c r="E369" s="2" t="s">
        <v>155</v>
      </c>
      <c r="F369" s="30">
        <v>45748</v>
      </c>
      <c r="G369" s="2">
        <f>DAY(EOMONTH(TA[[#This Row],[Month Year]],0))</f>
        <v>30</v>
      </c>
      <c r="H369" s="21">
        <v>45769</v>
      </c>
      <c r="I369" s="32">
        <f>IFERROR(VLOOKUP(TA[[#This Row],[Date]],Raw_Data[[Date]:[Sunset Time (POA&lt;20 W/m2)]],3,0),"")</f>
        <v>0.2638888888888889</v>
      </c>
      <c r="J369" s="32">
        <f>IFERROR(VLOOKUP(TA[[#This Row],[Date]],Raw_Data[[Date]:[Sunset Time (POA&lt;20 W/m2)]],4,0),"")</f>
        <v>0.7680555555555556</v>
      </c>
      <c r="K369" s="27">
        <f>IFERROR((TA[[#This Row],[Sunset Time (POA&lt;20 W/m2)]]-TA[[#This Row],[Sunrise Time (POA&gt;20 W/m2)]])*24,"")</f>
        <v>12.1</v>
      </c>
      <c r="L369" s="2" t="s">
        <v>303</v>
      </c>
      <c r="M369" s="33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321</v>
      </c>
      <c r="Q369" s="2" t="s">
        <v>314</v>
      </c>
      <c r="R369">
        <v>27</v>
      </c>
      <c r="S369" s="2">
        <v>42</v>
      </c>
      <c r="T369" t="s">
        <v>288</v>
      </c>
      <c r="U369" t="s">
        <v>317</v>
      </c>
      <c r="V369" t="s">
        <v>292</v>
      </c>
      <c r="W369" s="32">
        <f>IFERROR(VLOOKUP(TA[[#This Row],[Date]],Raw_Data[[Date]:[Sunset Time (POA&lt;20 W/m2)]],3,0),"")</f>
        <v>0.2638888888888889</v>
      </c>
      <c r="X369" s="32">
        <f>IFERROR(VLOOKUP(TA[[#This Row],[Date]],Raw_Data[[Date]:[Sunset Time (POA&lt;20 W/m2)]],3,0),"")</f>
        <v>0.2638888888888889</v>
      </c>
      <c r="Y369" s="26"/>
      <c r="Z369" s="26">
        <v>0.76041666666666663</v>
      </c>
      <c r="AA369" s="27">
        <f>IF(TA[[#This Row],[Work Start time on Fault]]="NA","",(TA[[#This Row],[Fault Acknowledgement Time ]]-TA[[#This Row],[Fault Time]])*24)</f>
        <v>0</v>
      </c>
      <c r="AB369" s="27">
        <f>(TA[[#This Row],[Work Start time on Fault]]-TA[[#This Row],[Fault Time]])*24</f>
        <v>-6.3333333333333339</v>
      </c>
      <c r="AC369" s="26">
        <f>(TA[[#This Row],[Work Completion time on fault]]-TA[[#This Row],[Fault Time]])*24</f>
        <v>11.916666666666666</v>
      </c>
      <c r="AD369" s="27">
        <f>IFERROR((TA[[#This Row],[Work Completion time on fault]]-TA[[#This Row],[Fault Time]])*24,"")</f>
        <v>11.916666666666666</v>
      </c>
      <c r="AE369" t="s">
        <v>300</v>
      </c>
      <c r="AF369" t="s">
        <v>247</v>
      </c>
      <c r="AG369" s="2"/>
      <c r="AH369" s="35">
        <f>1-COS(RADIANS(TA[[#This Row],[Avg. Target Angle during Fault Time (Radians)]]-TA[[#This Row],[Angle of affected equipment ]]))</f>
        <v>0.11705240714107301</v>
      </c>
      <c r="AI369" s="27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43">
        <f t="shared" si="17"/>
        <v>2026</v>
      </c>
      <c r="C370" s="116">
        <f t="shared" si="18"/>
        <v>2025</v>
      </c>
      <c r="D370" s="2" t="s">
        <v>155</v>
      </c>
      <c r="E370" s="2" t="s">
        <v>155</v>
      </c>
      <c r="F370" s="30">
        <v>45748</v>
      </c>
      <c r="G370" s="2">
        <f>DAY(EOMONTH(TA[[#This Row],[Month Year]],0))</f>
        <v>30</v>
      </c>
      <c r="H370" s="21">
        <v>45770</v>
      </c>
      <c r="I370" s="32">
        <f>IFERROR(VLOOKUP(TA[[#This Row],[Date]],Raw_Data[[Date]:[Sunset Time (POA&lt;20 W/m2)]],3,0),"")</f>
        <v>0.26041666666666669</v>
      </c>
      <c r="J370" s="32">
        <f>IFERROR(VLOOKUP(TA[[#This Row],[Date]],Raw_Data[[Date]:[Sunset Time (POA&lt;20 W/m2)]],4,0),"")</f>
        <v>0.7631944444444444</v>
      </c>
      <c r="K370" s="27">
        <f>IFERROR((TA[[#This Row],[Sunset Time (POA&lt;20 W/m2)]]-TA[[#This Row],[Sunrise Time (POA&gt;20 W/m2)]])*24,"")</f>
        <v>12.066666666666666</v>
      </c>
      <c r="L370" s="2" t="s">
        <v>285</v>
      </c>
      <c r="M370" s="33">
        <f>IFERROR(VLOOKUP(TA[[#This Row],[Affected Equipment]],'Basic Data'!$I$2:$K$40,3,0),"")</f>
        <v>1.7241379310344799E-3</v>
      </c>
      <c r="N370">
        <v>-28</v>
      </c>
      <c r="O370" t="s">
        <v>135</v>
      </c>
      <c r="P370" s="114" t="s">
        <v>309</v>
      </c>
      <c r="Q370" s="113" t="s">
        <v>309</v>
      </c>
      <c r="R370">
        <v>130</v>
      </c>
      <c r="S370" s="2">
        <v>37</v>
      </c>
      <c r="T370" t="s">
        <v>286</v>
      </c>
      <c r="U370" t="s">
        <v>291</v>
      </c>
      <c r="V370" t="s">
        <v>289</v>
      </c>
      <c r="W370" s="32"/>
      <c r="X370" s="32"/>
      <c r="Y370" s="26"/>
      <c r="Z370" s="26"/>
      <c r="AA370" s="27">
        <f>IF(TA[[#This Row],[Work Start time on Fault]]="NA","",(TA[[#This Row],[Fault Acknowledgement Time ]]-TA[[#This Row],[Fault Time]])*24)</f>
        <v>0</v>
      </c>
      <c r="AB370" s="27">
        <f>(TA[[#This Row],[Work Start time on Fault]]-TA[[#This Row],[Fault Time]])*24</f>
        <v>0</v>
      </c>
      <c r="AC370" s="26">
        <f>(TA[[#This Row],[Work Completion time on fault]]-TA[[#This Row],[Fault Time]])*24</f>
        <v>0</v>
      </c>
      <c r="AD370" s="27">
        <f>IFERROR((TA[[#This Row],[Work Completion time on fault]]-TA[[#This Row],[Fault Time]])*24,"")</f>
        <v>0</v>
      </c>
      <c r="AE370" t="s">
        <v>319</v>
      </c>
      <c r="AF370" t="s">
        <v>247</v>
      </c>
      <c r="AG370" s="2"/>
      <c r="AH370" s="35">
        <f>1-COS(RADIANS(TA[[#This Row],[Avg. Target Angle during Fault Time (Radians)]]-TA[[#This Row],[Angle of affected equipment ]]))</f>
        <v>0.11705240714107301</v>
      </c>
      <c r="AI370" s="27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43">
        <f t="shared" si="17"/>
        <v>2026</v>
      </c>
      <c r="C371" s="116">
        <f t="shared" si="18"/>
        <v>2025</v>
      </c>
      <c r="D371" s="2" t="s">
        <v>155</v>
      </c>
      <c r="E371" s="2" t="s">
        <v>155</v>
      </c>
      <c r="F371" s="30">
        <v>45748</v>
      </c>
      <c r="G371" s="2">
        <f>DAY(EOMONTH(TA[[#This Row],[Month Year]],0))</f>
        <v>30</v>
      </c>
      <c r="H371" s="21">
        <v>45770</v>
      </c>
      <c r="I371" s="32">
        <f>IFERROR(VLOOKUP(TA[[#This Row],[Date]],Raw_Data[[Date]:[Sunset Time (POA&lt;20 W/m2)]],3,0),"")</f>
        <v>0.26041666666666669</v>
      </c>
      <c r="J371" s="32">
        <f>IFERROR(VLOOKUP(TA[[#This Row],[Date]],Raw_Data[[Date]:[Sunset Time (POA&lt;20 W/m2)]],4,0),"")</f>
        <v>0.7631944444444444</v>
      </c>
      <c r="K371" s="27">
        <f>IFERROR((TA[[#This Row],[Sunset Time (POA&lt;20 W/m2)]]-TA[[#This Row],[Sunrise Time (POA&gt;20 W/m2)]])*24,"")</f>
        <v>12.066666666666666</v>
      </c>
      <c r="L371" s="2" t="s">
        <v>285</v>
      </c>
      <c r="M371" s="33">
        <f>IFERROR(VLOOKUP(TA[[#This Row],[Affected Equipment]],'Basic Data'!$I$2:$K$40,3,0),"")</f>
        <v>1.7241379310344799E-3</v>
      </c>
      <c r="N371">
        <v>-28</v>
      </c>
      <c r="O371" t="s">
        <v>135</v>
      </c>
      <c r="P371" s="114" t="s">
        <v>309</v>
      </c>
      <c r="Q371" s="113" t="s">
        <v>309</v>
      </c>
      <c r="R371">
        <v>131</v>
      </c>
      <c r="S371" s="2">
        <v>38</v>
      </c>
      <c r="T371" t="s">
        <v>286</v>
      </c>
      <c r="U371" t="s">
        <v>291</v>
      </c>
      <c r="V371" t="s">
        <v>289</v>
      </c>
      <c r="W371" s="32"/>
      <c r="X371" s="32"/>
      <c r="Y371" s="26"/>
      <c r="Z371" s="26"/>
      <c r="AA371" s="27">
        <f>IF(TA[[#This Row],[Work Start time on Fault]]="NA","",(TA[[#This Row],[Fault Acknowledgement Time ]]-TA[[#This Row],[Fault Time]])*24)</f>
        <v>0</v>
      </c>
      <c r="AB371" s="27">
        <f>(TA[[#This Row],[Work Start time on Fault]]-TA[[#This Row],[Fault Time]])*24</f>
        <v>0</v>
      </c>
      <c r="AC371" s="26">
        <f>(TA[[#This Row],[Work Completion time on fault]]-TA[[#This Row],[Fault Time]])*24</f>
        <v>0</v>
      </c>
      <c r="AD371" s="27">
        <f>IFERROR((TA[[#This Row],[Work Completion time on fault]]-TA[[#This Row],[Fault Time]])*24,"")</f>
        <v>0</v>
      </c>
      <c r="AE371" t="s">
        <v>319</v>
      </c>
      <c r="AF371" t="s">
        <v>247</v>
      </c>
      <c r="AG371" s="2"/>
      <c r="AH371" s="35">
        <f>1-COS(RADIANS(TA[[#This Row],[Avg. Target Angle during Fault Time (Radians)]]-TA[[#This Row],[Angle of affected equipment ]]))</f>
        <v>0.11705240714107301</v>
      </c>
      <c r="AI371" s="27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43">
        <f t="shared" si="17"/>
        <v>2026</v>
      </c>
      <c r="C372" s="116">
        <f t="shared" si="18"/>
        <v>2025</v>
      </c>
      <c r="D372" s="2" t="s">
        <v>155</v>
      </c>
      <c r="E372" s="2" t="s">
        <v>155</v>
      </c>
      <c r="F372" s="30">
        <v>45748</v>
      </c>
      <c r="G372" s="2">
        <f>DAY(EOMONTH(TA[[#This Row],[Month Year]],0))</f>
        <v>30</v>
      </c>
      <c r="H372" s="21">
        <v>45770</v>
      </c>
      <c r="I372" s="32">
        <f>IFERROR(VLOOKUP(TA[[#This Row],[Date]],Raw_Data[[Date]:[Sunset Time (POA&lt;20 W/m2)]],3,0),"")</f>
        <v>0.26041666666666669</v>
      </c>
      <c r="J372" s="32">
        <f>IFERROR(VLOOKUP(TA[[#This Row],[Date]],Raw_Data[[Date]:[Sunset Time (POA&lt;20 W/m2)]],4,0),"")</f>
        <v>0.7631944444444444</v>
      </c>
      <c r="K372" s="27">
        <f>IFERROR((TA[[#This Row],[Sunset Time (POA&lt;20 W/m2)]]-TA[[#This Row],[Sunrise Time (POA&gt;20 W/m2)]])*24,"")</f>
        <v>12.066666666666666</v>
      </c>
      <c r="L372" s="2" t="s">
        <v>285</v>
      </c>
      <c r="M372" s="33">
        <f>IFERROR(VLOOKUP(TA[[#This Row],[Affected Equipment]],'Basic Data'!$I$2:$K$40,3,0),"")</f>
        <v>1.7241379310344799E-3</v>
      </c>
      <c r="N372">
        <v>-28</v>
      </c>
      <c r="O372" t="s">
        <v>135</v>
      </c>
      <c r="P372" s="114" t="s">
        <v>309</v>
      </c>
      <c r="Q372" s="113" t="s">
        <v>309</v>
      </c>
      <c r="R372">
        <v>131</v>
      </c>
      <c r="S372" s="2">
        <v>39</v>
      </c>
      <c r="T372" t="s">
        <v>286</v>
      </c>
      <c r="U372" t="s">
        <v>291</v>
      </c>
      <c r="V372" t="s">
        <v>289</v>
      </c>
      <c r="W372" s="32"/>
      <c r="X372" s="32"/>
      <c r="Y372" s="26"/>
      <c r="Z372" s="26"/>
      <c r="AA372" s="27">
        <f>IF(TA[[#This Row],[Work Start time on Fault]]="NA","",(TA[[#This Row],[Fault Acknowledgement Time ]]-TA[[#This Row],[Fault Time]])*24)</f>
        <v>0</v>
      </c>
      <c r="AB372" s="27">
        <f>(TA[[#This Row],[Work Start time on Fault]]-TA[[#This Row],[Fault Time]])*24</f>
        <v>0</v>
      </c>
      <c r="AC372" s="26">
        <f>(TA[[#This Row],[Work Completion time on fault]]-TA[[#This Row],[Fault Time]])*24</f>
        <v>0</v>
      </c>
      <c r="AD372" s="27">
        <f>IFERROR((TA[[#This Row],[Work Completion time on fault]]-TA[[#This Row],[Fault Time]])*24,"")</f>
        <v>0</v>
      </c>
      <c r="AE372" t="s">
        <v>319</v>
      </c>
      <c r="AF372" t="s">
        <v>247</v>
      </c>
      <c r="AG372" s="2"/>
      <c r="AH372" s="35">
        <f>1-COS(RADIANS(TA[[#This Row],[Avg. Target Angle during Fault Time (Radians)]]-TA[[#This Row],[Angle of affected equipment ]]))</f>
        <v>0.11705240714107301</v>
      </c>
      <c r="AI372" s="27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43">
        <f t="shared" si="17"/>
        <v>2026</v>
      </c>
      <c r="C373" s="116">
        <f t="shared" si="18"/>
        <v>2025</v>
      </c>
      <c r="D373" s="2" t="s">
        <v>155</v>
      </c>
      <c r="E373" s="2" t="s">
        <v>155</v>
      </c>
      <c r="F373" s="30">
        <v>45748</v>
      </c>
      <c r="G373" s="2">
        <f>DAY(EOMONTH(TA[[#This Row],[Month Year]],0))</f>
        <v>30</v>
      </c>
      <c r="H373" s="21">
        <v>45770</v>
      </c>
      <c r="I373" s="32">
        <f>IFERROR(VLOOKUP(TA[[#This Row],[Date]],Raw_Data[[Date]:[Sunset Time (POA&lt;20 W/m2)]],3,0),"")</f>
        <v>0.26041666666666669</v>
      </c>
      <c r="J373" s="32">
        <f>IFERROR(VLOOKUP(TA[[#This Row],[Date]],Raw_Data[[Date]:[Sunset Time (POA&lt;20 W/m2)]],4,0),"")</f>
        <v>0.7631944444444444</v>
      </c>
      <c r="K373" s="27">
        <f>IFERROR((TA[[#This Row],[Sunset Time (POA&lt;20 W/m2)]]-TA[[#This Row],[Sunrise Time (POA&gt;20 W/m2)]])*24,"")</f>
        <v>12.066666666666666</v>
      </c>
      <c r="L373" s="2" t="s">
        <v>287</v>
      </c>
      <c r="M373" s="33">
        <f>IFERROR(VLOOKUP(TA[[#This Row],[Affected Equipment]],'Basic Data'!$I$2:$K$40,3,0),"")</f>
        <v>8.6206896551724102E-3</v>
      </c>
      <c r="N373">
        <v>-28</v>
      </c>
      <c r="O373" t="s">
        <v>135</v>
      </c>
      <c r="P373" s="114" t="s">
        <v>309</v>
      </c>
      <c r="Q373" s="2" t="s">
        <v>312</v>
      </c>
      <c r="R373">
        <v>133</v>
      </c>
      <c r="S373" s="2">
        <v>26</v>
      </c>
      <c r="T373" t="s">
        <v>288</v>
      </c>
      <c r="U373" t="s">
        <v>291</v>
      </c>
      <c r="V373" t="s">
        <v>305</v>
      </c>
      <c r="W373" s="32">
        <f>IFERROR(VLOOKUP(TA[[#This Row],[Date]],Raw_Data[[Date]:[Sunset Time (POA&lt;20 W/m2)]],3,0),"")</f>
        <v>0.26041666666666669</v>
      </c>
      <c r="X373" s="32">
        <f>IFERROR(VLOOKUP(TA[[#This Row],[Date]],Raw_Data[[Date]:[Sunset Time (POA&lt;20 W/m2)]],3,0),"")</f>
        <v>0.26041666666666669</v>
      </c>
      <c r="Y373" s="26"/>
      <c r="Z373" s="26">
        <v>0.76041666666666663</v>
      </c>
      <c r="AA373" s="27">
        <f>IF(TA[[#This Row],[Work Start time on Fault]]="NA","",(TA[[#This Row],[Fault Acknowledgement Time ]]-TA[[#This Row],[Fault Time]])*24)</f>
        <v>0</v>
      </c>
      <c r="AB373" s="27">
        <f>(TA[[#This Row],[Work Start time on Fault]]-TA[[#This Row],[Fault Time]])*24</f>
        <v>-6.25</v>
      </c>
      <c r="AC373" s="26">
        <f>(TA[[#This Row],[Work Completion time on fault]]-TA[[#This Row],[Fault Time]])*24</f>
        <v>11.999999999999998</v>
      </c>
      <c r="AD373" s="27">
        <f>IFERROR((TA[[#This Row],[Work Completion time on fault]]-TA[[#This Row],[Fault Time]])*24,"")</f>
        <v>11.999999999999998</v>
      </c>
      <c r="AE373" t="s">
        <v>319</v>
      </c>
      <c r="AF373" t="s">
        <v>247</v>
      </c>
      <c r="AG373" s="2"/>
      <c r="AH373" s="35">
        <f>1-COS(RADIANS(TA[[#This Row],[Avg. Target Angle during Fault Time (Radians)]]-TA[[#This Row],[Angle of affected equipment ]]))</f>
        <v>0.11705240714107301</v>
      </c>
      <c r="AI373" s="27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43">
        <f t="shared" si="17"/>
        <v>2026</v>
      </c>
      <c r="C374" s="116">
        <f t="shared" si="18"/>
        <v>2025</v>
      </c>
      <c r="D374" s="2" t="s">
        <v>155</v>
      </c>
      <c r="E374" s="2" t="s">
        <v>155</v>
      </c>
      <c r="F374" s="30">
        <v>45748</v>
      </c>
      <c r="G374" s="2">
        <f>DAY(EOMONTH(TA[[#This Row],[Month Year]],0))</f>
        <v>30</v>
      </c>
      <c r="H374" s="21">
        <v>45770</v>
      </c>
      <c r="I374" s="32">
        <f>IFERROR(VLOOKUP(TA[[#This Row],[Date]],Raw_Data[[Date]:[Sunset Time (POA&lt;20 W/m2)]],3,0),"")</f>
        <v>0.26041666666666669</v>
      </c>
      <c r="J374" s="32">
        <f>IFERROR(VLOOKUP(TA[[#This Row],[Date]],Raw_Data[[Date]:[Sunset Time (POA&lt;20 W/m2)]],4,0),"")</f>
        <v>0.7631944444444444</v>
      </c>
      <c r="K374" s="27">
        <f>IFERROR((TA[[#This Row],[Sunset Time (POA&lt;20 W/m2)]]-TA[[#This Row],[Sunrise Time (POA&gt;20 W/m2)]])*24,"")</f>
        <v>12.066666666666666</v>
      </c>
      <c r="L374" s="2" t="s">
        <v>285</v>
      </c>
      <c r="M374" s="33">
        <f>IFERROR(VLOOKUP(TA[[#This Row],[Affected Equipment]],'Basic Data'!$I$2:$K$40,3,0),"")</f>
        <v>1.7241379310344799E-3</v>
      </c>
      <c r="N374">
        <v>-28</v>
      </c>
      <c r="O374" t="s">
        <v>133</v>
      </c>
      <c r="P374" s="114" t="s">
        <v>307</v>
      </c>
      <c r="Q374" s="113" t="s">
        <v>308</v>
      </c>
      <c r="R374">
        <v>7</v>
      </c>
      <c r="S374" s="2">
        <v>32</v>
      </c>
      <c r="T374" t="s">
        <v>286</v>
      </c>
      <c r="U374" t="s">
        <v>291</v>
      </c>
      <c r="V374" t="s">
        <v>289</v>
      </c>
      <c r="W374" s="32"/>
      <c r="X374" s="32"/>
      <c r="Y374" s="26"/>
      <c r="Z374" s="26"/>
      <c r="AA374" s="27">
        <f>IF(TA[[#This Row],[Work Start time on Fault]]="NA","",(TA[[#This Row],[Fault Acknowledgement Time ]]-TA[[#This Row],[Fault Time]])*24)</f>
        <v>0</v>
      </c>
      <c r="AB374" s="27">
        <f>(TA[[#This Row],[Work Start time on Fault]]-TA[[#This Row],[Fault Time]])*24</f>
        <v>0</v>
      </c>
      <c r="AC374" s="26">
        <f>(TA[[#This Row],[Work Completion time on fault]]-TA[[#This Row],[Fault Time]])*24</f>
        <v>0</v>
      </c>
      <c r="AD374" s="27">
        <f>IFERROR((TA[[#This Row],[Work Completion time on fault]]-TA[[#This Row],[Fault Time]])*24,"")</f>
        <v>0</v>
      </c>
      <c r="AE374" t="s">
        <v>319</v>
      </c>
      <c r="AF374" t="s">
        <v>247</v>
      </c>
      <c r="AG374" s="2"/>
      <c r="AH374" s="35">
        <f>1-COS(RADIANS(TA[[#This Row],[Avg. Target Angle during Fault Time (Radians)]]-TA[[#This Row],[Angle of affected equipment ]]))</f>
        <v>0.11705240714107301</v>
      </c>
      <c r="AI374" s="27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43">
        <f t="shared" si="17"/>
        <v>2026</v>
      </c>
      <c r="C375" s="116">
        <f t="shared" si="18"/>
        <v>2025</v>
      </c>
      <c r="D375" s="2" t="s">
        <v>155</v>
      </c>
      <c r="E375" s="2" t="s">
        <v>155</v>
      </c>
      <c r="F375" s="30">
        <v>45748</v>
      </c>
      <c r="G375" s="2">
        <f>DAY(EOMONTH(TA[[#This Row],[Month Year]],0))</f>
        <v>30</v>
      </c>
      <c r="H375" s="21">
        <v>45770</v>
      </c>
      <c r="I375" s="32">
        <f>IFERROR(VLOOKUP(TA[[#This Row],[Date]],Raw_Data[[Date]:[Sunset Time (POA&lt;20 W/m2)]],3,0),"")</f>
        <v>0.26041666666666669</v>
      </c>
      <c r="J375" s="32">
        <f>IFERROR(VLOOKUP(TA[[#This Row],[Date]],Raw_Data[[Date]:[Sunset Time (POA&lt;20 W/m2)]],4,0),"")</f>
        <v>0.7631944444444444</v>
      </c>
      <c r="K375" s="27">
        <f>IFERROR((TA[[#This Row],[Sunset Time (POA&lt;20 W/m2)]]-TA[[#This Row],[Sunrise Time (POA&gt;20 W/m2)]])*24,"")</f>
        <v>12.066666666666666</v>
      </c>
      <c r="L375" s="2" t="s">
        <v>285</v>
      </c>
      <c r="M375" s="33">
        <f>IFERROR(VLOOKUP(TA[[#This Row],[Affected Equipment]],'Basic Data'!$I$2:$K$40,3,0),"")</f>
        <v>1.7241379310344799E-3</v>
      </c>
      <c r="N375">
        <v>-28</v>
      </c>
      <c r="O375" t="s">
        <v>137</v>
      </c>
      <c r="P375" s="114" t="s">
        <v>306</v>
      </c>
      <c r="Q375" s="113" t="s">
        <v>310</v>
      </c>
      <c r="R375">
        <v>166</v>
      </c>
      <c r="S375" s="2">
        <v>91</v>
      </c>
      <c r="T375" t="s">
        <v>286</v>
      </c>
      <c r="U375" t="s">
        <v>291</v>
      </c>
      <c r="V375" t="s">
        <v>289</v>
      </c>
      <c r="W375" s="32"/>
      <c r="X375" s="32"/>
      <c r="Y375" s="26"/>
      <c r="Z375" s="26"/>
      <c r="AA375" s="27">
        <f>IF(TA[[#This Row],[Work Start time on Fault]]="NA","",(TA[[#This Row],[Fault Acknowledgement Time ]]-TA[[#This Row],[Fault Time]])*24)</f>
        <v>0</v>
      </c>
      <c r="AB375" s="27">
        <f>(TA[[#This Row],[Work Start time on Fault]]-TA[[#This Row],[Fault Time]])*24</f>
        <v>0</v>
      </c>
      <c r="AC375" s="26">
        <f>(TA[[#This Row],[Work Completion time on fault]]-TA[[#This Row],[Fault Time]])*24</f>
        <v>0</v>
      </c>
      <c r="AD375" s="27">
        <f>IFERROR((TA[[#This Row],[Work Completion time on fault]]-TA[[#This Row],[Fault Time]])*24,"")</f>
        <v>0</v>
      </c>
      <c r="AE375" t="s">
        <v>319</v>
      </c>
      <c r="AF375" t="s">
        <v>247</v>
      </c>
      <c r="AG375" s="2"/>
      <c r="AH375" s="35">
        <f>1-COS(RADIANS(TA[[#This Row],[Avg. Target Angle during Fault Time (Radians)]]-TA[[#This Row],[Angle of affected equipment ]]))</f>
        <v>0.11705240714107301</v>
      </c>
      <c r="AI375" s="27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43">
        <f t="shared" si="17"/>
        <v>2026</v>
      </c>
      <c r="C376" s="116">
        <f t="shared" si="18"/>
        <v>2025</v>
      </c>
      <c r="D376" s="2" t="s">
        <v>155</v>
      </c>
      <c r="E376" s="2" t="s">
        <v>155</v>
      </c>
      <c r="F376" s="30">
        <v>45748</v>
      </c>
      <c r="G376" s="2">
        <f>DAY(EOMONTH(TA[[#This Row],[Month Year]],0))</f>
        <v>30</v>
      </c>
      <c r="H376" s="21">
        <v>45770</v>
      </c>
      <c r="I376" s="32">
        <f>IFERROR(VLOOKUP(TA[[#This Row],[Date]],Raw_Data[[Date]:[Sunset Time (POA&lt;20 W/m2)]],3,0),"")</f>
        <v>0.26041666666666669</v>
      </c>
      <c r="J376" s="32">
        <f>IFERROR(VLOOKUP(TA[[#This Row],[Date]],Raw_Data[[Date]:[Sunset Time (POA&lt;20 W/m2)]],4,0),"")</f>
        <v>0.7631944444444444</v>
      </c>
      <c r="K376" s="27">
        <f>IFERROR((TA[[#This Row],[Sunset Time (POA&lt;20 W/m2)]]-TA[[#This Row],[Sunrise Time (POA&gt;20 W/m2)]])*24,"")</f>
        <v>12.066666666666666</v>
      </c>
      <c r="L376" s="2" t="s">
        <v>285</v>
      </c>
      <c r="M376" s="33">
        <f>IFERROR(VLOOKUP(TA[[#This Row],[Affected Equipment]],'Basic Data'!$I$2:$K$40,3,0),"")</f>
        <v>1.7241379310344799E-3</v>
      </c>
      <c r="N376">
        <v>-28</v>
      </c>
      <c r="O376" t="s">
        <v>133</v>
      </c>
      <c r="P376" s="114" t="s">
        <v>307</v>
      </c>
      <c r="Q376" s="113" t="s">
        <v>307</v>
      </c>
      <c r="R376">
        <v>117</v>
      </c>
      <c r="S376" s="2">
        <v>20</v>
      </c>
      <c r="T376" t="s">
        <v>286</v>
      </c>
      <c r="U376" t="s">
        <v>291</v>
      </c>
      <c r="V376" t="s">
        <v>289</v>
      </c>
      <c r="W376" s="32"/>
      <c r="X376" s="32"/>
      <c r="Y376" s="26"/>
      <c r="Z376" s="26"/>
      <c r="AA376" s="27">
        <f>IF(TA[[#This Row],[Work Start time on Fault]]="NA","",(TA[[#This Row],[Fault Acknowledgement Time ]]-TA[[#This Row],[Fault Time]])*24)</f>
        <v>0</v>
      </c>
      <c r="AB376" s="27">
        <f>(TA[[#This Row],[Work Start time on Fault]]-TA[[#This Row],[Fault Time]])*24</f>
        <v>0</v>
      </c>
      <c r="AC376" s="26">
        <f>(TA[[#This Row],[Work Completion time on fault]]-TA[[#This Row],[Fault Time]])*24</f>
        <v>0</v>
      </c>
      <c r="AD376" s="27">
        <f>IFERROR((TA[[#This Row],[Work Completion time on fault]]-TA[[#This Row],[Fault Time]])*24,"")</f>
        <v>0</v>
      </c>
      <c r="AE376" t="s">
        <v>319</v>
      </c>
      <c r="AF376" t="s">
        <v>247</v>
      </c>
      <c r="AG376" s="2"/>
      <c r="AH376" s="35">
        <f>1-COS(RADIANS(TA[[#This Row],[Avg. Target Angle during Fault Time (Radians)]]-TA[[#This Row],[Angle of affected equipment ]]))</f>
        <v>0.11705240714107301</v>
      </c>
      <c r="AI376" s="27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43">
        <f t="shared" si="17"/>
        <v>2026</v>
      </c>
      <c r="C377" s="116">
        <f t="shared" si="18"/>
        <v>2025</v>
      </c>
      <c r="D377" s="2" t="s">
        <v>155</v>
      </c>
      <c r="E377" s="2" t="s">
        <v>155</v>
      </c>
      <c r="F377" s="30">
        <v>45748</v>
      </c>
      <c r="G377" s="2">
        <f>DAY(EOMONTH(TA[[#This Row],[Month Year]],0))</f>
        <v>30</v>
      </c>
      <c r="H377" s="21">
        <v>45770</v>
      </c>
      <c r="I377" s="32">
        <f>IFERROR(VLOOKUP(TA[[#This Row],[Date]],Raw_Data[[Date]:[Sunset Time (POA&lt;20 W/m2)]],3,0),"")</f>
        <v>0.26041666666666669</v>
      </c>
      <c r="J377" s="32">
        <f>IFERROR(VLOOKUP(TA[[#This Row],[Date]],Raw_Data[[Date]:[Sunset Time (POA&lt;20 W/m2)]],4,0),"")</f>
        <v>0.7631944444444444</v>
      </c>
      <c r="K377" s="27">
        <f>IFERROR((TA[[#This Row],[Sunset Time (POA&lt;20 W/m2)]]-TA[[#This Row],[Sunrise Time (POA&gt;20 W/m2)]])*24,"")</f>
        <v>12.066666666666666</v>
      </c>
      <c r="L377" s="2" t="s">
        <v>285</v>
      </c>
      <c r="M377" s="33">
        <f>IFERROR(VLOOKUP(TA[[#This Row],[Affected Equipment]],'Basic Data'!$I$2:$K$40,3,0),"")</f>
        <v>1.7241379310344799E-3</v>
      </c>
      <c r="N377">
        <v>-28</v>
      </c>
      <c r="O377" t="s">
        <v>133</v>
      </c>
      <c r="P377" s="114" t="s">
        <v>307</v>
      </c>
      <c r="Q377" s="113" t="s">
        <v>307</v>
      </c>
      <c r="R377">
        <v>118</v>
      </c>
      <c r="S377" s="2">
        <v>22</v>
      </c>
      <c r="T377" t="s">
        <v>286</v>
      </c>
      <c r="U377" t="s">
        <v>291</v>
      </c>
      <c r="V377" t="s">
        <v>289</v>
      </c>
      <c r="W377" s="32"/>
      <c r="X377" s="32"/>
      <c r="Y377" s="26"/>
      <c r="Z377" s="26"/>
      <c r="AA377" s="27">
        <f>IF(TA[[#This Row],[Work Start time on Fault]]="NA","",(TA[[#This Row],[Fault Acknowledgement Time ]]-TA[[#This Row],[Fault Time]])*24)</f>
        <v>0</v>
      </c>
      <c r="AB377" s="27">
        <f>(TA[[#This Row],[Work Start time on Fault]]-TA[[#This Row],[Fault Time]])*24</f>
        <v>0</v>
      </c>
      <c r="AC377" s="26">
        <f>(TA[[#This Row],[Work Completion time on fault]]-TA[[#This Row],[Fault Time]])*24</f>
        <v>0</v>
      </c>
      <c r="AD377" s="27">
        <f>IFERROR((TA[[#This Row],[Work Completion time on fault]]-TA[[#This Row],[Fault Time]])*24,"")</f>
        <v>0</v>
      </c>
      <c r="AE377" t="s">
        <v>319</v>
      </c>
      <c r="AF377" t="s">
        <v>247</v>
      </c>
      <c r="AG377" s="2"/>
      <c r="AH377" s="35">
        <f>1-COS(RADIANS(TA[[#This Row],[Avg. Target Angle during Fault Time (Radians)]]-TA[[#This Row],[Angle of affected equipment ]]))</f>
        <v>0.11705240714107301</v>
      </c>
      <c r="AI377" s="27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43">
        <f t="shared" si="17"/>
        <v>2026</v>
      </c>
      <c r="C378" s="116">
        <f t="shared" si="18"/>
        <v>2025</v>
      </c>
      <c r="D378" s="2" t="s">
        <v>155</v>
      </c>
      <c r="E378" s="2" t="s">
        <v>155</v>
      </c>
      <c r="F378" s="30">
        <v>45748</v>
      </c>
      <c r="G378" s="2">
        <f>DAY(EOMONTH(TA[[#This Row],[Month Year]],0))</f>
        <v>30</v>
      </c>
      <c r="H378" s="21">
        <v>45770</v>
      </c>
      <c r="I378" s="32">
        <f>IFERROR(VLOOKUP(TA[[#This Row],[Date]],Raw_Data[[Date]:[Sunset Time (POA&lt;20 W/m2)]],3,0),"")</f>
        <v>0.26041666666666669</v>
      </c>
      <c r="J378" s="32">
        <f>IFERROR(VLOOKUP(TA[[#This Row],[Date]],Raw_Data[[Date]:[Sunset Time (POA&lt;20 W/m2)]],4,0),"")</f>
        <v>0.7631944444444444</v>
      </c>
      <c r="K378" s="27">
        <f>IFERROR((TA[[#This Row],[Sunset Time (POA&lt;20 W/m2)]]-TA[[#This Row],[Sunrise Time (POA&gt;20 W/m2)]])*24,"")</f>
        <v>12.066666666666666</v>
      </c>
      <c r="L378" s="2" t="s">
        <v>287</v>
      </c>
      <c r="M378" s="33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314</v>
      </c>
      <c r="Q378" s="2" t="s">
        <v>320</v>
      </c>
      <c r="R378">
        <v>45</v>
      </c>
      <c r="S378" s="2">
        <v>8</v>
      </c>
      <c r="T378" t="s">
        <v>288</v>
      </c>
      <c r="U378" t="s">
        <v>317</v>
      </c>
      <c r="V378" t="s">
        <v>292</v>
      </c>
      <c r="W378" s="32"/>
      <c r="X378" s="32"/>
      <c r="Y378" s="26"/>
      <c r="Z378" s="26"/>
      <c r="AA378" s="27">
        <f>IF(TA[[#This Row],[Work Start time on Fault]]="NA","",(TA[[#This Row],[Fault Acknowledgement Time ]]-TA[[#This Row],[Fault Time]])*24)</f>
        <v>0</v>
      </c>
      <c r="AB378" s="27">
        <f>(TA[[#This Row],[Work Start time on Fault]]-TA[[#This Row],[Fault Time]])*24</f>
        <v>0</v>
      </c>
      <c r="AC378" s="26">
        <f>(TA[[#This Row],[Work Completion time on fault]]-TA[[#This Row],[Fault Time]])*24</f>
        <v>0</v>
      </c>
      <c r="AD378" s="27">
        <f>IFERROR((TA[[#This Row],[Work Completion time on fault]]-TA[[#This Row],[Fault Time]])*24,"")</f>
        <v>0</v>
      </c>
      <c r="AE378" t="s">
        <v>319</v>
      </c>
      <c r="AF378" t="s">
        <v>247</v>
      </c>
      <c r="AG378" s="2"/>
      <c r="AH378" s="35">
        <f>1-COS(RADIANS(TA[[#This Row],[Avg. Target Angle during Fault Time (Radians)]]-TA[[#This Row],[Angle of affected equipment ]]))</f>
        <v>0.11705240714107301</v>
      </c>
      <c r="AI378" s="27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43">
        <f t="shared" si="17"/>
        <v>2026</v>
      </c>
      <c r="C379" s="116">
        <f t="shared" si="18"/>
        <v>2025</v>
      </c>
      <c r="D379" s="2" t="s">
        <v>155</v>
      </c>
      <c r="E379" s="2" t="s">
        <v>155</v>
      </c>
      <c r="F379" s="30">
        <v>45748</v>
      </c>
      <c r="G379" s="2">
        <f>DAY(EOMONTH(TA[[#This Row],[Month Year]],0))</f>
        <v>30</v>
      </c>
      <c r="H379" s="21">
        <v>45770</v>
      </c>
      <c r="I379" s="32">
        <f>IFERROR(VLOOKUP(TA[[#This Row],[Date]],Raw_Data[[Date]:[Sunset Time (POA&lt;20 W/m2)]],3,0),"")</f>
        <v>0.26041666666666669</v>
      </c>
      <c r="J379" s="32">
        <f>IFERROR(VLOOKUP(TA[[#This Row],[Date]],Raw_Data[[Date]:[Sunset Time (POA&lt;20 W/m2)]],4,0),"")</f>
        <v>0.7631944444444444</v>
      </c>
      <c r="K379" s="27">
        <f>IFERROR((TA[[#This Row],[Sunset Time (POA&lt;20 W/m2)]]-TA[[#This Row],[Sunrise Time (POA&gt;20 W/m2)]])*24,"")</f>
        <v>12.066666666666666</v>
      </c>
      <c r="L379" s="2" t="s">
        <v>287</v>
      </c>
      <c r="M379" s="33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314</v>
      </c>
      <c r="Q379" s="2" t="s">
        <v>320</v>
      </c>
      <c r="R379">
        <v>47</v>
      </c>
      <c r="S379" s="2">
        <v>18</v>
      </c>
      <c r="T379" t="s">
        <v>288</v>
      </c>
      <c r="U379" t="s">
        <v>317</v>
      </c>
      <c r="V379" t="s">
        <v>292</v>
      </c>
      <c r="W379" s="32"/>
      <c r="X379" s="32"/>
      <c r="Y379" s="26"/>
      <c r="Z379" s="26"/>
      <c r="AA379" s="27">
        <f>IF(TA[[#This Row],[Work Start time on Fault]]="NA","",(TA[[#This Row],[Fault Acknowledgement Time ]]-TA[[#This Row],[Fault Time]])*24)</f>
        <v>0</v>
      </c>
      <c r="AB379" s="27">
        <f>(TA[[#This Row],[Work Start time on Fault]]-TA[[#This Row],[Fault Time]])*24</f>
        <v>0</v>
      </c>
      <c r="AC379" s="26">
        <f>(TA[[#This Row],[Work Completion time on fault]]-TA[[#This Row],[Fault Time]])*24</f>
        <v>0</v>
      </c>
      <c r="AD379" s="27">
        <f>IFERROR((TA[[#This Row],[Work Completion time on fault]]-TA[[#This Row],[Fault Time]])*24,"")</f>
        <v>0</v>
      </c>
      <c r="AE379" t="s">
        <v>319</v>
      </c>
      <c r="AF379" t="s">
        <v>247</v>
      </c>
      <c r="AG379" s="2"/>
      <c r="AH379" s="35">
        <f>1-COS(RADIANS(TA[[#This Row],[Avg. Target Angle during Fault Time (Radians)]]-TA[[#This Row],[Angle of affected equipment ]]))</f>
        <v>0.11705240714107301</v>
      </c>
      <c r="AI379" s="27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43">
        <f t="shared" si="17"/>
        <v>2026</v>
      </c>
      <c r="C380" s="116">
        <f t="shared" si="18"/>
        <v>2025</v>
      </c>
      <c r="D380" s="2" t="s">
        <v>155</v>
      </c>
      <c r="E380" s="2" t="s">
        <v>155</v>
      </c>
      <c r="F380" s="30">
        <v>45748</v>
      </c>
      <c r="G380" s="2">
        <f>DAY(EOMONTH(TA[[#This Row],[Month Year]],0))</f>
        <v>30</v>
      </c>
      <c r="H380" s="21">
        <v>45770</v>
      </c>
      <c r="I380" s="32">
        <f>IFERROR(VLOOKUP(TA[[#This Row],[Date]],Raw_Data[[Date]:[Sunset Time (POA&lt;20 W/m2)]],3,0),"")</f>
        <v>0.26041666666666669</v>
      </c>
      <c r="J380" s="32">
        <f>IFERROR(VLOOKUP(TA[[#This Row],[Date]],Raw_Data[[Date]:[Sunset Time (POA&lt;20 W/m2)]],4,0),"")</f>
        <v>0.7631944444444444</v>
      </c>
      <c r="K380" s="27">
        <f>IFERROR((TA[[#This Row],[Sunset Time (POA&lt;20 W/m2)]]-TA[[#This Row],[Sunrise Time (POA&gt;20 W/m2)]])*24,"")</f>
        <v>12.066666666666666</v>
      </c>
      <c r="L380" s="2" t="s">
        <v>287</v>
      </c>
      <c r="M380" s="33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321</v>
      </c>
      <c r="Q380" s="2" t="s">
        <v>314</v>
      </c>
      <c r="R380">
        <v>30</v>
      </c>
      <c r="S380" s="2">
        <v>57</v>
      </c>
      <c r="T380" t="s">
        <v>288</v>
      </c>
      <c r="U380" t="s">
        <v>317</v>
      </c>
      <c r="V380" t="s">
        <v>292</v>
      </c>
      <c r="W380" s="32"/>
      <c r="X380" s="32"/>
      <c r="Y380" s="26"/>
      <c r="Z380" s="26"/>
      <c r="AA380" s="27">
        <f>IF(TA[[#This Row],[Work Start time on Fault]]="NA","",(TA[[#This Row],[Fault Acknowledgement Time ]]-TA[[#This Row],[Fault Time]])*24)</f>
        <v>0</v>
      </c>
      <c r="AB380" s="27">
        <f>(TA[[#This Row],[Work Start time on Fault]]-TA[[#This Row],[Fault Time]])*24</f>
        <v>0</v>
      </c>
      <c r="AC380" s="26">
        <f>(TA[[#This Row],[Work Completion time on fault]]-TA[[#This Row],[Fault Time]])*24</f>
        <v>0</v>
      </c>
      <c r="AD380" s="27">
        <f>IFERROR((TA[[#This Row],[Work Completion time on fault]]-TA[[#This Row],[Fault Time]])*24,"")</f>
        <v>0</v>
      </c>
      <c r="AE380" t="s">
        <v>319</v>
      </c>
      <c r="AF380" t="s">
        <v>247</v>
      </c>
      <c r="AG380" s="2"/>
      <c r="AH380" s="35">
        <f>1-COS(RADIANS(TA[[#This Row],[Avg. Target Angle during Fault Time (Radians)]]-TA[[#This Row],[Angle of affected equipment ]]))</f>
        <v>0.11705240714107301</v>
      </c>
      <c r="AI380" s="27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43">
        <f t="shared" si="17"/>
        <v>2026</v>
      </c>
      <c r="C381" s="116">
        <f t="shared" si="18"/>
        <v>2025</v>
      </c>
      <c r="D381" s="2" t="s">
        <v>155</v>
      </c>
      <c r="E381" s="2" t="s">
        <v>155</v>
      </c>
      <c r="F381" s="30">
        <v>45748</v>
      </c>
      <c r="G381" s="2">
        <f>DAY(EOMONTH(TA[[#This Row],[Month Year]],0))</f>
        <v>30</v>
      </c>
      <c r="H381" s="21">
        <v>45770</v>
      </c>
      <c r="I381" s="32">
        <f>IFERROR(VLOOKUP(TA[[#This Row],[Date]],Raw_Data[[Date]:[Sunset Time (POA&lt;20 W/m2)]],3,0),"")</f>
        <v>0.26041666666666669</v>
      </c>
      <c r="J381" s="32">
        <f>IFERROR(VLOOKUP(TA[[#This Row],[Date]],Raw_Data[[Date]:[Sunset Time (POA&lt;20 W/m2)]],4,0),"")</f>
        <v>0.7631944444444444</v>
      </c>
      <c r="K381" s="27">
        <f>IFERROR((TA[[#This Row],[Sunset Time (POA&lt;20 W/m2)]]-TA[[#This Row],[Sunrise Time (POA&gt;20 W/m2)]])*24,"")</f>
        <v>12.066666666666666</v>
      </c>
      <c r="L381" s="2" t="s">
        <v>287</v>
      </c>
      <c r="M381" s="33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321</v>
      </c>
      <c r="Q381" s="2" t="s">
        <v>314</v>
      </c>
      <c r="R381">
        <v>31</v>
      </c>
      <c r="S381" s="2">
        <v>61</v>
      </c>
      <c r="T381" t="s">
        <v>288</v>
      </c>
      <c r="U381" t="s">
        <v>317</v>
      </c>
      <c r="V381" t="s">
        <v>292</v>
      </c>
      <c r="W381" s="32"/>
      <c r="X381" s="32"/>
      <c r="Y381" s="26"/>
      <c r="Z381" s="26"/>
      <c r="AA381" s="27">
        <f>IF(TA[[#This Row],[Work Start time on Fault]]="NA","",(TA[[#This Row],[Fault Acknowledgement Time ]]-TA[[#This Row],[Fault Time]])*24)</f>
        <v>0</v>
      </c>
      <c r="AB381" s="27">
        <f>(TA[[#This Row],[Work Start time on Fault]]-TA[[#This Row],[Fault Time]])*24</f>
        <v>0</v>
      </c>
      <c r="AC381" s="26">
        <f>(TA[[#This Row],[Work Completion time on fault]]-TA[[#This Row],[Fault Time]])*24</f>
        <v>0</v>
      </c>
      <c r="AD381" s="27">
        <f>IFERROR((TA[[#This Row],[Work Completion time on fault]]-TA[[#This Row],[Fault Time]])*24,"")</f>
        <v>0</v>
      </c>
      <c r="AE381" t="s">
        <v>319</v>
      </c>
      <c r="AF381" t="s">
        <v>247</v>
      </c>
      <c r="AG381" s="2"/>
      <c r="AH381" s="35">
        <f>1-COS(RADIANS(TA[[#This Row],[Avg. Target Angle during Fault Time (Radians)]]-TA[[#This Row],[Angle of affected equipment ]]))</f>
        <v>0.11705240714107301</v>
      </c>
      <c r="AI381" s="27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43">
        <f t="shared" si="17"/>
        <v>2026</v>
      </c>
      <c r="C382" s="116">
        <f t="shared" si="18"/>
        <v>2025</v>
      </c>
      <c r="D382" s="2" t="s">
        <v>155</v>
      </c>
      <c r="E382" s="2" t="s">
        <v>155</v>
      </c>
      <c r="F382" s="30">
        <v>45748</v>
      </c>
      <c r="G382" s="2">
        <f>DAY(EOMONTH(TA[[#This Row],[Month Year]],0))</f>
        <v>30</v>
      </c>
      <c r="H382" s="21">
        <v>45770</v>
      </c>
      <c r="I382" s="32">
        <f>IFERROR(VLOOKUP(TA[[#This Row],[Date]],Raw_Data[[Date]:[Sunset Time (POA&lt;20 W/m2)]],3,0),"")</f>
        <v>0.26041666666666669</v>
      </c>
      <c r="J382" s="32">
        <f>IFERROR(VLOOKUP(TA[[#This Row],[Date]],Raw_Data[[Date]:[Sunset Time (POA&lt;20 W/m2)]],4,0),"")</f>
        <v>0.7631944444444444</v>
      </c>
      <c r="K382" s="27">
        <f>IFERROR((TA[[#This Row],[Sunset Time (POA&lt;20 W/m2)]]-TA[[#This Row],[Sunrise Time (POA&gt;20 W/m2)]])*24,"")</f>
        <v>12.066666666666666</v>
      </c>
      <c r="L382" s="2" t="s">
        <v>303</v>
      </c>
      <c r="M382" s="33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321</v>
      </c>
      <c r="Q382" s="2" t="s">
        <v>314</v>
      </c>
      <c r="R382">
        <v>26</v>
      </c>
      <c r="S382" s="2">
        <v>37</v>
      </c>
      <c r="T382" t="s">
        <v>288</v>
      </c>
      <c r="U382" t="s">
        <v>317</v>
      </c>
      <c r="V382" t="s">
        <v>292</v>
      </c>
      <c r="W382" s="32"/>
      <c r="X382" s="32"/>
      <c r="Y382" s="26"/>
      <c r="Z382" s="26"/>
      <c r="AA382" s="27">
        <f>IF(TA[[#This Row],[Work Start time on Fault]]="NA","",(TA[[#This Row],[Fault Acknowledgement Time ]]-TA[[#This Row],[Fault Time]])*24)</f>
        <v>0</v>
      </c>
      <c r="AB382" s="27">
        <f>(TA[[#This Row],[Work Start time on Fault]]-TA[[#This Row],[Fault Time]])*24</f>
        <v>0</v>
      </c>
      <c r="AC382" s="26">
        <f>(TA[[#This Row],[Work Completion time on fault]]-TA[[#This Row],[Fault Time]])*24</f>
        <v>0</v>
      </c>
      <c r="AD382" s="27">
        <f>IFERROR((TA[[#This Row],[Work Completion time on fault]]-TA[[#This Row],[Fault Time]])*24,"")</f>
        <v>0</v>
      </c>
      <c r="AE382" t="s">
        <v>319</v>
      </c>
      <c r="AF382" t="s">
        <v>247</v>
      </c>
      <c r="AG382" s="2"/>
      <c r="AH382" s="35">
        <f>1-COS(RADIANS(TA[[#This Row],[Avg. Target Angle during Fault Time (Radians)]]-TA[[#This Row],[Angle of affected equipment ]]))</f>
        <v>0.11705240714107301</v>
      </c>
      <c r="AI382" s="27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43">
        <f t="shared" si="17"/>
        <v>2026</v>
      </c>
      <c r="C383" s="116">
        <f t="shared" si="18"/>
        <v>2025</v>
      </c>
      <c r="D383" s="2" t="s">
        <v>155</v>
      </c>
      <c r="E383" s="2" t="s">
        <v>155</v>
      </c>
      <c r="F383" s="30">
        <v>45748</v>
      </c>
      <c r="G383" s="2">
        <f>DAY(EOMONTH(TA[[#This Row],[Month Year]],0))</f>
        <v>30</v>
      </c>
      <c r="H383" s="21">
        <v>45770</v>
      </c>
      <c r="I383" s="32">
        <f>IFERROR(VLOOKUP(TA[[#This Row],[Date]],Raw_Data[[Date]:[Sunset Time (POA&lt;20 W/m2)]],3,0),"")</f>
        <v>0.26041666666666669</v>
      </c>
      <c r="J383" s="32">
        <f>IFERROR(VLOOKUP(TA[[#This Row],[Date]],Raw_Data[[Date]:[Sunset Time (POA&lt;20 W/m2)]],4,0),"")</f>
        <v>0.7631944444444444</v>
      </c>
      <c r="K383" s="27">
        <f>IFERROR((TA[[#This Row],[Sunset Time (POA&lt;20 W/m2)]]-TA[[#This Row],[Sunrise Time (POA&gt;20 W/m2)]])*24,"")</f>
        <v>12.066666666666666</v>
      </c>
      <c r="L383" s="2" t="s">
        <v>303</v>
      </c>
      <c r="M383" s="33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321</v>
      </c>
      <c r="Q383" s="2" t="s">
        <v>314</v>
      </c>
      <c r="R383">
        <v>27</v>
      </c>
      <c r="S383" s="2">
        <v>42</v>
      </c>
      <c r="T383" t="s">
        <v>288</v>
      </c>
      <c r="U383" t="s">
        <v>317</v>
      </c>
      <c r="V383" t="s">
        <v>292</v>
      </c>
      <c r="W383" s="32">
        <f>IFERROR(VLOOKUP(TA[[#This Row],[Date]],Raw_Data[[Date]:[Sunset Time (POA&lt;20 W/m2)]],3,0),"")</f>
        <v>0.26041666666666669</v>
      </c>
      <c r="X383" s="32">
        <f>IFERROR(VLOOKUP(TA[[#This Row],[Date]],Raw_Data[[Date]:[Sunset Time (POA&lt;20 W/m2)]],3,0),"")</f>
        <v>0.26041666666666669</v>
      </c>
      <c r="Y383" s="26"/>
      <c r="Z383" s="26">
        <v>0.76041666666666663</v>
      </c>
      <c r="AA383" s="27">
        <f>IF(TA[[#This Row],[Work Start time on Fault]]="NA","",(TA[[#This Row],[Fault Acknowledgement Time ]]-TA[[#This Row],[Fault Time]])*24)</f>
        <v>0</v>
      </c>
      <c r="AB383" s="27">
        <f>(TA[[#This Row],[Work Start time on Fault]]-TA[[#This Row],[Fault Time]])*24</f>
        <v>-6.25</v>
      </c>
      <c r="AC383" s="26">
        <f>(TA[[#This Row],[Work Completion time on fault]]-TA[[#This Row],[Fault Time]])*24</f>
        <v>11.999999999999998</v>
      </c>
      <c r="AD383" s="27">
        <f>IFERROR((TA[[#This Row],[Work Completion time on fault]]-TA[[#This Row],[Fault Time]])*24,"")</f>
        <v>11.999999999999998</v>
      </c>
      <c r="AE383" t="s">
        <v>300</v>
      </c>
      <c r="AF383" t="s">
        <v>247</v>
      </c>
      <c r="AG383" s="2"/>
      <c r="AH383" s="35">
        <f>1-COS(RADIANS(TA[[#This Row],[Avg. Target Angle during Fault Time (Radians)]]-TA[[#This Row],[Angle of affected equipment ]]))</f>
        <v>0.11705240714107301</v>
      </c>
      <c r="AI383" s="27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43">
        <f t="shared" si="17"/>
        <v>2026</v>
      </c>
      <c r="C384" s="116">
        <f t="shared" si="18"/>
        <v>2025</v>
      </c>
      <c r="D384" s="2" t="s">
        <v>155</v>
      </c>
      <c r="E384" s="2" t="s">
        <v>155</v>
      </c>
      <c r="F384" s="30">
        <v>45748</v>
      </c>
      <c r="G384" s="2">
        <f>DAY(EOMONTH(TA[[#This Row],[Month Year]],0))</f>
        <v>30</v>
      </c>
      <c r="H384" s="21">
        <v>45771</v>
      </c>
      <c r="I384" s="32">
        <f>IFERROR(VLOOKUP(TA[[#This Row],[Date]],Raw_Data[[Date]:[Sunset Time (POA&lt;20 W/m2)]],3,0),"")</f>
        <v>0.26111111111111113</v>
      </c>
      <c r="J384" s="32">
        <f>IFERROR(VLOOKUP(TA[[#This Row],[Date]],Raw_Data[[Date]:[Sunset Time (POA&lt;20 W/m2)]],4,0),"")</f>
        <v>0.76041666666666663</v>
      </c>
      <c r="K384" s="27">
        <f>IFERROR((TA[[#This Row],[Sunset Time (POA&lt;20 W/m2)]]-TA[[#This Row],[Sunrise Time (POA&gt;20 W/m2)]])*24,"")</f>
        <v>11.983333333333333</v>
      </c>
      <c r="L384" s="2" t="s">
        <v>285</v>
      </c>
      <c r="M384" s="33">
        <f>IFERROR(VLOOKUP(TA[[#This Row],[Affected Equipment]],'Basic Data'!$I$2:$K$40,3,0),"")</f>
        <v>1.7241379310344799E-3</v>
      </c>
      <c r="N384">
        <v>-28</v>
      </c>
      <c r="O384" t="s">
        <v>135</v>
      </c>
      <c r="P384" s="114" t="s">
        <v>309</v>
      </c>
      <c r="Q384" s="113" t="s">
        <v>309</v>
      </c>
      <c r="R384">
        <v>130</v>
      </c>
      <c r="S384" s="2">
        <v>37</v>
      </c>
      <c r="T384" t="s">
        <v>286</v>
      </c>
      <c r="U384" t="s">
        <v>291</v>
      </c>
      <c r="V384" t="s">
        <v>289</v>
      </c>
      <c r="W384" s="32"/>
      <c r="X384" s="32"/>
      <c r="Y384" s="26"/>
      <c r="Z384" s="26"/>
      <c r="AA384" s="27">
        <f>IF(TA[[#This Row],[Work Start time on Fault]]="NA","",(TA[[#This Row],[Fault Acknowledgement Time ]]-TA[[#This Row],[Fault Time]])*24)</f>
        <v>0</v>
      </c>
      <c r="AB384" s="27">
        <f>(TA[[#This Row],[Work Start time on Fault]]-TA[[#This Row],[Fault Time]])*24</f>
        <v>0</v>
      </c>
      <c r="AC384" s="26">
        <f>(TA[[#This Row],[Work Completion time on fault]]-TA[[#This Row],[Fault Time]])*24</f>
        <v>0</v>
      </c>
      <c r="AD384" s="27">
        <f>IFERROR((TA[[#This Row],[Work Completion time on fault]]-TA[[#This Row],[Fault Time]])*24,"")</f>
        <v>0</v>
      </c>
      <c r="AE384" t="s">
        <v>319</v>
      </c>
      <c r="AF384" t="s">
        <v>247</v>
      </c>
      <c r="AG384" s="2"/>
      <c r="AH384" s="35">
        <f>1-COS(RADIANS(TA[[#This Row],[Avg. Target Angle during Fault Time (Radians)]]-TA[[#This Row],[Angle of affected equipment ]]))</f>
        <v>0.11705240714107301</v>
      </c>
      <c r="AI384" s="27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43">
        <f t="shared" si="17"/>
        <v>2026</v>
      </c>
      <c r="C385" s="116">
        <f t="shared" si="18"/>
        <v>2025</v>
      </c>
      <c r="D385" s="2" t="s">
        <v>155</v>
      </c>
      <c r="E385" s="2" t="s">
        <v>155</v>
      </c>
      <c r="F385" s="30">
        <v>45748</v>
      </c>
      <c r="G385" s="2">
        <f>DAY(EOMONTH(TA[[#This Row],[Month Year]],0))</f>
        <v>30</v>
      </c>
      <c r="H385" s="21">
        <v>45771</v>
      </c>
      <c r="I385" s="32">
        <f>IFERROR(VLOOKUP(TA[[#This Row],[Date]],Raw_Data[[Date]:[Sunset Time (POA&lt;20 W/m2)]],3,0),"")</f>
        <v>0.26111111111111113</v>
      </c>
      <c r="J385" s="32">
        <f>IFERROR(VLOOKUP(TA[[#This Row],[Date]],Raw_Data[[Date]:[Sunset Time (POA&lt;20 W/m2)]],4,0),"")</f>
        <v>0.76041666666666663</v>
      </c>
      <c r="K385" s="27">
        <f>IFERROR((TA[[#This Row],[Sunset Time (POA&lt;20 W/m2)]]-TA[[#This Row],[Sunrise Time (POA&gt;20 W/m2)]])*24,"")</f>
        <v>11.983333333333333</v>
      </c>
      <c r="L385" s="2" t="s">
        <v>285</v>
      </c>
      <c r="M385" s="33">
        <f>IFERROR(VLOOKUP(TA[[#This Row],[Affected Equipment]],'Basic Data'!$I$2:$K$40,3,0),"")</f>
        <v>1.7241379310344799E-3</v>
      </c>
      <c r="N385">
        <v>-28</v>
      </c>
      <c r="O385" t="s">
        <v>135</v>
      </c>
      <c r="P385" s="114" t="s">
        <v>309</v>
      </c>
      <c r="Q385" s="113" t="s">
        <v>309</v>
      </c>
      <c r="R385">
        <v>131</v>
      </c>
      <c r="S385" s="2">
        <v>38</v>
      </c>
      <c r="T385" t="s">
        <v>286</v>
      </c>
      <c r="U385" t="s">
        <v>291</v>
      </c>
      <c r="V385" t="s">
        <v>289</v>
      </c>
      <c r="W385" s="32"/>
      <c r="X385" s="32"/>
      <c r="Y385" s="26"/>
      <c r="Z385" s="26"/>
      <c r="AA385" s="27">
        <f>IF(TA[[#This Row],[Work Start time on Fault]]="NA","",(TA[[#This Row],[Fault Acknowledgement Time ]]-TA[[#This Row],[Fault Time]])*24)</f>
        <v>0</v>
      </c>
      <c r="AB385" s="27">
        <f>(TA[[#This Row],[Work Start time on Fault]]-TA[[#This Row],[Fault Time]])*24</f>
        <v>0</v>
      </c>
      <c r="AC385" s="26">
        <f>(TA[[#This Row],[Work Completion time on fault]]-TA[[#This Row],[Fault Time]])*24</f>
        <v>0</v>
      </c>
      <c r="AD385" s="27">
        <f>IFERROR((TA[[#This Row],[Work Completion time on fault]]-TA[[#This Row],[Fault Time]])*24,"")</f>
        <v>0</v>
      </c>
      <c r="AE385" t="s">
        <v>319</v>
      </c>
      <c r="AF385" t="s">
        <v>247</v>
      </c>
      <c r="AG385" s="2"/>
      <c r="AH385" s="35">
        <f>1-COS(RADIANS(TA[[#This Row],[Avg. Target Angle during Fault Time (Radians)]]-TA[[#This Row],[Angle of affected equipment ]]))</f>
        <v>0.11705240714107301</v>
      </c>
      <c r="AI385" s="27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43">
        <f t="shared" si="17"/>
        <v>2026</v>
      </c>
      <c r="C386" s="116">
        <f t="shared" si="18"/>
        <v>2025</v>
      </c>
      <c r="D386" s="2" t="s">
        <v>155</v>
      </c>
      <c r="E386" s="2" t="s">
        <v>155</v>
      </c>
      <c r="F386" s="30">
        <v>45748</v>
      </c>
      <c r="G386" s="2">
        <f>DAY(EOMONTH(TA[[#This Row],[Month Year]],0))</f>
        <v>30</v>
      </c>
      <c r="H386" s="21">
        <v>45771</v>
      </c>
      <c r="I386" s="32">
        <f>IFERROR(VLOOKUP(TA[[#This Row],[Date]],Raw_Data[[Date]:[Sunset Time (POA&lt;20 W/m2)]],3,0),"")</f>
        <v>0.26111111111111113</v>
      </c>
      <c r="J386" s="32">
        <f>IFERROR(VLOOKUP(TA[[#This Row],[Date]],Raw_Data[[Date]:[Sunset Time (POA&lt;20 W/m2)]],4,0),"")</f>
        <v>0.76041666666666663</v>
      </c>
      <c r="K386" s="27">
        <f>IFERROR((TA[[#This Row],[Sunset Time (POA&lt;20 W/m2)]]-TA[[#This Row],[Sunrise Time (POA&gt;20 W/m2)]])*24,"")</f>
        <v>11.983333333333333</v>
      </c>
      <c r="L386" s="2" t="s">
        <v>285</v>
      </c>
      <c r="M386" s="33">
        <f>IFERROR(VLOOKUP(TA[[#This Row],[Affected Equipment]],'Basic Data'!$I$2:$K$40,3,0),"")</f>
        <v>1.7241379310344799E-3</v>
      </c>
      <c r="N386">
        <v>-28</v>
      </c>
      <c r="O386" t="s">
        <v>135</v>
      </c>
      <c r="P386" s="114" t="s">
        <v>309</v>
      </c>
      <c r="Q386" s="113" t="s">
        <v>309</v>
      </c>
      <c r="R386">
        <v>131</v>
      </c>
      <c r="S386" s="2">
        <v>39</v>
      </c>
      <c r="T386" t="s">
        <v>286</v>
      </c>
      <c r="U386" t="s">
        <v>291</v>
      </c>
      <c r="V386" t="s">
        <v>289</v>
      </c>
      <c r="W386" s="32"/>
      <c r="X386" s="32"/>
      <c r="Y386" s="26"/>
      <c r="Z386" s="26"/>
      <c r="AA386" s="27">
        <f>IF(TA[[#This Row],[Work Start time on Fault]]="NA","",(TA[[#This Row],[Fault Acknowledgement Time ]]-TA[[#This Row],[Fault Time]])*24)</f>
        <v>0</v>
      </c>
      <c r="AB386" s="27">
        <f>(TA[[#This Row],[Work Start time on Fault]]-TA[[#This Row],[Fault Time]])*24</f>
        <v>0</v>
      </c>
      <c r="AC386" s="26">
        <f>(TA[[#This Row],[Work Completion time on fault]]-TA[[#This Row],[Fault Time]])*24</f>
        <v>0</v>
      </c>
      <c r="AD386" s="27">
        <f>IFERROR((TA[[#This Row],[Work Completion time on fault]]-TA[[#This Row],[Fault Time]])*24,"")</f>
        <v>0</v>
      </c>
      <c r="AE386" t="s">
        <v>319</v>
      </c>
      <c r="AF386" t="s">
        <v>247</v>
      </c>
      <c r="AG386" s="2"/>
      <c r="AH386" s="35">
        <f>1-COS(RADIANS(TA[[#This Row],[Avg. Target Angle during Fault Time (Radians)]]-TA[[#This Row],[Angle of affected equipment ]]))</f>
        <v>0.11705240714107301</v>
      </c>
      <c r="AI386" s="27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43">
        <f t="shared" si="17"/>
        <v>2026</v>
      </c>
      <c r="C387" s="116">
        <f t="shared" si="18"/>
        <v>2025</v>
      </c>
      <c r="D387" s="2" t="s">
        <v>155</v>
      </c>
      <c r="E387" s="2" t="s">
        <v>155</v>
      </c>
      <c r="F387" s="30">
        <v>45748</v>
      </c>
      <c r="G387" s="2">
        <f>DAY(EOMONTH(TA[[#This Row],[Month Year]],0))</f>
        <v>30</v>
      </c>
      <c r="H387" s="21">
        <v>45771</v>
      </c>
      <c r="I387" s="32">
        <f>IFERROR(VLOOKUP(TA[[#This Row],[Date]],Raw_Data[[Date]:[Sunset Time (POA&lt;20 W/m2)]],3,0),"")</f>
        <v>0.26111111111111113</v>
      </c>
      <c r="J387" s="32">
        <f>IFERROR(VLOOKUP(TA[[#This Row],[Date]],Raw_Data[[Date]:[Sunset Time (POA&lt;20 W/m2)]],4,0),"")</f>
        <v>0.76041666666666663</v>
      </c>
      <c r="K387" s="27">
        <f>IFERROR((TA[[#This Row],[Sunset Time (POA&lt;20 W/m2)]]-TA[[#This Row],[Sunrise Time (POA&gt;20 W/m2)]])*24,"")</f>
        <v>11.983333333333333</v>
      </c>
      <c r="L387" s="2" t="s">
        <v>287</v>
      </c>
      <c r="M387" s="33">
        <f>IFERROR(VLOOKUP(TA[[#This Row],[Affected Equipment]],'Basic Data'!$I$2:$K$40,3,0),"")</f>
        <v>8.6206896551724102E-3</v>
      </c>
      <c r="N387">
        <v>-28</v>
      </c>
      <c r="O387" t="s">
        <v>135</v>
      </c>
      <c r="P387" s="114" t="s">
        <v>309</v>
      </c>
      <c r="Q387" s="2" t="s">
        <v>312</v>
      </c>
      <c r="R387">
        <v>133</v>
      </c>
      <c r="S387" s="2">
        <v>26</v>
      </c>
      <c r="T387" t="s">
        <v>288</v>
      </c>
      <c r="U387" t="s">
        <v>291</v>
      </c>
      <c r="V387" t="s">
        <v>305</v>
      </c>
      <c r="W387" s="32">
        <f>IFERROR(VLOOKUP(TA[[#This Row],[Date]],Raw_Data[[Date]:[Sunset Time (POA&lt;20 W/m2)]],3,0),"")</f>
        <v>0.26111111111111113</v>
      </c>
      <c r="X387" s="32">
        <f>IFERROR(VLOOKUP(TA[[#This Row],[Date]],Raw_Data[[Date]:[Sunset Time (POA&lt;20 W/m2)]],3,0),"")</f>
        <v>0.26111111111111113</v>
      </c>
      <c r="Y387" s="26"/>
      <c r="Z387" s="26">
        <v>0.76041666666666663</v>
      </c>
      <c r="AA387" s="27">
        <f>IF(TA[[#This Row],[Work Start time on Fault]]="NA","",(TA[[#This Row],[Fault Acknowledgement Time ]]-TA[[#This Row],[Fault Time]])*24)</f>
        <v>0</v>
      </c>
      <c r="AB387" s="27">
        <f>(TA[[#This Row],[Work Start time on Fault]]-TA[[#This Row],[Fault Time]])*24</f>
        <v>-6.2666666666666675</v>
      </c>
      <c r="AC387" s="26">
        <f>(TA[[#This Row],[Work Completion time on fault]]-TA[[#This Row],[Fault Time]])*24</f>
        <v>11.983333333333333</v>
      </c>
      <c r="AD387" s="27">
        <f>IFERROR((TA[[#This Row],[Work Completion time on fault]]-TA[[#This Row],[Fault Time]])*24,"")</f>
        <v>11.983333333333333</v>
      </c>
      <c r="AE387" t="s">
        <v>319</v>
      </c>
      <c r="AF387" t="s">
        <v>247</v>
      </c>
      <c r="AG387" s="2"/>
      <c r="AH387" s="35">
        <f>1-COS(RADIANS(TA[[#This Row],[Avg. Target Angle during Fault Time (Radians)]]-TA[[#This Row],[Angle of affected equipment ]]))</f>
        <v>0.11705240714107301</v>
      </c>
      <c r="AI387" s="27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43">
        <f t="shared" si="17"/>
        <v>2026</v>
      </c>
      <c r="C388" s="116">
        <f t="shared" si="18"/>
        <v>2025</v>
      </c>
      <c r="D388" s="2" t="s">
        <v>155</v>
      </c>
      <c r="E388" s="2" t="s">
        <v>155</v>
      </c>
      <c r="F388" s="30">
        <v>45748</v>
      </c>
      <c r="G388" s="2">
        <f>DAY(EOMONTH(TA[[#This Row],[Month Year]],0))</f>
        <v>30</v>
      </c>
      <c r="H388" s="21">
        <v>45771</v>
      </c>
      <c r="I388" s="32">
        <f>IFERROR(VLOOKUP(TA[[#This Row],[Date]],Raw_Data[[Date]:[Sunset Time (POA&lt;20 W/m2)]],3,0),"")</f>
        <v>0.26111111111111113</v>
      </c>
      <c r="J388" s="32">
        <f>IFERROR(VLOOKUP(TA[[#This Row],[Date]],Raw_Data[[Date]:[Sunset Time (POA&lt;20 W/m2)]],4,0),"")</f>
        <v>0.76041666666666663</v>
      </c>
      <c r="K388" s="27">
        <f>IFERROR((TA[[#This Row],[Sunset Time (POA&lt;20 W/m2)]]-TA[[#This Row],[Sunrise Time (POA&gt;20 W/m2)]])*24,"")</f>
        <v>11.983333333333333</v>
      </c>
      <c r="L388" s="2" t="s">
        <v>285</v>
      </c>
      <c r="M388" s="33">
        <f>IFERROR(VLOOKUP(TA[[#This Row],[Affected Equipment]],'Basic Data'!$I$2:$K$40,3,0),"")</f>
        <v>1.7241379310344799E-3</v>
      </c>
      <c r="N388">
        <v>-28</v>
      </c>
      <c r="O388" t="s">
        <v>133</v>
      </c>
      <c r="P388" s="114" t="s">
        <v>307</v>
      </c>
      <c r="Q388" s="113" t="s">
        <v>308</v>
      </c>
      <c r="R388">
        <v>7</v>
      </c>
      <c r="S388" s="2">
        <v>32</v>
      </c>
      <c r="T388" t="s">
        <v>286</v>
      </c>
      <c r="U388" t="s">
        <v>291</v>
      </c>
      <c r="V388" t="s">
        <v>289</v>
      </c>
      <c r="W388" s="32"/>
      <c r="X388" s="32"/>
      <c r="Y388" s="26"/>
      <c r="Z388" s="26"/>
      <c r="AA388" s="27">
        <f>IF(TA[[#This Row],[Work Start time on Fault]]="NA","",(TA[[#This Row],[Fault Acknowledgement Time ]]-TA[[#This Row],[Fault Time]])*24)</f>
        <v>0</v>
      </c>
      <c r="AB388" s="27">
        <f>(TA[[#This Row],[Work Start time on Fault]]-TA[[#This Row],[Fault Time]])*24</f>
        <v>0</v>
      </c>
      <c r="AC388" s="26">
        <f>(TA[[#This Row],[Work Completion time on fault]]-TA[[#This Row],[Fault Time]])*24</f>
        <v>0</v>
      </c>
      <c r="AD388" s="27">
        <f>IFERROR((TA[[#This Row],[Work Completion time on fault]]-TA[[#This Row],[Fault Time]])*24,"")</f>
        <v>0</v>
      </c>
      <c r="AE388" t="s">
        <v>319</v>
      </c>
      <c r="AF388" t="s">
        <v>247</v>
      </c>
      <c r="AG388" s="2"/>
      <c r="AH388" s="35">
        <f>1-COS(RADIANS(TA[[#This Row],[Avg. Target Angle during Fault Time (Radians)]]-TA[[#This Row],[Angle of affected equipment ]]))</f>
        <v>0.11705240714107301</v>
      </c>
      <c r="AI388" s="27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43">
        <f t="shared" ref="B389:B452" si="21">YEAR(H389)+IF(MONTH(H389)&gt;=4,1,0)</f>
        <v>2026</v>
      </c>
      <c r="C389" s="116">
        <f t="shared" ref="C389:C452" si="22">YEAR(H389)</f>
        <v>2025</v>
      </c>
      <c r="D389" s="2" t="s">
        <v>155</v>
      </c>
      <c r="E389" s="2" t="s">
        <v>155</v>
      </c>
      <c r="F389" s="30">
        <v>45748</v>
      </c>
      <c r="G389" s="2">
        <f>DAY(EOMONTH(TA[[#This Row],[Month Year]],0))</f>
        <v>30</v>
      </c>
      <c r="H389" s="21">
        <v>45771</v>
      </c>
      <c r="I389" s="32">
        <f>IFERROR(VLOOKUP(TA[[#This Row],[Date]],Raw_Data[[Date]:[Sunset Time (POA&lt;20 W/m2)]],3,0),"")</f>
        <v>0.26111111111111113</v>
      </c>
      <c r="J389" s="32">
        <f>IFERROR(VLOOKUP(TA[[#This Row],[Date]],Raw_Data[[Date]:[Sunset Time (POA&lt;20 W/m2)]],4,0),"")</f>
        <v>0.76041666666666663</v>
      </c>
      <c r="K389" s="27">
        <f>IFERROR((TA[[#This Row],[Sunset Time (POA&lt;20 W/m2)]]-TA[[#This Row],[Sunrise Time (POA&gt;20 W/m2)]])*24,"")</f>
        <v>11.983333333333333</v>
      </c>
      <c r="L389" s="2" t="s">
        <v>285</v>
      </c>
      <c r="M389" s="33">
        <f>IFERROR(VLOOKUP(TA[[#This Row],[Affected Equipment]],'Basic Data'!$I$2:$K$40,3,0),"")</f>
        <v>1.7241379310344799E-3</v>
      </c>
      <c r="N389">
        <v>-28</v>
      </c>
      <c r="O389" t="s">
        <v>137</v>
      </c>
      <c r="P389" s="114" t="s">
        <v>306</v>
      </c>
      <c r="Q389" s="113" t="s">
        <v>310</v>
      </c>
      <c r="R389">
        <v>166</v>
      </c>
      <c r="S389" s="2">
        <v>91</v>
      </c>
      <c r="T389" t="s">
        <v>286</v>
      </c>
      <c r="U389" t="s">
        <v>291</v>
      </c>
      <c r="V389" t="s">
        <v>289</v>
      </c>
      <c r="W389" s="32"/>
      <c r="X389" s="32"/>
      <c r="Y389" s="26"/>
      <c r="Z389" s="26"/>
      <c r="AA389" s="27">
        <f>IF(TA[[#This Row],[Work Start time on Fault]]="NA","",(TA[[#This Row],[Fault Acknowledgement Time ]]-TA[[#This Row],[Fault Time]])*24)</f>
        <v>0</v>
      </c>
      <c r="AB389" s="27">
        <f>(TA[[#This Row],[Work Start time on Fault]]-TA[[#This Row],[Fault Time]])*24</f>
        <v>0</v>
      </c>
      <c r="AC389" s="26">
        <f>(TA[[#This Row],[Work Completion time on fault]]-TA[[#This Row],[Fault Time]])*24</f>
        <v>0</v>
      </c>
      <c r="AD389" s="27">
        <f>IFERROR((TA[[#This Row],[Work Completion time on fault]]-TA[[#This Row],[Fault Time]])*24,"")</f>
        <v>0</v>
      </c>
      <c r="AE389" t="s">
        <v>319</v>
      </c>
      <c r="AF389" t="s">
        <v>247</v>
      </c>
      <c r="AG389" s="2"/>
      <c r="AH389" s="35">
        <f>1-COS(RADIANS(TA[[#This Row],[Avg. Target Angle during Fault Time (Radians)]]-TA[[#This Row],[Angle of affected equipment ]]))</f>
        <v>0.11705240714107301</v>
      </c>
      <c r="AI389" s="27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43">
        <f t="shared" si="21"/>
        <v>2026</v>
      </c>
      <c r="C390" s="116">
        <f t="shared" si="22"/>
        <v>2025</v>
      </c>
      <c r="D390" s="2" t="s">
        <v>155</v>
      </c>
      <c r="E390" s="2" t="s">
        <v>155</v>
      </c>
      <c r="F390" s="30">
        <v>45748</v>
      </c>
      <c r="G390" s="2">
        <f>DAY(EOMONTH(TA[[#This Row],[Month Year]],0))</f>
        <v>30</v>
      </c>
      <c r="H390" s="21">
        <v>45771</v>
      </c>
      <c r="I390" s="32">
        <f>IFERROR(VLOOKUP(TA[[#This Row],[Date]],Raw_Data[[Date]:[Sunset Time (POA&lt;20 W/m2)]],3,0),"")</f>
        <v>0.26111111111111113</v>
      </c>
      <c r="J390" s="32">
        <f>IFERROR(VLOOKUP(TA[[#This Row],[Date]],Raw_Data[[Date]:[Sunset Time (POA&lt;20 W/m2)]],4,0),"")</f>
        <v>0.76041666666666663</v>
      </c>
      <c r="K390" s="27">
        <f>IFERROR((TA[[#This Row],[Sunset Time (POA&lt;20 W/m2)]]-TA[[#This Row],[Sunrise Time (POA&gt;20 W/m2)]])*24,"")</f>
        <v>11.983333333333333</v>
      </c>
      <c r="L390" s="2" t="s">
        <v>285</v>
      </c>
      <c r="M390" s="33">
        <f>IFERROR(VLOOKUP(TA[[#This Row],[Affected Equipment]],'Basic Data'!$I$2:$K$40,3,0),"")</f>
        <v>1.7241379310344799E-3</v>
      </c>
      <c r="N390">
        <v>-28</v>
      </c>
      <c r="O390" t="s">
        <v>133</v>
      </c>
      <c r="P390" s="114" t="s">
        <v>307</v>
      </c>
      <c r="Q390" s="113" t="s">
        <v>307</v>
      </c>
      <c r="R390">
        <v>117</v>
      </c>
      <c r="S390" s="2">
        <v>20</v>
      </c>
      <c r="T390" t="s">
        <v>286</v>
      </c>
      <c r="U390" t="s">
        <v>291</v>
      </c>
      <c r="V390" t="s">
        <v>289</v>
      </c>
      <c r="W390" s="32"/>
      <c r="X390" s="32"/>
      <c r="Y390" s="26"/>
      <c r="Z390" s="26"/>
      <c r="AA390" s="27">
        <f>IF(TA[[#This Row],[Work Start time on Fault]]="NA","",(TA[[#This Row],[Fault Acknowledgement Time ]]-TA[[#This Row],[Fault Time]])*24)</f>
        <v>0</v>
      </c>
      <c r="AB390" s="27">
        <f>(TA[[#This Row],[Work Start time on Fault]]-TA[[#This Row],[Fault Time]])*24</f>
        <v>0</v>
      </c>
      <c r="AC390" s="26">
        <f>(TA[[#This Row],[Work Completion time on fault]]-TA[[#This Row],[Fault Time]])*24</f>
        <v>0</v>
      </c>
      <c r="AD390" s="27">
        <f>IFERROR((TA[[#This Row],[Work Completion time on fault]]-TA[[#This Row],[Fault Time]])*24,"")</f>
        <v>0</v>
      </c>
      <c r="AE390" t="s">
        <v>319</v>
      </c>
      <c r="AF390" t="s">
        <v>247</v>
      </c>
      <c r="AG390" s="2"/>
      <c r="AH390" s="35">
        <f>1-COS(RADIANS(TA[[#This Row],[Avg. Target Angle during Fault Time (Radians)]]-TA[[#This Row],[Angle of affected equipment ]]))</f>
        <v>0.11705240714107301</v>
      </c>
      <c r="AI390" s="27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43">
        <f t="shared" si="21"/>
        <v>2026</v>
      </c>
      <c r="C391" s="116">
        <f t="shared" si="22"/>
        <v>2025</v>
      </c>
      <c r="D391" s="2" t="s">
        <v>155</v>
      </c>
      <c r="E391" s="2" t="s">
        <v>155</v>
      </c>
      <c r="F391" s="30">
        <v>45748</v>
      </c>
      <c r="G391" s="2">
        <f>DAY(EOMONTH(TA[[#This Row],[Month Year]],0))</f>
        <v>30</v>
      </c>
      <c r="H391" s="21">
        <v>45771</v>
      </c>
      <c r="I391" s="32">
        <f>IFERROR(VLOOKUP(TA[[#This Row],[Date]],Raw_Data[[Date]:[Sunset Time (POA&lt;20 W/m2)]],3,0),"")</f>
        <v>0.26111111111111113</v>
      </c>
      <c r="J391" s="32">
        <f>IFERROR(VLOOKUP(TA[[#This Row],[Date]],Raw_Data[[Date]:[Sunset Time (POA&lt;20 W/m2)]],4,0),"")</f>
        <v>0.76041666666666663</v>
      </c>
      <c r="K391" s="27">
        <f>IFERROR((TA[[#This Row],[Sunset Time (POA&lt;20 W/m2)]]-TA[[#This Row],[Sunrise Time (POA&gt;20 W/m2)]])*24,"")</f>
        <v>11.983333333333333</v>
      </c>
      <c r="L391" s="2" t="s">
        <v>285</v>
      </c>
      <c r="M391" s="33">
        <f>IFERROR(VLOOKUP(TA[[#This Row],[Affected Equipment]],'Basic Data'!$I$2:$K$40,3,0),"")</f>
        <v>1.7241379310344799E-3</v>
      </c>
      <c r="N391">
        <v>-28</v>
      </c>
      <c r="O391" t="s">
        <v>133</v>
      </c>
      <c r="P391" s="114" t="s">
        <v>307</v>
      </c>
      <c r="Q391" s="113" t="s">
        <v>307</v>
      </c>
      <c r="R391">
        <v>118</v>
      </c>
      <c r="S391" s="2">
        <v>22</v>
      </c>
      <c r="T391" t="s">
        <v>286</v>
      </c>
      <c r="U391" t="s">
        <v>291</v>
      </c>
      <c r="V391" t="s">
        <v>289</v>
      </c>
      <c r="W391" s="32"/>
      <c r="X391" s="32"/>
      <c r="Y391" s="26"/>
      <c r="Z391" s="26"/>
      <c r="AA391" s="27">
        <f>IF(TA[[#This Row],[Work Start time on Fault]]="NA","",(TA[[#This Row],[Fault Acknowledgement Time ]]-TA[[#This Row],[Fault Time]])*24)</f>
        <v>0</v>
      </c>
      <c r="AB391" s="27">
        <f>(TA[[#This Row],[Work Start time on Fault]]-TA[[#This Row],[Fault Time]])*24</f>
        <v>0</v>
      </c>
      <c r="AC391" s="26">
        <f>(TA[[#This Row],[Work Completion time on fault]]-TA[[#This Row],[Fault Time]])*24</f>
        <v>0</v>
      </c>
      <c r="AD391" s="27">
        <f>IFERROR((TA[[#This Row],[Work Completion time on fault]]-TA[[#This Row],[Fault Time]])*24,"")</f>
        <v>0</v>
      </c>
      <c r="AE391" t="s">
        <v>319</v>
      </c>
      <c r="AF391" t="s">
        <v>247</v>
      </c>
      <c r="AG391" s="2"/>
      <c r="AH391" s="35">
        <f>1-COS(RADIANS(TA[[#This Row],[Avg. Target Angle during Fault Time (Radians)]]-TA[[#This Row],[Angle of affected equipment ]]))</f>
        <v>0.11705240714107301</v>
      </c>
      <c r="AI391" s="27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43">
        <f t="shared" si="21"/>
        <v>2026</v>
      </c>
      <c r="C392" s="116">
        <f t="shared" si="22"/>
        <v>2025</v>
      </c>
      <c r="D392" s="2" t="s">
        <v>155</v>
      </c>
      <c r="E392" s="2" t="s">
        <v>155</v>
      </c>
      <c r="F392" s="30">
        <v>45748</v>
      </c>
      <c r="G392" s="2">
        <f>DAY(EOMONTH(TA[[#This Row],[Month Year]],0))</f>
        <v>30</v>
      </c>
      <c r="H392" s="21">
        <v>45771</v>
      </c>
      <c r="I392" s="32">
        <f>IFERROR(VLOOKUP(TA[[#This Row],[Date]],Raw_Data[[Date]:[Sunset Time (POA&lt;20 W/m2)]],3,0),"")</f>
        <v>0.26111111111111113</v>
      </c>
      <c r="J392" s="32">
        <f>IFERROR(VLOOKUP(TA[[#This Row],[Date]],Raw_Data[[Date]:[Sunset Time (POA&lt;20 W/m2)]],4,0),"")</f>
        <v>0.76041666666666663</v>
      </c>
      <c r="K392" s="27">
        <f>IFERROR((TA[[#This Row],[Sunset Time (POA&lt;20 W/m2)]]-TA[[#This Row],[Sunrise Time (POA&gt;20 W/m2)]])*24,"")</f>
        <v>11.983333333333333</v>
      </c>
      <c r="L392" s="2" t="s">
        <v>287</v>
      </c>
      <c r="M392" s="33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314</v>
      </c>
      <c r="Q392" s="2" t="s">
        <v>320</v>
      </c>
      <c r="R392">
        <v>45</v>
      </c>
      <c r="S392" s="2">
        <v>8</v>
      </c>
      <c r="T392" t="s">
        <v>288</v>
      </c>
      <c r="U392" t="s">
        <v>317</v>
      </c>
      <c r="V392" t="s">
        <v>292</v>
      </c>
      <c r="W392" s="32"/>
      <c r="X392" s="32"/>
      <c r="Y392" s="26"/>
      <c r="Z392" s="26"/>
      <c r="AA392" s="27">
        <f>IF(TA[[#This Row],[Work Start time on Fault]]="NA","",(TA[[#This Row],[Fault Acknowledgement Time ]]-TA[[#This Row],[Fault Time]])*24)</f>
        <v>0</v>
      </c>
      <c r="AB392" s="27">
        <f>(TA[[#This Row],[Work Start time on Fault]]-TA[[#This Row],[Fault Time]])*24</f>
        <v>0</v>
      </c>
      <c r="AC392" s="26">
        <f>(TA[[#This Row],[Work Completion time on fault]]-TA[[#This Row],[Fault Time]])*24</f>
        <v>0</v>
      </c>
      <c r="AD392" s="27">
        <f>IFERROR((TA[[#This Row],[Work Completion time on fault]]-TA[[#This Row],[Fault Time]])*24,"")</f>
        <v>0</v>
      </c>
      <c r="AE392" t="s">
        <v>319</v>
      </c>
      <c r="AF392" t="s">
        <v>247</v>
      </c>
      <c r="AG392" s="2"/>
      <c r="AH392" s="35">
        <f>1-COS(RADIANS(TA[[#This Row],[Avg. Target Angle during Fault Time (Radians)]]-TA[[#This Row],[Angle of affected equipment ]]))</f>
        <v>0.11705240714107301</v>
      </c>
      <c r="AI392" s="27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43">
        <f t="shared" si="21"/>
        <v>2026</v>
      </c>
      <c r="C393" s="116">
        <f t="shared" si="22"/>
        <v>2025</v>
      </c>
      <c r="D393" s="2" t="s">
        <v>155</v>
      </c>
      <c r="E393" s="2" t="s">
        <v>155</v>
      </c>
      <c r="F393" s="30">
        <v>45748</v>
      </c>
      <c r="G393" s="2">
        <f>DAY(EOMONTH(TA[[#This Row],[Month Year]],0))</f>
        <v>30</v>
      </c>
      <c r="H393" s="21">
        <v>45771</v>
      </c>
      <c r="I393" s="32">
        <f>IFERROR(VLOOKUP(TA[[#This Row],[Date]],Raw_Data[[Date]:[Sunset Time (POA&lt;20 W/m2)]],3,0),"")</f>
        <v>0.26111111111111113</v>
      </c>
      <c r="J393" s="32">
        <f>IFERROR(VLOOKUP(TA[[#This Row],[Date]],Raw_Data[[Date]:[Sunset Time (POA&lt;20 W/m2)]],4,0),"")</f>
        <v>0.76041666666666663</v>
      </c>
      <c r="K393" s="27">
        <f>IFERROR((TA[[#This Row],[Sunset Time (POA&lt;20 W/m2)]]-TA[[#This Row],[Sunrise Time (POA&gt;20 W/m2)]])*24,"")</f>
        <v>11.983333333333333</v>
      </c>
      <c r="L393" s="2" t="s">
        <v>287</v>
      </c>
      <c r="M393" s="33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314</v>
      </c>
      <c r="Q393" s="2" t="s">
        <v>320</v>
      </c>
      <c r="R393">
        <v>47</v>
      </c>
      <c r="S393" s="2">
        <v>18</v>
      </c>
      <c r="T393" t="s">
        <v>288</v>
      </c>
      <c r="U393" t="s">
        <v>317</v>
      </c>
      <c r="V393" t="s">
        <v>292</v>
      </c>
      <c r="W393" s="32"/>
      <c r="X393" s="32"/>
      <c r="Y393" s="26"/>
      <c r="Z393" s="26"/>
      <c r="AA393" s="27">
        <f>IF(TA[[#This Row],[Work Start time on Fault]]="NA","",(TA[[#This Row],[Fault Acknowledgement Time ]]-TA[[#This Row],[Fault Time]])*24)</f>
        <v>0</v>
      </c>
      <c r="AB393" s="27">
        <f>(TA[[#This Row],[Work Start time on Fault]]-TA[[#This Row],[Fault Time]])*24</f>
        <v>0</v>
      </c>
      <c r="AC393" s="26">
        <f>(TA[[#This Row],[Work Completion time on fault]]-TA[[#This Row],[Fault Time]])*24</f>
        <v>0</v>
      </c>
      <c r="AD393" s="27">
        <f>IFERROR((TA[[#This Row],[Work Completion time on fault]]-TA[[#This Row],[Fault Time]])*24,"")</f>
        <v>0</v>
      </c>
      <c r="AE393" t="s">
        <v>319</v>
      </c>
      <c r="AF393" t="s">
        <v>247</v>
      </c>
      <c r="AG393" s="2"/>
      <c r="AH393" s="35">
        <f>1-COS(RADIANS(TA[[#This Row],[Avg. Target Angle during Fault Time (Radians)]]-TA[[#This Row],[Angle of affected equipment ]]))</f>
        <v>0.11705240714107301</v>
      </c>
      <c r="AI393" s="27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43">
        <f t="shared" si="21"/>
        <v>2026</v>
      </c>
      <c r="C394" s="116">
        <f t="shared" si="22"/>
        <v>2025</v>
      </c>
      <c r="D394" s="2" t="s">
        <v>155</v>
      </c>
      <c r="E394" s="2" t="s">
        <v>155</v>
      </c>
      <c r="F394" s="30">
        <v>45748</v>
      </c>
      <c r="G394" s="2">
        <f>DAY(EOMONTH(TA[[#This Row],[Month Year]],0))</f>
        <v>30</v>
      </c>
      <c r="H394" s="21">
        <v>45771</v>
      </c>
      <c r="I394" s="32">
        <f>IFERROR(VLOOKUP(TA[[#This Row],[Date]],Raw_Data[[Date]:[Sunset Time (POA&lt;20 W/m2)]],3,0),"")</f>
        <v>0.26111111111111113</v>
      </c>
      <c r="J394" s="32">
        <f>IFERROR(VLOOKUP(TA[[#This Row],[Date]],Raw_Data[[Date]:[Sunset Time (POA&lt;20 W/m2)]],4,0),"")</f>
        <v>0.76041666666666663</v>
      </c>
      <c r="K394" s="27">
        <f>IFERROR((TA[[#This Row],[Sunset Time (POA&lt;20 W/m2)]]-TA[[#This Row],[Sunrise Time (POA&gt;20 W/m2)]])*24,"")</f>
        <v>11.983333333333333</v>
      </c>
      <c r="L394" s="2" t="s">
        <v>287</v>
      </c>
      <c r="M394" s="33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321</v>
      </c>
      <c r="Q394" s="2" t="s">
        <v>314</v>
      </c>
      <c r="R394">
        <v>30</v>
      </c>
      <c r="S394" s="2">
        <v>57</v>
      </c>
      <c r="T394" t="s">
        <v>288</v>
      </c>
      <c r="U394" t="s">
        <v>317</v>
      </c>
      <c r="V394" t="s">
        <v>292</v>
      </c>
      <c r="W394" s="32"/>
      <c r="X394" s="32"/>
      <c r="Y394" s="26"/>
      <c r="Z394" s="26"/>
      <c r="AA394" s="27">
        <f>IF(TA[[#This Row],[Work Start time on Fault]]="NA","",(TA[[#This Row],[Fault Acknowledgement Time ]]-TA[[#This Row],[Fault Time]])*24)</f>
        <v>0</v>
      </c>
      <c r="AB394" s="27">
        <f>(TA[[#This Row],[Work Start time on Fault]]-TA[[#This Row],[Fault Time]])*24</f>
        <v>0</v>
      </c>
      <c r="AC394" s="26">
        <f>(TA[[#This Row],[Work Completion time on fault]]-TA[[#This Row],[Fault Time]])*24</f>
        <v>0</v>
      </c>
      <c r="AD394" s="27">
        <f>IFERROR((TA[[#This Row],[Work Completion time on fault]]-TA[[#This Row],[Fault Time]])*24,"")</f>
        <v>0</v>
      </c>
      <c r="AE394" t="s">
        <v>319</v>
      </c>
      <c r="AF394" t="s">
        <v>247</v>
      </c>
      <c r="AG394" s="2"/>
      <c r="AH394" s="35">
        <f>1-COS(RADIANS(TA[[#This Row],[Avg. Target Angle during Fault Time (Radians)]]-TA[[#This Row],[Angle of affected equipment ]]))</f>
        <v>0.11705240714107301</v>
      </c>
      <c r="AI394" s="27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43">
        <f t="shared" si="21"/>
        <v>2026</v>
      </c>
      <c r="C395" s="116">
        <f t="shared" si="22"/>
        <v>2025</v>
      </c>
      <c r="D395" s="2" t="s">
        <v>155</v>
      </c>
      <c r="E395" s="2" t="s">
        <v>155</v>
      </c>
      <c r="F395" s="30">
        <v>45748</v>
      </c>
      <c r="G395" s="2">
        <f>DAY(EOMONTH(TA[[#This Row],[Month Year]],0))</f>
        <v>30</v>
      </c>
      <c r="H395" s="21">
        <v>45771</v>
      </c>
      <c r="I395" s="32">
        <f>IFERROR(VLOOKUP(TA[[#This Row],[Date]],Raw_Data[[Date]:[Sunset Time (POA&lt;20 W/m2)]],3,0),"")</f>
        <v>0.26111111111111113</v>
      </c>
      <c r="J395" s="32">
        <f>IFERROR(VLOOKUP(TA[[#This Row],[Date]],Raw_Data[[Date]:[Sunset Time (POA&lt;20 W/m2)]],4,0),"")</f>
        <v>0.76041666666666663</v>
      </c>
      <c r="K395" s="27">
        <f>IFERROR((TA[[#This Row],[Sunset Time (POA&lt;20 W/m2)]]-TA[[#This Row],[Sunrise Time (POA&gt;20 W/m2)]])*24,"")</f>
        <v>11.983333333333333</v>
      </c>
      <c r="L395" s="2" t="s">
        <v>287</v>
      </c>
      <c r="M395" s="33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321</v>
      </c>
      <c r="Q395" s="2" t="s">
        <v>314</v>
      </c>
      <c r="R395">
        <v>31</v>
      </c>
      <c r="S395" s="2">
        <v>61</v>
      </c>
      <c r="T395" t="s">
        <v>288</v>
      </c>
      <c r="U395" t="s">
        <v>317</v>
      </c>
      <c r="V395" t="s">
        <v>292</v>
      </c>
      <c r="W395" s="32"/>
      <c r="X395" s="32"/>
      <c r="Y395" s="26"/>
      <c r="Z395" s="26"/>
      <c r="AA395" s="27">
        <f>IF(TA[[#This Row],[Work Start time on Fault]]="NA","",(TA[[#This Row],[Fault Acknowledgement Time ]]-TA[[#This Row],[Fault Time]])*24)</f>
        <v>0</v>
      </c>
      <c r="AB395" s="27">
        <f>(TA[[#This Row],[Work Start time on Fault]]-TA[[#This Row],[Fault Time]])*24</f>
        <v>0</v>
      </c>
      <c r="AC395" s="26">
        <f>(TA[[#This Row],[Work Completion time on fault]]-TA[[#This Row],[Fault Time]])*24</f>
        <v>0</v>
      </c>
      <c r="AD395" s="27">
        <f>IFERROR((TA[[#This Row],[Work Completion time on fault]]-TA[[#This Row],[Fault Time]])*24,"")</f>
        <v>0</v>
      </c>
      <c r="AE395" t="s">
        <v>319</v>
      </c>
      <c r="AF395" t="s">
        <v>247</v>
      </c>
      <c r="AG395" s="2"/>
      <c r="AH395" s="35">
        <f>1-COS(RADIANS(TA[[#This Row],[Avg. Target Angle during Fault Time (Radians)]]-TA[[#This Row],[Angle of affected equipment ]]))</f>
        <v>0.11705240714107301</v>
      </c>
      <c r="AI395" s="27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43">
        <f t="shared" si="21"/>
        <v>2026</v>
      </c>
      <c r="C396" s="116">
        <f t="shared" si="22"/>
        <v>2025</v>
      </c>
      <c r="D396" s="2" t="s">
        <v>155</v>
      </c>
      <c r="E396" s="2" t="s">
        <v>155</v>
      </c>
      <c r="F396" s="30">
        <v>45748</v>
      </c>
      <c r="G396" s="2">
        <f>DAY(EOMONTH(TA[[#This Row],[Month Year]],0))</f>
        <v>30</v>
      </c>
      <c r="H396" s="21">
        <v>45771</v>
      </c>
      <c r="I396" s="32">
        <f>IFERROR(VLOOKUP(TA[[#This Row],[Date]],Raw_Data[[Date]:[Sunset Time (POA&lt;20 W/m2)]],3,0),"")</f>
        <v>0.26111111111111113</v>
      </c>
      <c r="J396" s="32">
        <f>IFERROR(VLOOKUP(TA[[#This Row],[Date]],Raw_Data[[Date]:[Sunset Time (POA&lt;20 W/m2)]],4,0),"")</f>
        <v>0.76041666666666663</v>
      </c>
      <c r="K396" s="27">
        <f>IFERROR((TA[[#This Row],[Sunset Time (POA&lt;20 W/m2)]]-TA[[#This Row],[Sunrise Time (POA&gt;20 W/m2)]])*24,"")</f>
        <v>11.983333333333333</v>
      </c>
      <c r="L396" s="2" t="s">
        <v>303</v>
      </c>
      <c r="M396" s="33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321</v>
      </c>
      <c r="Q396" s="2" t="s">
        <v>314</v>
      </c>
      <c r="R396">
        <v>26</v>
      </c>
      <c r="S396" s="2">
        <v>37</v>
      </c>
      <c r="T396" t="s">
        <v>288</v>
      </c>
      <c r="U396" t="s">
        <v>317</v>
      </c>
      <c r="V396" t="s">
        <v>292</v>
      </c>
      <c r="W396" s="32"/>
      <c r="X396" s="32"/>
      <c r="Y396" s="26"/>
      <c r="Z396" s="26"/>
      <c r="AA396" s="27">
        <f>IF(TA[[#This Row],[Work Start time on Fault]]="NA","",(TA[[#This Row],[Fault Acknowledgement Time ]]-TA[[#This Row],[Fault Time]])*24)</f>
        <v>0</v>
      </c>
      <c r="AB396" s="27">
        <f>(TA[[#This Row],[Work Start time on Fault]]-TA[[#This Row],[Fault Time]])*24</f>
        <v>0</v>
      </c>
      <c r="AC396" s="26">
        <f>(TA[[#This Row],[Work Completion time on fault]]-TA[[#This Row],[Fault Time]])*24</f>
        <v>0</v>
      </c>
      <c r="AD396" s="27">
        <f>IFERROR((TA[[#This Row],[Work Completion time on fault]]-TA[[#This Row],[Fault Time]])*24,"")</f>
        <v>0</v>
      </c>
      <c r="AE396" t="s">
        <v>319</v>
      </c>
      <c r="AF396" t="s">
        <v>247</v>
      </c>
      <c r="AG396" s="2"/>
      <c r="AH396" s="35">
        <f>1-COS(RADIANS(TA[[#This Row],[Avg. Target Angle during Fault Time (Radians)]]-TA[[#This Row],[Angle of affected equipment ]]))</f>
        <v>0.11705240714107301</v>
      </c>
      <c r="AI396" s="27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43">
        <f t="shared" si="21"/>
        <v>2026</v>
      </c>
      <c r="C397" s="116">
        <f t="shared" si="22"/>
        <v>2025</v>
      </c>
      <c r="D397" s="2" t="s">
        <v>155</v>
      </c>
      <c r="E397" s="2" t="s">
        <v>155</v>
      </c>
      <c r="F397" s="30">
        <v>45748</v>
      </c>
      <c r="G397" s="2">
        <f>DAY(EOMONTH(TA[[#This Row],[Month Year]],0))</f>
        <v>30</v>
      </c>
      <c r="H397" s="21">
        <v>45771</v>
      </c>
      <c r="I397" s="32">
        <f>IFERROR(VLOOKUP(TA[[#This Row],[Date]],Raw_Data[[Date]:[Sunset Time (POA&lt;20 W/m2)]],3,0),"")</f>
        <v>0.26111111111111113</v>
      </c>
      <c r="J397" s="32">
        <f>IFERROR(VLOOKUP(TA[[#This Row],[Date]],Raw_Data[[Date]:[Sunset Time (POA&lt;20 W/m2)]],4,0),"")</f>
        <v>0.76041666666666663</v>
      </c>
      <c r="K397" s="27">
        <f>IFERROR((TA[[#This Row],[Sunset Time (POA&lt;20 W/m2)]]-TA[[#This Row],[Sunrise Time (POA&gt;20 W/m2)]])*24,"")</f>
        <v>11.983333333333333</v>
      </c>
      <c r="L397" s="2" t="s">
        <v>303</v>
      </c>
      <c r="M397" s="33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321</v>
      </c>
      <c r="Q397" s="2" t="s">
        <v>314</v>
      </c>
      <c r="R397">
        <v>27</v>
      </c>
      <c r="S397" s="2">
        <v>42</v>
      </c>
      <c r="T397" t="s">
        <v>288</v>
      </c>
      <c r="U397" t="s">
        <v>317</v>
      </c>
      <c r="V397" t="s">
        <v>292</v>
      </c>
      <c r="W397" s="32">
        <f>IFERROR(VLOOKUP(TA[[#This Row],[Date]],Raw_Data[[Date]:[Sunset Time (POA&lt;20 W/m2)]],3,0),"")</f>
        <v>0.26111111111111113</v>
      </c>
      <c r="X397" s="32">
        <f>IFERROR(VLOOKUP(TA[[#This Row],[Date]],Raw_Data[[Date]:[Sunset Time (POA&lt;20 W/m2)]],3,0),"")</f>
        <v>0.26111111111111113</v>
      </c>
      <c r="Y397" s="26"/>
      <c r="Z397" s="26">
        <v>0.76041666666666663</v>
      </c>
      <c r="AA397" s="27">
        <f>IF(TA[[#This Row],[Work Start time on Fault]]="NA","",(TA[[#This Row],[Fault Acknowledgement Time ]]-TA[[#This Row],[Fault Time]])*24)</f>
        <v>0</v>
      </c>
      <c r="AB397" s="27">
        <f>(TA[[#This Row],[Work Start time on Fault]]-TA[[#This Row],[Fault Time]])*24</f>
        <v>-6.2666666666666675</v>
      </c>
      <c r="AC397" s="26">
        <f>(TA[[#This Row],[Work Completion time on fault]]-TA[[#This Row],[Fault Time]])*24</f>
        <v>11.983333333333333</v>
      </c>
      <c r="AD397" s="27">
        <f>IFERROR((TA[[#This Row],[Work Completion time on fault]]-TA[[#This Row],[Fault Time]])*24,"")</f>
        <v>11.983333333333333</v>
      </c>
      <c r="AE397" t="s">
        <v>300</v>
      </c>
      <c r="AF397" t="s">
        <v>247</v>
      </c>
      <c r="AG397" s="2"/>
      <c r="AH397" s="35">
        <f>1-COS(RADIANS(TA[[#This Row],[Avg. Target Angle during Fault Time (Radians)]]-TA[[#This Row],[Angle of affected equipment ]]))</f>
        <v>0.11705240714107301</v>
      </c>
      <c r="AI397" s="27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43">
        <f t="shared" si="21"/>
        <v>2026</v>
      </c>
      <c r="C398" s="116">
        <f t="shared" si="22"/>
        <v>2025</v>
      </c>
      <c r="D398" s="2" t="s">
        <v>155</v>
      </c>
      <c r="E398" s="2" t="s">
        <v>155</v>
      </c>
      <c r="F398" s="30">
        <v>45748</v>
      </c>
      <c r="G398" s="2">
        <f>DAY(EOMONTH(TA[[#This Row],[Month Year]],0))</f>
        <v>30</v>
      </c>
      <c r="H398" s="21">
        <v>45772</v>
      </c>
      <c r="I398" s="32">
        <f>IFERROR(VLOOKUP(TA[[#This Row],[Date]],Raw_Data[[Date]:[Sunset Time (POA&lt;20 W/m2)]],3,0),"")</f>
        <v>0.25555555555555554</v>
      </c>
      <c r="J398" s="32">
        <f>IFERROR(VLOOKUP(TA[[#This Row],[Date]],Raw_Data[[Date]:[Sunset Time (POA&lt;20 W/m2)]],4,0),"")</f>
        <v>0.72083333333333333</v>
      </c>
      <c r="K398" s="27">
        <f>IFERROR((TA[[#This Row],[Sunset Time (POA&lt;20 W/m2)]]-TA[[#This Row],[Sunrise Time (POA&gt;20 W/m2)]])*24,"")</f>
        <v>11.166666666666668</v>
      </c>
      <c r="L398" s="2" t="s">
        <v>285</v>
      </c>
      <c r="M398" s="33">
        <f>IFERROR(VLOOKUP(TA[[#This Row],[Affected Equipment]],'Basic Data'!$I$2:$K$40,3,0),"")</f>
        <v>1.7241379310344799E-3</v>
      </c>
      <c r="N398">
        <v>-28</v>
      </c>
      <c r="O398" t="s">
        <v>135</v>
      </c>
      <c r="P398" s="114" t="s">
        <v>309</v>
      </c>
      <c r="Q398" s="113" t="s">
        <v>309</v>
      </c>
      <c r="R398">
        <v>130</v>
      </c>
      <c r="S398" s="2">
        <v>37</v>
      </c>
      <c r="T398" t="s">
        <v>286</v>
      </c>
      <c r="U398" t="s">
        <v>291</v>
      </c>
      <c r="V398" t="s">
        <v>289</v>
      </c>
      <c r="W398" s="32"/>
      <c r="X398" s="32"/>
      <c r="Y398" s="26"/>
      <c r="Z398" s="26"/>
      <c r="AA398" s="27">
        <f>IF(TA[[#This Row],[Work Start time on Fault]]="NA","",(TA[[#This Row],[Fault Acknowledgement Time ]]-TA[[#This Row],[Fault Time]])*24)</f>
        <v>0</v>
      </c>
      <c r="AB398" s="27">
        <f>(TA[[#This Row],[Work Start time on Fault]]-TA[[#This Row],[Fault Time]])*24</f>
        <v>0</v>
      </c>
      <c r="AC398" s="26">
        <f>(TA[[#This Row],[Work Completion time on fault]]-TA[[#This Row],[Fault Time]])*24</f>
        <v>0</v>
      </c>
      <c r="AD398" s="27">
        <f>IFERROR((TA[[#This Row],[Work Completion time on fault]]-TA[[#This Row],[Fault Time]])*24,"")</f>
        <v>0</v>
      </c>
      <c r="AE398" t="s">
        <v>319</v>
      </c>
      <c r="AF398" t="s">
        <v>247</v>
      </c>
      <c r="AG398" s="2"/>
      <c r="AH398" s="35">
        <f>1-COS(RADIANS(TA[[#This Row],[Avg. Target Angle during Fault Time (Radians)]]-TA[[#This Row],[Angle of affected equipment ]]))</f>
        <v>0.11705240714107301</v>
      </c>
      <c r="AI398" s="27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43">
        <f t="shared" si="21"/>
        <v>2026</v>
      </c>
      <c r="C399" s="116">
        <f t="shared" si="22"/>
        <v>2025</v>
      </c>
      <c r="D399" s="2" t="s">
        <v>155</v>
      </c>
      <c r="E399" s="2" t="s">
        <v>155</v>
      </c>
      <c r="F399" s="30">
        <v>45748</v>
      </c>
      <c r="G399" s="2">
        <f>DAY(EOMONTH(TA[[#This Row],[Month Year]],0))</f>
        <v>30</v>
      </c>
      <c r="H399" s="21">
        <v>45772</v>
      </c>
      <c r="I399" s="32">
        <f>IFERROR(VLOOKUP(TA[[#This Row],[Date]],Raw_Data[[Date]:[Sunset Time (POA&lt;20 W/m2)]],3,0),"")</f>
        <v>0.25555555555555554</v>
      </c>
      <c r="J399" s="32">
        <f>IFERROR(VLOOKUP(TA[[#This Row],[Date]],Raw_Data[[Date]:[Sunset Time (POA&lt;20 W/m2)]],4,0),"")</f>
        <v>0.72083333333333333</v>
      </c>
      <c r="K399" s="27">
        <f>IFERROR((TA[[#This Row],[Sunset Time (POA&lt;20 W/m2)]]-TA[[#This Row],[Sunrise Time (POA&gt;20 W/m2)]])*24,"")</f>
        <v>11.166666666666668</v>
      </c>
      <c r="L399" s="2" t="s">
        <v>285</v>
      </c>
      <c r="M399" s="33">
        <f>IFERROR(VLOOKUP(TA[[#This Row],[Affected Equipment]],'Basic Data'!$I$2:$K$40,3,0),"")</f>
        <v>1.7241379310344799E-3</v>
      </c>
      <c r="N399">
        <v>-28</v>
      </c>
      <c r="O399" t="s">
        <v>135</v>
      </c>
      <c r="P399" s="114" t="s">
        <v>309</v>
      </c>
      <c r="Q399" s="113" t="s">
        <v>309</v>
      </c>
      <c r="R399">
        <v>131</v>
      </c>
      <c r="S399" s="2">
        <v>38</v>
      </c>
      <c r="T399" t="s">
        <v>286</v>
      </c>
      <c r="U399" t="s">
        <v>291</v>
      </c>
      <c r="V399" t="s">
        <v>289</v>
      </c>
      <c r="W399" s="32"/>
      <c r="X399" s="32"/>
      <c r="Y399" s="26"/>
      <c r="Z399" s="26"/>
      <c r="AA399" s="27">
        <f>IF(TA[[#This Row],[Work Start time on Fault]]="NA","",(TA[[#This Row],[Fault Acknowledgement Time ]]-TA[[#This Row],[Fault Time]])*24)</f>
        <v>0</v>
      </c>
      <c r="AB399" s="27">
        <f>(TA[[#This Row],[Work Start time on Fault]]-TA[[#This Row],[Fault Time]])*24</f>
        <v>0</v>
      </c>
      <c r="AC399" s="26">
        <f>(TA[[#This Row],[Work Completion time on fault]]-TA[[#This Row],[Fault Time]])*24</f>
        <v>0</v>
      </c>
      <c r="AD399" s="27">
        <f>IFERROR((TA[[#This Row],[Work Completion time on fault]]-TA[[#This Row],[Fault Time]])*24,"")</f>
        <v>0</v>
      </c>
      <c r="AE399" t="s">
        <v>319</v>
      </c>
      <c r="AF399" t="s">
        <v>247</v>
      </c>
      <c r="AG399" s="2"/>
      <c r="AH399" s="35">
        <f>1-COS(RADIANS(TA[[#This Row],[Avg. Target Angle during Fault Time (Radians)]]-TA[[#This Row],[Angle of affected equipment ]]))</f>
        <v>0.11705240714107301</v>
      </c>
      <c r="AI399" s="27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43">
        <f t="shared" si="21"/>
        <v>2026</v>
      </c>
      <c r="C400" s="116">
        <f t="shared" si="22"/>
        <v>2025</v>
      </c>
      <c r="D400" s="2" t="s">
        <v>155</v>
      </c>
      <c r="E400" s="2" t="s">
        <v>155</v>
      </c>
      <c r="F400" s="30">
        <v>45748</v>
      </c>
      <c r="G400" s="2">
        <f>DAY(EOMONTH(TA[[#This Row],[Month Year]],0))</f>
        <v>30</v>
      </c>
      <c r="H400" s="21">
        <v>45772</v>
      </c>
      <c r="I400" s="32">
        <f>IFERROR(VLOOKUP(TA[[#This Row],[Date]],Raw_Data[[Date]:[Sunset Time (POA&lt;20 W/m2)]],3,0),"")</f>
        <v>0.25555555555555554</v>
      </c>
      <c r="J400" s="32">
        <f>IFERROR(VLOOKUP(TA[[#This Row],[Date]],Raw_Data[[Date]:[Sunset Time (POA&lt;20 W/m2)]],4,0),"")</f>
        <v>0.72083333333333333</v>
      </c>
      <c r="K400" s="27">
        <f>IFERROR((TA[[#This Row],[Sunset Time (POA&lt;20 W/m2)]]-TA[[#This Row],[Sunrise Time (POA&gt;20 W/m2)]])*24,"")</f>
        <v>11.166666666666668</v>
      </c>
      <c r="L400" s="2" t="s">
        <v>285</v>
      </c>
      <c r="M400" s="33">
        <f>IFERROR(VLOOKUP(TA[[#This Row],[Affected Equipment]],'Basic Data'!$I$2:$K$40,3,0),"")</f>
        <v>1.7241379310344799E-3</v>
      </c>
      <c r="N400">
        <v>-28</v>
      </c>
      <c r="O400" t="s">
        <v>135</v>
      </c>
      <c r="P400" s="114" t="s">
        <v>309</v>
      </c>
      <c r="Q400" s="113" t="s">
        <v>309</v>
      </c>
      <c r="R400">
        <v>131</v>
      </c>
      <c r="S400" s="2">
        <v>39</v>
      </c>
      <c r="T400" t="s">
        <v>286</v>
      </c>
      <c r="U400" t="s">
        <v>291</v>
      </c>
      <c r="V400" t="s">
        <v>289</v>
      </c>
      <c r="W400" s="32"/>
      <c r="X400" s="32"/>
      <c r="Y400" s="26"/>
      <c r="Z400" s="26"/>
      <c r="AA400" s="27">
        <f>IF(TA[[#This Row],[Work Start time on Fault]]="NA","",(TA[[#This Row],[Fault Acknowledgement Time ]]-TA[[#This Row],[Fault Time]])*24)</f>
        <v>0</v>
      </c>
      <c r="AB400" s="27">
        <f>(TA[[#This Row],[Work Start time on Fault]]-TA[[#This Row],[Fault Time]])*24</f>
        <v>0</v>
      </c>
      <c r="AC400" s="26">
        <f>(TA[[#This Row],[Work Completion time on fault]]-TA[[#This Row],[Fault Time]])*24</f>
        <v>0</v>
      </c>
      <c r="AD400" s="27">
        <f>IFERROR((TA[[#This Row],[Work Completion time on fault]]-TA[[#This Row],[Fault Time]])*24,"")</f>
        <v>0</v>
      </c>
      <c r="AE400" t="s">
        <v>319</v>
      </c>
      <c r="AF400" t="s">
        <v>247</v>
      </c>
      <c r="AG400" s="2"/>
      <c r="AH400" s="35">
        <f>1-COS(RADIANS(TA[[#This Row],[Avg. Target Angle during Fault Time (Radians)]]-TA[[#This Row],[Angle of affected equipment ]]))</f>
        <v>0.11705240714107301</v>
      </c>
      <c r="AI400" s="27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43">
        <f t="shared" si="21"/>
        <v>2026</v>
      </c>
      <c r="C401" s="116">
        <f t="shared" si="22"/>
        <v>2025</v>
      </c>
      <c r="D401" s="2" t="s">
        <v>155</v>
      </c>
      <c r="E401" s="2" t="s">
        <v>155</v>
      </c>
      <c r="F401" s="30">
        <v>45748</v>
      </c>
      <c r="G401" s="2">
        <f>DAY(EOMONTH(TA[[#This Row],[Month Year]],0))</f>
        <v>30</v>
      </c>
      <c r="H401" s="21">
        <v>45772</v>
      </c>
      <c r="I401" s="32">
        <f>IFERROR(VLOOKUP(TA[[#This Row],[Date]],Raw_Data[[Date]:[Sunset Time (POA&lt;20 W/m2)]],3,0),"")</f>
        <v>0.25555555555555554</v>
      </c>
      <c r="J401" s="32">
        <f>IFERROR(VLOOKUP(TA[[#This Row],[Date]],Raw_Data[[Date]:[Sunset Time (POA&lt;20 W/m2)]],4,0),"")</f>
        <v>0.72083333333333333</v>
      </c>
      <c r="K401" s="27">
        <f>IFERROR((TA[[#This Row],[Sunset Time (POA&lt;20 W/m2)]]-TA[[#This Row],[Sunrise Time (POA&gt;20 W/m2)]])*24,"")</f>
        <v>11.166666666666668</v>
      </c>
      <c r="L401" s="2" t="s">
        <v>287</v>
      </c>
      <c r="M401" s="33">
        <f>IFERROR(VLOOKUP(TA[[#This Row],[Affected Equipment]],'Basic Data'!$I$2:$K$40,3,0),"")</f>
        <v>8.6206896551724102E-3</v>
      </c>
      <c r="N401">
        <v>-28</v>
      </c>
      <c r="O401" t="s">
        <v>135</v>
      </c>
      <c r="P401" s="114" t="s">
        <v>309</v>
      </c>
      <c r="Q401" s="2" t="s">
        <v>312</v>
      </c>
      <c r="R401">
        <v>133</v>
      </c>
      <c r="S401" s="2">
        <v>26</v>
      </c>
      <c r="T401" t="s">
        <v>288</v>
      </c>
      <c r="U401" t="s">
        <v>291</v>
      </c>
      <c r="V401" t="s">
        <v>305</v>
      </c>
      <c r="W401" s="32">
        <f>IFERROR(VLOOKUP(TA[[#This Row],[Date]],Raw_Data[[Date]:[Sunset Time (POA&lt;20 W/m2)]],3,0),"")</f>
        <v>0.25555555555555554</v>
      </c>
      <c r="X401" s="32">
        <f>IFERROR(VLOOKUP(TA[[#This Row],[Date]],Raw_Data[[Date]:[Sunset Time (POA&lt;20 W/m2)]],3,0),"")</f>
        <v>0.25555555555555554</v>
      </c>
      <c r="Y401" s="26"/>
      <c r="Z401" s="26">
        <v>0.76041666666666663</v>
      </c>
      <c r="AA401" s="27">
        <f>IF(TA[[#This Row],[Work Start time on Fault]]="NA","",(TA[[#This Row],[Fault Acknowledgement Time ]]-TA[[#This Row],[Fault Time]])*24)</f>
        <v>0</v>
      </c>
      <c r="AB401" s="27">
        <f>(TA[[#This Row],[Work Start time on Fault]]-TA[[#This Row],[Fault Time]])*24</f>
        <v>-6.1333333333333329</v>
      </c>
      <c r="AC401" s="26">
        <f>(TA[[#This Row],[Work Completion time on fault]]-TA[[#This Row],[Fault Time]])*24</f>
        <v>12.116666666666667</v>
      </c>
      <c r="AD401" s="27">
        <f>IFERROR((TA[[#This Row],[Work Completion time on fault]]-TA[[#This Row],[Fault Time]])*24,"")</f>
        <v>12.116666666666667</v>
      </c>
      <c r="AE401" t="s">
        <v>319</v>
      </c>
      <c r="AF401" t="s">
        <v>247</v>
      </c>
      <c r="AG401" s="2"/>
      <c r="AH401" s="35">
        <f>1-COS(RADIANS(TA[[#This Row],[Avg. Target Angle during Fault Time (Radians)]]-TA[[#This Row],[Angle of affected equipment ]]))</f>
        <v>0.11705240714107301</v>
      </c>
      <c r="AI401" s="27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43">
        <f t="shared" si="21"/>
        <v>2026</v>
      </c>
      <c r="C402" s="116">
        <f t="shared" si="22"/>
        <v>2025</v>
      </c>
      <c r="D402" s="2" t="s">
        <v>155</v>
      </c>
      <c r="E402" s="2" t="s">
        <v>155</v>
      </c>
      <c r="F402" s="30">
        <v>45748</v>
      </c>
      <c r="G402" s="2">
        <f>DAY(EOMONTH(TA[[#This Row],[Month Year]],0))</f>
        <v>30</v>
      </c>
      <c r="H402" s="21">
        <v>45772</v>
      </c>
      <c r="I402" s="32">
        <f>IFERROR(VLOOKUP(TA[[#This Row],[Date]],Raw_Data[[Date]:[Sunset Time (POA&lt;20 W/m2)]],3,0),"")</f>
        <v>0.25555555555555554</v>
      </c>
      <c r="J402" s="32">
        <f>IFERROR(VLOOKUP(TA[[#This Row],[Date]],Raw_Data[[Date]:[Sunset Time (POA&lt;20 W/m2)]],4,0),"")</f>
        <v>0.72083333333333333</v>
      </c>
      <c r="K402" s="27">
        <f>IFERROR((TA[[#This Row],[Sunset Time (POA&lt;20 W/m2)]]-TA[[#This Row],[Sunrise Time (POA&gt;20 W/m2)]])*24,"")</f>
        <v>11.166666666666668</v>
      </c>
      <c r="L402" s="2" t="s">
        <v>285</v>
      </c>
      <c r="M402" s="33">
        <f>IFERROR(VLOOKUP(TA[[#This Row],[Affected Equipment]],'Basic Data'!$I$2:$K$40,3,0),"")</f>
        <v>1.7241379310344799E-3</v>
      </c>
      <c r="N402">
        <v>-28</v>
      </c>
      <c r="O402" t="s">
        <v>133</v>
      </c>
      <c r="P402" s="114" t="s">
        <v>307</v>
      </c>
      <c r="Q402" s="113" t="s">
        <v>308</v>
      </c>
      <c r="R402">
        <v>7</v>
      </c>
      <c r="S402" s="2">
        <v>32</v>
      </c>
      <c r="T402" t="s">
        <v>286</v>
      </c>
      <c r="U402" t="s">
        <v>291</v>
      </c>
      <c r="V402" t="s">
        <v>289</v>
      </c>
      <c r="W402" s="32"/>
      <c r="X402" s="32"/>
      <c r="Y402" s="26"/>
      <c r="Z402" s="26"/>
      <c r="AA402" s="27">
        <f>IF(TA[[#This Row],[Work Start time on Fault]]="NA","",(TA[[#This Row],[Fault Acknowledgement Time ]]-TA[[#This Row],[Fault Time]])*24)</f>
        <v>0</v>
      </c>
      <c r="AB402" s="27">
        <f>(TA[[#This Row],[Work Start time on Fault]]-TA[[#This Row],[Fault Time]])*24</f>
        <v>0</v>
      </c>
      <c r="AC402" s="26">
        <f>(TA[[#This Row],[Work Completion time on fault]]-TA[[#This Row],[Fault Time]])*24</f>
        <v>0</v>
      </c>
      <c r="AD402" s="27">
        <f>IFERROR((TA[[#This Row],[Work Completion time on fault]]-TA[[#This Row],[Fault Time]])*24,"")</f>
        <v>0</v>
      </c>
      <c r="AE402" t="s">
        <v>319</v>
      </c>
      <c r="AF402" t="s">
        <v>247</v>
      </c>
      <c r="AG402" s="2"/>
      <c r="AH402" s="35">
        <f>1-COS(RADIANS(TA[[#This Row],[Avg. Target Angle during Fault Time (Radians)]]-TA[[#This Row],[Angle of affected equipment ]]))</f>
        <v>0.11705240714107301</v>
      </c>
      <c r="AI402" s="27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43">
        <f t="shared" si="21"/>
        <v>2026</v>
      </c>
      <c r="C403" s="116">
        <f t="shared" si="22"/>
        <v>2025</v>
      </c>
      <c r="D403" s="2" t="s">
        <v>155</v>
      </c>
      <c r="E403" s="2" t="s">
        <v>155</v>
      </c>
      <c r="F403" s="30">
        <v>45748</v>
      </c>
      <c r="G403" s="2">
        <f>DAY(EOMONTH(TA[[#This Row],[Month Year]],0))</f>
        <v>30</v>
      </c>
      <c r="H403" s="21">
        <v>45772</v>
      </c>
      <c r="I403" s="32">
        <f>IFERROR(VLOOKUP(TA[[#This Row],[Date]],Raw_Data[[Date]:[Sunset Time (POA&lt;20 W/m2)]],3,0),"")</f>
        <v>0.25555555555555554</v>
      </c>
      <c r="J403" s="32">
        <f>IFERROR(VLOOKUP(TA[[#This Row],[Date]],Raw_Data[[Date]:[Sunset Time (POA&lt;20 W/m2)]],4,0),"")</f>
        <v>0.72083333333333333</v>
      </c>
      <c r="K403" s="27">
        <f>IFERROR((TA[[#This Row],[Sunset Time (POA&lt;20 W/m2)]]-TA[[#This Row],[Sunrise Time (POA&gt;20 W/m2)]])*24,"")</f>
        <v>11.166666666666668</v>
      </c>
      <c r="L403" s="2" t="s">
        <v>285</v>
      </c>
      <c r="M403" s="33">
        <f>IFERROR(VLOOKUP(TA[[#This Row],[Affected Equipment]],'Basic Data'!$I$2:$K$40,3,0),"")</f>
        <v>1.7241379310344799E-3</v>
      </c>
      <c r="N403">
        <v>-28</v>
      </c>
      <c r="O403" t="s">
        <v>137</v>
      </c>
      <c r="P403" s="114" t="s">
        <v>306</v>
      </c>
      <c r="Q403" s="113" t="s">
        <v>310</v>
      </c>
      <c r="R403">
        <v>166</v>
      </c>
      <c r="S403" s="2">
        <v>91</v>
      </c>
      <c r="T403" t="s">
        <v>286</v>
      </c>
      <c r="U403" t="s">
        <v>291</v>
      </c>
      <c r="V403" t="s">
        <v>289</v>
      </c>
      <c r="W403" s="32"/>
      <c r="X403" s="32"/>
      <c r="Y403" s="26"/>
      <c r="Z403" s="26"/>
      <c r="AA403" s="27">
        <f>IF(TA[[#This Row],[Work Start time on Fault]]="NA","",(TA[[#This Row],[Fault Acknowledgement Time ]]-TA[[#This Row],[Fault Time]])*24)</f>
        <v>0</v>
      </c>
      <c r="AB403" s="27">
        <f>(TA[[#This Row],[Work Start time on Fault]]-TA[[#This Row],[Fault Time]])*24</f>
        <v>0</v>
      </c>
      <c r="AC403" s="26">
        <f>(TA[[#This Row],[Work Completion time on fault]]-TA[[#This Row],[Fault Time]])*24</f>
        <v>0</v>
      </c>
      <c r="AD403" s="27">
        <f>IFERROR((TA[[#This Row],[Work Completion time on fault]]-TA[[#This Row],[Fault Time]])*24,"")</f>
        <v>0</v>
      </c>
      <c r="AE403" t="s">
        <v>319</v>
      </c>
      <c r="AF403" t="s">
        <v>247</v>
      </c>
      <c r="AG403" s="2"/>
      <c r="AH403" s="35">
        <f>1-COS(RADIANS(TA[[#This Row],[Avg. Target Angle during Fault Time (Radians)]]-TA[[#This Row],[Angle of affected equipment ]]))</f>
        <v>0.11705240714107301</v>
      </c>
      <c r="AI403" s="27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43">
        <f t="shared" si="21"/>
        <v>2026</v>
      </c>
      <c r="C404" s="116">
        <f t="shared" si="22"/>
        <v>2025</v>
      </c>
      <c r="D404" s="2" t="s">
        <v>155</v>
      </c>
      <c r="E404" s="2" t="s">
        <v>155</v>
      </c>
      <c r="F404" s="30">
        <v>45748</v>
      </c>
      <c r="G404" s="2">
        <f>DAY(EOMONTH(TA[[#This Row],[Month Year]],0))</f>
        <v>30</v>
      </c>
      <c r="H404" s="21">
        <v>45772</v>
      </c>
      <c r="I404" s="32">
        <f>IFERROR(VLOOKUP(TA[[#This Row],[Date]],Raw_Data[[Date]:[Sunset Time (POA&lt;20 W/m2)]],3,0),"")</f>
        <v>0.25555555555555554</v>
      </c>
      <c r="J404" s="32">
        <f>IFERROR(VLOOKUP(TA[[#This Row],[Date]],Raw_Data[[Date]:[Sunset Time (POA&lt;20 W/m2)]],4,0),"")</f>
        <v>0.72083333333333333</v>
      </c>
      <c r="K404" s="27">
        <f>IFERROR((TA[[#This Row],[Sunset Time (POA&lt;20 W/m2)]]-TA[[#This Row],[Sunrise Time (POA&gt;20 W/m2)]])*24,"")</f>
        <v>11.166666666666668</v>
      </c>
      <c r="L404" s="2" t="s">
        <v>285</v>
      </c>
      <c r="M404" s="33">
        <f>IFERROR(VLOOKUP(TA[[#This Row],[Affected Equipment]],'Basic Data'!$I$2:$K$40,3,0),"")</f>
        <v>1.7241379310344799E-3</v>
      </c>
      <c r="N404">
        <v>-28</v>
      </c>
      <c r="O404" t="s">
        <v>133</v>
      </c>
      <c r="P404" s="114" t="s">
        <v>307</v>
      </c>
      <c r="Q404" s="113" t="s">
        <v>307</v>
      </c>
      <c r="R404">
        <v>117</v>
      </c>
      <c r="S404" s="2">
        <v>20</v>
      </c>
      <c r="T404" t="s">
        <v>286</v>
      </c>
      <c r="U404" t="s">
        <v>291</v>
      </c>
      <c r="V404" t="s">
        <v>289</v>
      </c>
      <c r="W404" s="32"/>
      <c r="X404" s="32"/>
      <c r="Y404" s="26"/>
      <c r="Z404" s="26"/>
      <c r="AA404" s="27">
        <f>IF(TA[[#This Row],[Work Start time on Fault]]="NA","",(TA[[#This Row],[Fault Acknowledgement Time ]]-TA[[#This Row],[Fault Time]])*24)</f>
        <v>0</v>
      </c>
      <c r="AB404" s="27">
        <f>(TA[[#This Row],[Work Start time on Fault]]-TA[[#This Row],[Fault Time]])*24</f>
        <v>0</v>
      </c>
      <c r="AC404" s="26">
        <f>(TA[[#This Row],[Work Completion time on fault]]-TA[[#This Row],[Fault Time]])*24</f>
        <v>0</v>
      </c>
      <c r="AD404" s="27">
        <f>IFERROR((TA[[#This Row],[Work Completion time on fault]]-TA[[#This Row],[Fault Time]])*24,"")</f>
        <v>0</v>
      </c>
      <c r="AE404" t="s">
        <v>319</v>
      </c>
      <c r="AF404" t="s">
        <v>247</v>
      </c>
      <c r="AG404" s="2"/>
      <c r="AH404" s="35">
        <f>1-COS(RADIANS(TA[[#This Row],[Avg. Target Angle during Fault Time (Radians)]]-TA[[#This Row],[Angle of affected equipment ]]))</f>
        <v>0.11705240714107301</v>
      </c>
      <c r="AI404" s="27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43">
        <f t="shared" si="21"/>
        <v>2026</v>
      </c>
      <c r="C405" s="116">
        <f t="shared" si="22"/>
        <v>2025</v>
      </c>
      <c r="D405" s="2" t="s">
        <v>155</v>
      </c>
      <c r="E405" s="2" t="s">
        <v>155</v>
      </c>
      <c r="F405" s="30">
        <v>45748</v>
      </c>
      <c r="G405" s="2">
        <f>DAY(EOMONTH(TA[[#This Row],[Month Year]],0))</f>
        <v>30</v>
      </c>
      <c r="H405" s="21">
        <v>45772</v>
      </c>
      <c r="I405" s="32">
        <f>IFERROR(VLOOKUP(TA[[#This Row],[Date]],Raw_Data[[Date]:[Sunset Time (POA&lt;20 W/m2)]],3,0),"")</f>
        <v>0.25555555555555554</v>
      </c>
      <c r="J405" s="32">
        <f>IFERROR(VLOOKUP(TA[[#This Row],[Date]],Raw_Data[[Date]:[Sunset Time (POA&lt;20 W/m2)]],4,0),"")</f>
        <v>0.72083333333333333</v>
      </c>
      <c r="K405" s="27">
        <f>IFERROR((TA[[#This Row],[Sunset Time (POA&lt;20 W/m2)]]-TA[[#This Row],[Sunrise Time (POA&gt;20 W/m2)]])*24,"")</f>
        <v>11.166666666666668</v>
      </c>
      <c r="L405" s="2" t="s">
        <v>285</v>
      </c>
      <c r="M405" s="33">
        <f>IFERROR(VLOOKUP(TA[[#This Row],[Affected Equipment]],'Basic Data'!$I$2:$K$40,3,0),"")</f>
        <v>1.7241379310344799E-3</v>
      </c>
      <c r="N405">
        <v>-28</v>
      </c>
      <c r="O405" t="s">
        <v>133</v>
      </c>
      <c r="P405" s="114" t="s">
        <v>307</v>
      </c>
      <c r="Q405" s="113" t="s">
        <v>307</v>
      </c>
      <c r="R405">
        <v>118</v>
      </c>
      <c r="S405" s="2">
        <v>22</v>
      </c>
      <c r="T405" t="s">
        <v>286</v>
      </c>
      <c r="U405" t="s">
        <v>291</v>
      </c>
      <c r="V405" t="s">
        <v>289</v>
      </c>
      <c r="W405" s="32"/>
      <c r="X405" s="32"/>
      <c r="Y405" s="26"/>
      <c r="Z405" s="26"/>
      <c r="AA405" s="27">
        <f>IF(TA[[#This Row],[Work Start time on Fault]]="NA","",(TA[[#This Row],[Fault Acknowledgement Time ]]-TA[[#This Row],[Fault Time]])*24)</f>
        <v>0</v>
      </c>
      <c r="AB405" s="27">
        <f>(TA[[#This Row],[Work Start time on Fault]]-TA[[#This Row],[Fault Time]])*24</f>
        <v>0</v>
      </c>
      <c r="AC405" s="26">
        <f>(TA[[#This Row],[Work Completion time on fault]]-TA[[#This Row],[Fault Time]])*24</f>
        <v>0</v>
      </c>
      <c r="AD405" s="27">
        <f>IFERROR((TA[[#This Row],[Work Completion time on fault]]-TA[[#This Row],[Fault Time]])*24,"")</f>
        <v>0</v>
      </c>
      <c r="AE405" t="s">
        <v>319</v>
      </c>
      <c r="AF405" t="s">
        <v>247</v>
      </c>
      <c r="AG405" s="2"/>
      <c r="AH405" s="35">
        <f>1-COS(RADIANS(TA[[#This Row],[Avg. Target Angle during Fault Time (Radians)]]-TA[[#This Row],[Angle of affected equipment ]]))</f>
        <v>0.11705240714107301</v>
      </c>
      <c r="AI405" s="27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43">
        <f t="shared" si="21"/>
        <v>2026</v>
      </c>
      <c r="C406" s="116">
        <f t="shared" si="22"/>
        <v>2025</v>
      </c>
      <c r="D406" s="2" t="s">
        <v>155</v>
      </c>
      <c r="E406" s="2" t="s">
        <v>155</v>
      </c>
      <c r="F406" s="30">
        <v>45748</v>
      </c>
      <c r="G406" s="2">
        <f>DAY(EOMONTH(TA[[#This Row],[Month Year]],0))</f>
        <v>30</v>
      </c>
      <c r="H406" s="21">
        <v>45772</v>
      </c>
      <c r="I406" s="32">
        <f>IFERROR(VLOOKUP(TA[[#This Row],[Date]],Raw_Data[[Date]:[Sunset Time (POA&lt;20 W/m2)]],3,0),"")</f>
        <v>0.25555555555555554</v>
      </c>
      <c r="J406" s="32">
        <f>IFERROR(VLOOKUP(TA[[#This Row],[Date]],Raw_Data[[Date]:[Sunset Time (POA&lt;20 W/m2)]],4,0),"")</f>
        <v>0.72083333333333333</v>
      </c>
      <c r="K406" s="27">
        <f>IFERROR((TA[[#This Row],[Sunset Time (POA&lt;20 W/m2)]]-TA[[#This Row],[Sunrise Time (POA&gt;20 W/m2)]])*24,"")</f>
        <v>11.166666666666668</v>
      </c>
      <c r="L406" s="2" t="s">
        <v>287</v>
      </c>
      <c r="M406" s="33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314</v>
      </c>
      <c r="Q406" s="2" t="s">
        <v>320</v>
      </c>
      <c r="R406">
        <v>45</v>
      </c>
      <c r="S406" s="2">
        <v>8</v>
      </c>
      <c r="T406" t="s">
        <v>288</v>
      </c>
      <c r="U406" t="s">
        <v>317</v>
      </c>
      <c r="V406" t="s">
        <v>292</v>
      </c>
      <c r="W406" s="32"/>
      <c r="X406" s="32"/>
      <c r="Y406" s="26"/>
      <c r="Z406" s="26"/>
      <c r="AA406" s="27">
        <f>IF(TA[[#This Row],[Work Start time on Fault]]="NA","",(TA[[#This Row],[Fault Acknowledgement Time ]]-TA[[#This Row],[Fault Time]])*24)</f>
        <v>0</v>
      </c>
      <c r="AB406" s="27">
        <f>(TA[[#This Row],[Work Start time on Fault]]-TA[[#This Row],[Fault Time]])*24</f>
        <v>0</v>
      </c>
      <c r="AC406" s="26">
        <f>(TA[[#This Row],[Work Completion time on fault]]-TA[[#This Row],[Fault Time]])*24</f>
        <v>0</v>
      </c>
      <c r="AD406" s="27">
        <f>IFERROR((TA[[#This Row],[Work Completion time on fault]]-TA[[#This Row],[Fault Time]])*24,"")</f>
        <v>0</v>
      </c>
      <c r="AE406" t="s">
        <v>319</v>
      </c>
      <c r="AF406" t="s">
        <v>247</v>
      </c>
      <c r="AG406" s="2"/>
      <c r="AH406" s="35">
        <f>1-COS(RADIANS(TA[[#This Row],[Avg. Target Angle during Fault Time (Radians)]]-TA[[#This Row],[Angle of affected equipment ]]))</f>
        <v>0.11705240714107301</v>
      </c>
      <c r="AI406" s="27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43">
        <f t="shared" si="21"/>
        <v>2026</v>
      </c>
      <c r="C407" s="116">
        <f t="shared" si="22"/>
        <v>2025</v>
      </c>
      <c r="D407" s="2" t="s">
        <v>155</v>
      </c>
      <c r="E407" s="2" t="s">
        <v>155</v>
      </c>
      <c r="F407" s="30">
        <v>45748</v>
      </c>
      <c r="G407" s="2">
        <f>DAY(EOMONTH(TA[[#This Row],[Month Year]],0))</f>
        <v>30</v>
      </c>
      <c r="H407" s="21">
        <v>45772</v>
      </c>
      <c r="I407" s="32">
        <f>IFERROR(VLOOKUP(TA[[#This Row],[Date]],Raw_Data[[Date]:[Sunset Time (POA&lt;20 W/m2)]],3,0),"")</f>
        <v>0.25555555555555554</v>
      </c>
      <c r="J407" s="32">
        <f>IFERROR(VLOOKUP(TA[[#This Row],[Date]],Raw_Data[[Date]:[Sunset Time (POA&lt;20 W/m2)]],4,0),"")</f>
        <v>0.72083333333333333</v>
      </c>
      <c r="K407" s="27">
        <f>IFERROR((TA[[#This Row],[Sunset Time (POA&lt;20 W/m2)]]-TA[[#This Row],[Sunrise Time (POA&gt;20 W/m2)]])*24,"")</f>
        <v>11.166666666666668</v>
      </c>
      <c r="L407" s="2" t="s">
        <v>287</v>
      </c>
      <c r="M407" s="33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314</v>
      </c>
      <c r="Q407" s="2" t="s">
        <v>320</v>
      </c>
      <c r="R407">
        <v>47</v>
      </c>
      <c r="S407" s="2">
        <v>18</v>
      </c>
      <c r="T407" t="s">
        <v>288</v>
      </c>
      <c r="U407" t="s">
        <v>317</v>
      </c>
      <c r="V407" t="s">
        <v>292</v>
      </c>
      <c r="W407" s="32"/>
      <c r="X407" s="32"/>
      <c r="Y407" s="26"/>
      <c r="Z407" s="26"/>
      <c r="AA407" s="27">
        <f>IF(TA[[#This Row],[Work Start time on Fault]]="NA","",(TA[[#This Row],[Fault Acknowledgement Time ]]-TA[[#This Row],[Fault Time]])*24)</f>
        <v>0</v>
      </c>
      <c r="AB407" s="27">
        <f>(TA[[#This Row],[Work Start time on Fault]]-TA[[#This Row],[Fault Time]])*24</f>
        <v>0</v>
      </c>
      <c r="AC407" s="26">
        <f>(TA[[#This Row],[Work Completion time on fault]]-TA[[#This Row],[Fault Time]])*24</f>
        <v>0</v>
      </c>
      <c r="AD407" s="27">
        <f>IFERROR((TA[[#This Row],[Work Completion time on fault]]-TA[[#This Row],[Fault Time]])*24,"")</f>
        <v>0</v>
      </c>
      <c r="AE407" t="s">
        <v>319</v>
      </c>
      <c r="AF407" t="s">
        <v>247</v>
      </c>
      <c r="AG407" s="2"/>
      <c r="AH407" s="35">
        <f>1-COS(RADIANS(TA[[#This Row],[Avg. Target Angle during Fault Time (Radians)]]-TA[[#This Row],[Angle of affected equipment ]]))</f>
        <v>0.11705240714107301</v>
      </c>
      <c r="AI407" s="27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43">
        <f t="shared" si="21"/>
        <v>2026</v>
      </c>
      <c r="C408" s="116">
        <f t="shared" si="22"/>
        <v>2025</v>
      </c>
      <c r="D408" s="2" t="s">
        <v>155</v>
      </c>
      <c r="E408" s="2" t="s">
        <v>155</v>
      </c>
      <c r="F408" s="30">
        <v>45748</v>
      </c>
      <c r="G408" s="2">
        <f>DAY(EOMONTH(TA[[#This Row],[Month Year]],0))</f>
        <v>30</v>
      </c>
      <c r="H408" s="21">
        <v>45772</v>
      </c>
      <c r="I408" s="32">
        <f>IFERROR(VLOOKUP(TA[[#This Row],[Date]],Raw_Data[[Date]:[Sunset Time (POA&lt;20 W/m2)]],3,0),"")</f>
        <v>0.25555555555555554</v>
      </c>
      <c r="J408" s="32">
        <f>IFERROR(VLOOKUP(TA[[#This Row],[Date]],Raw_Data[[Date]:[Sunset Time (POA&lt;20 W/m2)]],4,0),"")</f>
        <v>0.72083333333333333</v>
      </c>
      <c r="K408" s="27">
        <f>IFERROR((TA[[#This Row],[Sunset Time (POA&lt;20 W/m2)]]-TA[[#This Row],[Sunrise Time (POA&gt;20 W/m2)]])*24,"")</f>
        <v>11.166666666666668</v>
      </c>
      <c r="L408" s="2" t="s">
        <v>287</v>
      </c>
      <c r="M408" s="33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321</v>
      </c>
      <c r="Q408" s="2" t="s">
        <v>314</v>
      </c>
      <c r="R408">
        <v>30</v>
      </c>
      <c r="S408" s="2">
        <v>57</v>
      </c>
      <c r="T408" t="s">
        <v>288</v>
      </c>
      <c r="U408" t="s">
        <v>317</v>
      </c>
      <c r="V408" t="s">
        <v>292</v>
      </c>
      <c r="W408" s="32"/>
      <c r="X408" s="32"/>
      <c r="Y408" s="26"/>
      <c r="Z408" s="26"/>
      <c r="AA408" s="27">
        <f>IF(TA[[#This Row],[Work Start time on Fault]]="NA","",(TA[[#This Row],[Fault Acknowledgement Time ]]-TA[[#This Row],[Fault Time]])*24)</f>
        <v>0</v>
      </c>
      <c r="AB408" s="27">
        <f>(TA[[#This Row],[Work Start time on Fault]]-TA[[#This Row],[Fault Time]])*24</f>
        <v>0</v>
      </c>
      <c r="AC408" s="26">
        <f>(TA[[#This Row],[Work Completion time on fault]]-TA[[#This Row],[Fault Time]])*24</f>
        <v>0</v>
      </c>
      <c r="AD408" s="27">
        <f>IFERROR((TA[[#This Row],[Work Completion time on fault]]-TA[[#This Row],[Fault Time]])*24,"")</f>
        <v>0</v>
      </c>
      <c r="AE408" t="s">
        <v>319</v>
      </c>
      <c r="AF408" t="s">
        <v>247</v>
      </c>
      <c r="AG408" s="2"/>
      <c r="AH408" s="35">
        <f>1-COS(RADIANS(TA[[#This Row],[Avg. Target Angle during Fault Time (Radians)]]-TA[[#This Row],[Angle of affected equipment ]]))</f>
        <v>0.11705240714107301</v>
      </c>
      <c r="AI408" s="27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43">
        <f t="shared" si="21"/>
        <v>2026</v>
      </c>
      <c r="C409" s="116">
        <f t="shared" si="22"/>
        <v>2025</v>
      </c>
      <c r="D409" s="2" t="s">
        <v>155</v>
      </c>
      <c r="E409" s="2" t="s">
        <v>155</v>
      </c>
      <c r="F409" s="30">
        <v>45748</v>
      </c>
      <c r="G409" s="2">
        <f>DAY(EOMONTH(TA[[#This Row],[Month Year]],0))</f>
        <v>30</v>
      </c>
      <c r="H409" s="21">
        <v>45772</v>
      </c>
      <c r="I409" s="32">
        <f>IFERROR(VLOOKUP(TA[[#This Row],[Date]],Raw_Data[[Date]:[Sunset Time (POA&lt;20 W/m2)]],3,0),"")</f>
        <v>0.25555555555555554</v>
      </c>
      <c r="J409" s="32">
        <f>IFERROR(VLOOKUP(TA[[#This Row],[Date]],Raw_Data[[Date]:[Sunset Time (POA&lt;20 W/m2)]],4,0),"")</f>
        <v>0.72083333333333333</v>
      </c>
      <c r="K409" s="27">
        <f>IFERROR((TA[[#This Row],[Sunset Time (POA&lt;20 W/m2)]]-TA[[#This Row],[Sunrise Time (POA&gt;20 W/m2)]])*24,"")</f>
        <v>11.166666666666668</v>
      </c>
      <c r="L409" s="2" t="s">
        <v>287</v>
      </c>
      <c r="M409" s="33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321</v>
      </c>
      <c r="Q409" s="2" t="s">
        <v>314</v>
      </c>
      <c r="R409">
        <v>31</v>
      </c>
      <c r="S409" s="2">
        <v>61</v>
      </c>
      <c r="T409" t="s">
        <v>288</v>
      </c>
      <c r="U409" t="s">
        <v>317</v>
      </c>
      <c r="V409" t="s">
        <v>292</v>
      </c>
      <c r="W409" s="32"/>
      <c r="X409" s="32"/>
      <c r="Y409" s="26"/>
      <c r="Z409" s="26"/>
      <c r="AA409" s="27">
        <f>IF(TA[[#This Row],[Work Start time on Fault]]="NA","",(TA[[#This Row],[Fault Acknowledgement Time ]]-TA[[#This Row],[Fault Time]])*24)</f>
        <v>0</v>
      </c>
      <c r="AB409" s="27">
        <f>(TA[[#This Row],[Work Start time on Fault]]-TA[[#This Row],[Fault Time]])*24</f>
        <v>0</v>
      </c>
      <c r="AC409" s="26">
        <f>(TA[[#This Row],[Work Completion time on fault]]-TA[[#This Row],[Fault Time]])*24</f>
        <v>0</v>
      </c>
      <c r="AD409" s="27">
        <f>IFERROR((TA[[#This Row],[Work Completion time on fault]]-TA[[#This Row],[Fault Time]])*24,"")</f>
        <v>0</v>
      </c>
      <c r="AE409" t="s">
        <v>319</v>
      </c>
      <c r="AF409" t="s">
        <v>247</v>
      </c>
      <c r="AG409" s="2"/>
      <c r="AH409" s="35">
        <f>1-COS(RADIANS(TA[[#This Row],[Avg. Target Angle during Fault Time (Radians)]]-TA[[#This Row],[Angle of affected equipment ]]))</f>
        <v>0.11705240714107301</v>
      </c>
      <c r="AI409" s="27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43">
        <f t="shared" si="21"/>
        <v>2026</v>
      </c>
      <c r="C410" s="116">
        <f t="shared" si="22"/>
        <v>2025</v>
      </c>
      <c r="D410" s="2" t="s">
        <v>155</v>
      </c>
      <c r="E410" s="2" t="s">
        <v>155</v>
      </c>
      <c r="F410" s="30">
        <v>45748</v>
      </c>
      <c r="G410" s="2">
        <f>DAY(EOMONTH(TA[[#This Row],[Month Year]],0))</f>
        <v>30</v>
      </c>
      <c r="H410" s="21">
        <v>45772</v>
      </c>
      <c r="I410" s="32">
        <f>IFERROR(VLOOKUP(TA[[#This Row],[Date]],Raw_Data[[Date]:[Sunset Time (POA&lt;20 W/m2)]],3,0),"")</f>
        <v>0.25555555555555554</v>
      </c>
      <c r="J410" s="32">
        <f>IFERROR(VLOOKUP(TA[[#This Row],[Date]],Raw_Data[[Date]:[Sunset Time (POA&lt;20 W/m2)]],4,0),"")</f>
        <v>0.72083333333333333</v>
      </c>
      <c r="K410" s="27">
        <f>IFERROR((TA[[#This Row],[Sunset Time (POA&lt;20 W/m2)]]-TA[[#This Row],[Sunrise Time (POA&gt;20 W/m2)]])*24,"")</f>
        <v>11.166666666666668</v>
      </c>
      <c r="L410" s="2" t="s">
        <v>303</v>
      </c>
      <c r="M410" s="33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321</v>
      </c>
      <c r="Q410" s="2" t="s">
        <v>314</v>
      </c>
      <c r="R410">
        <v>26</v>
      </c>
      <c r="S410" s="2">
        <v>37</v>
      </c>
      <c r="T410" t="s">
        <v>288</v>
      </c>
      <c r="U410" t="s">
        <v>317</v>
      </c>
      <c r="V410" t="s">
        <v>292</v>
      </c>
      <c r="W410" s="32"/>
      <c r="X410" s="32"/>
      <c r="Y410" s="26"/>
      <c r="Z410" s="26"/>
      <c r="AA410" s="27">
        <f>IF(TA[[#This Row],[Work Start time on Fault]]="NA","",(TA[[#This Row],[Fault Acknowledgement Time ]]-TA[[#This Row],[Fault Time]])*24)</f>
        <v>0</v>
      </c>
      <c r="AB410" s="27">
        <f>(TA[[#This Row],[Work Start time on Fault]]-TA[[#This Row],[Fault Time]])*24</f>
        <v>0</v>
      </c>
      <c r="AC410" s="26">
        <f>(TA[[#This Row],[Work Completion time on fault]]-TA[[#This Row],[Fault Time]])*24</f>
        <v>0</v>
      </c>
      <c r="AD410" s="27">
        <f>IFERROR((TA[[#This Row],[Work Completion time on fault]]-TA[[#This Row],[Fault Time]])*24,"")</f>
        <v>0</v>
      </c>
      <c r="AE410" t="s">
        <v>319</v>
      </c>
      <c r="AF410" t="s">
        <v>247</v>
      </c>
      <c r="AG410" s="2"/>
      <c r="AH410" s="35">
        <f>1-COS(RADIANS(TA[[#This Row],[Avg. Target Angle during Fault Time (Radians)]]-TA[[#This Row],[Angle of affected equipment ]]))</f>
        <v>0.11705240714107301</v>
      </c>
      <c r="AI410" s="27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43">
        <f t="shared" si="21"/>
        <v>2026</v>
      </c>
      <c r="C411" s="116">
        <f t="shared" si="22"/>
        <v>2025</v>
      </c>
      <c r="D411" s="2" t="s">
        <v>155</v>
      </c>
      <c r="E411" s="2" t="s">
        <v>155</v>
      </c>
      <c r="F411" s="30">
        <v>45748</v>
      </c>
      <c r="G411" s="2">
        <f>DAY(EOMONTH(TA[[#This Row],[Month Year]],0))</f>
        <v>30</v>
      </c>
      <c r="H411" s="21">
        <v>45772</v>
      </c>
      <c r="I411" s="32">
        <f>IFERROR(VLOOKUP(TA[[#This Row],[Date]],Raw_Data[[Date]:[Sunset Time (POA&lt;20 W/m2)]],3,0),"")</f>
        <v>0.25555555555555554</v>
      </c>
      <c r="J411" s="32">
        <f>IFERROR(VLOOKUP(TA[[#This Row],[Date]],Raw_Data[[Date]:[Sunset Time (POA&lt;20 W/m2)]],4,0),"")</f>
        <v>0.72083333333333333</v>
      </c>
      <c r="K411" s="27">
        <f>IFERROR((TA[[#This Row],[Sunset Time (POA&lt;20 W/m2)]]-TA[[#This Row],[Sunrise Time (POA&gt;20 W/m2)]])*24,"")</f>
        <v>11.166666666666668</v>
      </c>
      <c r="L411" s="2" t="s">
        <v>303</v>
      </c>
      <c r="M411" s="33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321</v>
      </c>
      <c r="Q411" s="2" t="s">
        <v>314</v>
      </c>
      <c r="R411">
        <v>27</v>
      </c>
      <c r="S411" s="2">
        <v>42</v>
      </c>
      <c r="T411" t="s">
        <v>288</v>
      </c>
      <c r="U411" t="s">
        <v>317</v>
      </c>
      <c r="V411" t="s">
        <v>292</v>
      </c>
      <c r="W411" s="32">
        <f>IFERROR(VLOOKUP(TA[[#This Row],[Date]],Raw_Data[[Date]:[Sunset Time (POA&lt;20 W/m2)]],3,0),"")</f>
        <v>0.25555555555555554</v>
      </c>
      <c r="X411" s="32">
        <f>IFERROR(VLOOKUP(TA[[#This Row],[Date]],Raw_Data[[Date]:[Sunset Time (POA&lt;20 W/m2)]],3,0),"")</f>
        <v>0.25555555555555554</v>
      </c>
      <c r="Y411" s="26"/>
      <c r="Z411" s="26">
        <v>0.76041666666666663</v>
      </c>
      <c r="AA411" s="27">
        <f>IF(TA[[#This Row],[Work Start time on Fault]]="NA","",(TA[[#This Row],[Fault Acknowledgement Time ]]-TA[[#This Row],[Fault Time]])*24)</f>
        <v>0</v>
      </c>
      <c r="AB411" s="27">
        <f>(TA[[#This Row],[Work Start time on Fault]]-TA[[#This Row],[Fault Time]])*24</f>
        <v>-6.1333333333333329</v>
      </c>
      <c r="AC411" s="26">
        <f>(TA[[#This Row],[Work Completion time on fault]]-TA[[#This Row],[Fault Time]])*24</f>
        <v>12.116666666666667</v>
      </c>
      <c r="AD411" s="27">
        <f>IFERROR((TA[[#This Row],[Work Completion time on fault]]-TA[[#This Row],[Fault Time]])*24,"")</f>
        <v>12.116666666666667</v>
      </c>
      <c r="AE411" t="s">
        <v>300</v>
      </c>
      <c r="AF411" t="s">
        <v>247</v>
      </c>
      <c r="AG411" s="2"/>
      <c r="AH411" s="35">
        <f>1-COS(RADIANS(TA[[#This Row],[Avg. Target Angle during Fault Time (Radians)]]-TA[[#This Row],[Angle of affected equipment ]]))</f>
        <v>0.11705240714107301</v>
      </c>
      <c r="AI411" s="27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43">
        <f t="shared" si="21"/>
        <v>2026</v>
      </c>
      <c r="C412" s="116">
        <f t="shared" si="22"/>
        <v>2025</v>
      </c>
      <c r="D412" s="2" t="s">
        <v>155</v>
      </c>
      <c r="E412" s="2" t="s">
        <v>155</v>
      </c>
      <c r="F412" s="30">
        <v>45748</v>
      </c>
      <c r="G412" s="2">
        <f>DAY(EOMONTH(TA[[#This Row],[Month Year]],0))</f>
        <v>30</v>
      </c>
      <c r="H412" s="21">
        <v>45773</v>
      </c>
      <c r="I412" s="32">
        <f>IFERROR(VLOOKUP(TA[[#This Row],[Date]],Raw_Data[[Date]:[Sunset Time (POA&lt;20 W/m2)]],3,0),"")</f>
        <v>0.25347222222222221</v>
      </c>
      <c r="J412" s="32">
        <f>IFERROR(VLOOKUP(TA[[#This Row],[Date]],Raw_Data[[Date]:[Sunset Time (POA&lt;20 W/m2)]],4,0),"")</f>
        <v>0.76736111111111116</v>
      </c>
      <c r="K412" s="27">
        <f>IFERROR((TA[[#This Row],[Sunset Time (POA&lt;20 W/m2)]]-TA[[#This Row],[Sunrise Time (POA&gt;20 W/m2)]])*24,"")</f>
        <v>12.333333333333336</v>
      </c>
      <c r="L412" s="2" t="s">
        <v>285</v>
      </c>
      <c r="M412" s="33">
        <f>IFERROR(VLOOKUP(TA[[#This Row],[Affected Equipment]],'Basic Data'!$I$2:$K$40,3,0),"")</f>
        <v>1.7241379310344799E-3</v>
      </c>
      <c r="N412">
        <v>-28</v>
      </c>
      <c r="O412" t="s">
        <v>135</v>
      </c>
      <c r="P412" s="114" t="s">
        <v>309</v>
      </c>
      <c r="Q412" s="113" t="s">
        <v>309</v>
      </c>
      <c r="R412">
        <v>130</v>
      </c>
      <c r="S412" s="2">
        <v>37</v>
      </c>
      <c r="T412" t="s">
        <v>286</v>
      </c>
      <c r="U412" t="s">
        <v>291</v>
      </c>
      <c r="V412" t="s">
        <v>289</v>
      </c>
      <c r="W412" s="32"/>
      <c r="X412" s="32"/>
      <c r="Y412" s="26"/>
      <c r="Z412" s="26"/>
      <c r="AA412" s="27">
        <f>IF(TA[[#This Row],[Work Start time on Fault]]="NA","",(TA[[#This Row],[Fault Acknowledgement Time ]]-TA[[#This Row],[Fault Time]])*24)</f>
        <v>0</v>
      </c>
      <c r="AB412" s="27">
        <f>(TA[[#This Row],[Work Start time on Fault]]-TA[[#This Row],[Fault Time]])*24</f>
        <v>0</v>
      </c>
      <c r="AC412" s="26">
        <f>(TA[[#This Row],[Work Completion time on fault]]-TA[[#This Row],[Fault Time]])*24</f>
        <v>0</v>
      </c>
      <c r="AD412" s="27">
        <f>IFERROR((TA[[#This Row],[Work Completion time on fault]]-TA[[#This Row],[Fault Time]])*24,"")</f>
        <v>0</v>
      </c>
      <c r="AE412" t="s">
        <v>319</v>
      </c>
      <c r="AF412" t="s">
        <v>247</v>
      </c>
      <c r="AG412" s="2"/>
      <c r="AH412" s="35">
        <f>1-COS(RADIANS(TA[[#This Row],[Avg. Target Angle during Fault Time (Radians)]]-TA[[#This Row],[Angle of affected equipment ]]))</f>
        <v>0.11705240714107301</v>
      </c>
      <c r="AI412" s="27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43">
        <f t="shared" si="21"/>
        <v>2026</v>
      </c>
      <c r="C413" s="116">
        <f t="shared" si="22"/>
        <v>2025</v>
      </c>
      <c r="D413" s="2" t="s">
        <v>155</v>
      </c>
      <c r="E413" s="2" t="s">
        <v>155</v>
      </c>
      <c r="F413" s="30">
        <v>45748</v>
      </c>
      <c r="G413" s="2">
        <f>DAY(EOMONTH(TA[[#This Row],[Month Year]],0))</f>
        <v>30</v>
      </c>
      <c r="H413" s="21">
        <v>45773</v>
      </c>
      <c r="I413" s="32">
        <f>IFERROR(VLOOKUP(TA[[#This Row],[Date]],Raw_Data[[Date]:[Sunset Time (POA&lt;20 W/m2)]],3,0),"")</f>
        <v>0.25347222222222221</v>
      </c>
      <c r="J413" s="32">
        <f>IFERROR(VLOOKUP(TA[[#This Row],[Date]],Raw_Data[[Date]:[Sunset Time (POA&lt;20 W/m2)]],4,0),"")</f>
        <v>0.76736111111111116</v>
      </c>
      <c r="K413" s="27">
        <f>IFERROR((TA[[#This Row],[Sunset Time (POA&lt;20 W/m2)]]-TA[[#This Row],[Sunrise Time (POA&gt;20 W/m2)]])*24,"")</f>
        <v>12.333333333333336</v>
      </c>
      <c r="L413" s="2" t="s">
        <v>285</v>
      </c>
      <c r="M413" s="33">
        <f>IFERROR(VLOOKUP(TA[[#This Row],[Affected Equipment]],'Basic Data'!$I$2:$K$40,3,0),"")</f>
        <v>1.7241379310344799E-3</v>
      </c>
      <c r="N413">
        <v>-28</v>
      </c>
      <c r="O413" t="s">
        <v>135</v>
      </c>
      <c r="P413" s="114" t="s">
        <v>309</v>
      </c>
      <c r="Q413" s="113" t="s">
        <v>309</v>
      </c>
      <c r="R413">
        <v>131</v>
      </c>
      <c r="S413" s="2">
        <v>38</v>
      </c>
      <c r="T413" t="s">
        <v>286</v>
      </c>
      <c r="U413" t="s">
        <v>291</v>
      </c>
      <c r="V413" t="s">
        <v>289</v>
      </c>
      <c r="W413" s="32"/>
      <c r="X413" s="32"/>
      <c r="Y413" s="26"/>
      <c r="Z413" s="26"/>
      <c r="AA413" s="27">
        <f>IF(TA[[#This Row],[Work Start time on Fault]]="NA","",(TA[[#This Row],[Fault Acknowledgement Time ]]-TA[[#This Row],[Fault Time]])*24)</f>
        <v>0</v>
      </c>
      <c r="AB413" s="27">
        <f>(TA[[#This Row],[Work Start time on Fault]]-TA[[#This Row],[Fault Time]])*24</f>
        <v>0</v>
      </c>
      <c r="AC413" s="26">
        <f>(TA[[#This Row],[Work Completion time on fault]]-TA[[#This Row],[Fault Time]])*24</f>
        <v>0</v>
      </c>
      <c r="AD413" s="27">
        <f>IFERROR((TA[[#This Row],[Work Completion time on fault]]-TA[[#This Row],[Fault Time]])*24,"")</f>
        <v>0</v>
      </c>
      <c r="AE413" t="s">
        <v>319</v>
      </c>
      <c r="AF413" t="s">
        <v>247</v>
      </c>
      <c r="AG413" s="2"/>
      <c r="AH413" s="35">
        <f>1-COS(RADIANS(TA[[#This Row],[Avg. Target Angle during Fault Time (Radians)]]-TA[[#This Row],[Angle of affected equipment ]]))</f>
        <v>0.11705240714107301</v>
      </c>
      <c r="AI413" s="27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43">
        <f t="shared" si="21"/>
        <v>2026</v>
      </c>
      <c r="C414" s="116">
        <f t="shared" si="22"/>
        <v>2025</v>
      </c>
      <c r="D414" s="2" t="s">
        <v>155</v>
      </c>
      <c r="E414" s="2" t="s">
        <v>155</v>
      </c>
      <c r="F414" s="30">
        <v>45748</v>
      </c>
      <c r="G414" s="2">
        <f>DAY(EOMONTH(TA[[#This Row],[Month Year]],0))</f>
        <v>30</v>
      </c>
      <c r="H414" s="21">
        <v>45773</v>
      </c>
      <c r="I414" s="32">
        <f>IFERROR(VLOOKUP(TA[[#This Row],[Date]],Raw_Data[[Date]:[Sunset Time (POA&lt;20 W/m2)]],3,0),"")</f>
        <v>0.25347222222222221</v>
      </c>
      <c r="J414" s="32">
        <f>IFERROR(VLOOKUP(TA[[#This Row],[Date]],Raw_Data[[Date]:[Sunset Time (POA&lt;20 W/m2)]],4,0),"")</f>
        <v>0.76736111111111116</v>
      </c>
      <c r="K414" s="27">
        <f>IFERROR((TA[[#This Row],[Sunset Time (POA&lt;20 W/m2)]]-TA[[#This Row],[Sunrise Time (POA&gt;20 W/m2)]])*24,"")</f>
        <v>12.333333333333336</v>
      </c>
      <c r="L414" s="2" t="s">
        <v>285</v>
      </c>
      <c r="M414" s="33">
        <f>IFERROR(VLOOKUP(TA[[#This Row],[Affected Equipment]],'Basic Data'!$I$2:$K$40,3,0),"")</f>
        <v>1.7241379310344799E-3</v>
      </c>
      <c r="N414">
        <v>-28</v>
      </c>
      <c r="O414" t="s">
        <v>135</v>
      </c>
      <c r="P414" s="114" t="s">
        <v>309</v>
      </c>
      <c r="Q414" s="113" t="s">
        <v>309</v>
      </c>
      <c r="R414">
        <v>131</v>
      </c>
      <c r="S414" s="2">
        <v>39</v>
      </c>
      <c r="T414" t="s">
        <v>286</v>
      </c>
      <c r="U414" t="s">
        <v>291</v>
      </c>
      <c r="V414" t="s">
        <v>289</v>
      </c>
      <c r="W414" s="32"/>
      <c r="X414" s="32"/>
      <c r="Y414" s="26"/>
      <c r="Z414" s="26"/>
      <c r="AA414" s="27">
        <f>IF(TA[[#This Row],[Work Start time on Fault]]="NA","",(TA[[#This Row],[Fault Acknowledgement Time ]]-TA[[#This Row],[Fault Time]])*24)</f>
        <v>0</v>
      </c>
      <c r="AB414" s="27">
        <f>(TA[[#This Row],[Work Start time on Fault]]-TA[[#This Row],[Fault Time]])*24</f>
        <v>0</v>
      </c>
      <c r="AC414" s="26">
        <f>(TA[[#This Row],[Work Completion time on fault]]-TA[[#This Row],[Fault Time]])*24</f>
        <v>0</v>
      </c>
      <c r="AD414" s="27">
        <f>IFERROR((TA[[#This Row],[Work Completion time on fault]]-TA[[#This Row],[Fault Time]])*24,"")</f>
        <v>0</v>
      </c>
      <c r="AE414" t="s">
        <v>319</v>
      </c>
      <c r="AF414" t="s">
        <v>247</v>
      </c>
      <c r="AG414" s="2"/>
      <c r="AH414" s="35">
        <f>1-COS(RADIANS(TA[[#This Row],[Avg. Target Angle during Fault Time (Radians)]]-TA[[#This Row],[Angle of affected equipment ]]))</f>
        <v>0.11705240714107301</v>
      </c>
      <c r="AI414" s="27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43">
        <f t="shared" si="21"/>
        <v>2026</v>
      </c>
      <c r="C415" s="116">
        <f t="shared" si="22"/>
        <v>2025</v>
      </c>
      <c r="D415" s="2" t="s">
        <v>155</v>
      </c>
      <c r="E415" s="2" t="s">
        <v>155</v>
      </c>
      <c r="F415" s="30">
        <v>45748</v>
      </c>
      <c r="G415" s="2">
        <f>DAY(EOMONTH(TA[[#This Row],[Month Year]],0))</f>
        <v>30</v>
      </c>
      <c r="H415" s="21">
        <v>45773</v>
      </c>
      <c r="I415" s="32">
        <f>IFERROR(VLOOKUP(TA[[#This Row],[Date]],Raw_Data[[Date]:[Sunset Time (POA&lt;20 W/m2)]],3,0),"")</f>
        <v>0.25347222222222221</v>
      </c>
      <c r="J415" s="32">
        <f>IFERROR(VLOOKUP(TA[[#This Row],[Date]],Raw_Data[[Date]:[Sunset Time (POA&lt;20 W/m2)]],4,0),"")</f>
        <v>0.76736111111111116</v>
      </c>
      <c r="K415" s="27">
        <f>IFERROR((TA[[#This Row],[Sunset Time (POA&lt;20 W/m2)]]-TA[[#This Row],[Sunrise Time (POA&gt;20 W/m2)]])*24,"")</f>
        <v>12.333333333333336</v>
      </c>
      <c r="L415" s="2" t="s">
        <v>287</v>
      </c>
      <c r="M415" s="33">
        <f>IFERROR(VLOOKUP(TA[[#This Row],[Affected Equipment]],'Basic Data'!$I$2:$K$40,3,0),"")</f>
        <v>8.6206896551724102E-3</v>
      </c>
      <c r="N415">
        <v>-28</v>
      </c>
      <c r="O415" t="s">
        <v>135</v>
      </c>
      <c r="P415" s="114" t="s">
        <v>309</v>
      </c>
      <c r="Q415" s="2" t="s">
        <v>312</v>
      </c>
      <c r="R415">
        <v>133</v>
      </c>
      <c r="S415" s="2">
        <v>26</v>
      </c>
      <c r="T415" t="s">
        <v>288</v>
      </c>
      <c r="U415" t="s">
        <v>291</v>
      </c>
      <c r="V415" t="s">
        <v>305</v>
      </c>
      <c r="W415" s="32">
        <f>IFERROR(VLOOKUP(TA[[#This Row],[Date]],Raw_Data[[Date]:[Sunset Time (POA&lt;20 W/m2)]],3,0),"")</f>
        <v>0.25347222222222221</v>
      </c>
      <c r="X415" s="32">
        <f>IFERROR(VLOOKUP(TA[[#This Row],[Date]],Raw_Data[[Date]:[Sunset Time (POA&lt;20 W/m2)]],3,0),"")</f>
        <v>0.25347222222222221</v>
      </c>
      <c r="Y415" s="26"/>
      <c r="Z415" s="26">
        <v>0.76041666666666663</v>
      </c>
      <c r="AA415" s="27">
        <f>IF(TA[[#This Row],[Work Start time on Fault]]="NA","",(TA[[#This Row],[Fault Acknowledgement Time ]]-TA[[#This Row],[Fault Time]])*24)</f>
        <v>0</v>
      </c>
      <c r="AB415" s="27">
        <f>(TA[[#This Row],[Work Start time on Fault]]-TA[[#This Row],[Fault Time]])*24</f>
        <v>-6.083333333333333</v>
      </c>
      <c r="AC415" s="26">
        <f>(TA[[#This Row],[Work Completion time on fault]]-TA[[#This Row],[Fault Time]])*24</f>
        <v>12.166666666666666</v>
      </c>
      <c r="AD415" s="27">
        <f>IFERROR((TA[[#This Row],[Work Completion time on fault]]-TA[[#This Row],[Fault Time]])*24,"")</f>
        <v>12.166666666666666</v>
      </c>
      <c r="AE415" t="s">
        <v>319</v>
      </c>
      <c r="AF415" t="s">
        <v>247</v>
      </c>
      <c r="AG415" s="2"/>
      <c r="AH415" s="35">
        <f>1-COS(RADIANS(TA[[#This Row],[Avg. Target Angle during Fault Time (Radians)]]-TA[[#This Row],[Angle of affected equipment ]]))</f>
        <v>0.11705240714107301</v>
      </c>
      <c r="AI415" s="27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43">
        <f t="shared" si="21"/>
        <v>2026</v>
      </c>
      <c r="C416" s="116">
        <f t="shared" si="22"/>
        <v>2025</v>
      </c>
      <c r="D416" s="2" t="s">
        <v>155</v>
      </c>
      <c r="E416" s="2" t="s">
        <v>155</v>
      </c>
      <c r="F416" s="30">
        <v>45748</v>
      </c>
      <c r="G416" s="2">
        <f>DAY(EOMONTH(TA[[#This Row],[Month Year]],0))</f>
        <v>30</v>
      </c>
      <c r="H416" s="21">
        <v>45773</v>
      </c>
      <c r="I416" s="32">
        <f>IFERROR(VLOOKUP(TA[[#This Row],[Date]],Raw_Data[[Date]:[Sunset Time (POA&lt;20 W/m2)]],3,0),"")</f>
        <v>0.25347222222222221</v>
      </c>
      <c r="J416" s="32">
        <f>IFERROR(VLOOKUP(TA[[#This Row],[Date]],Raw_Data[[Date]:[Sunset Time (POA&lt;20 W/m2)]],4,0),"")</f>
        <v>0.76736111111111116</v>
      </c>
      <c r="K416" s="27">
        <f>IFERROR((TA[[#This Row],[Sunset Time (POA&lt;20 W/m2)]]-TA[[#This Row],[Sunrise Time (POA&gt;20 W/m2)]])*24,"")</f>
        <v>12.333333333333336</v>
      </c>
      <c r="L416" s="2" t="s">
        <v>285</v>
      </c>
      <c r="M416" s="33">
        <f>IFERROR(VLOOKUP(TA[[#This Row],[Affected Equipment]],'Basic Data'!$I$2:$K$40,3,0),"")</f>
        <v>1.7241379310344799E-3</v>
      </c>
      <c r="N416">
        <v>-28</v>
      </c>
      <c r="O416" t="s">
        <v>133</v>
      </c>
      <c r="P416" s="114" t="s">
        <v>307</v>
      </c>
      <c r="Q416" s="113" t="s">
        <v>308</v>
      </c>
      <c r="R416">
        <v>7</v>
      </c>
      <c r="S416" s="2">
        <v>32</v>
      </c>
      <c r="T416" t="s">
        <v>286</v>
      </c>
      <c r="U416" t="s">
        <v>291</v>
      </c>
      <c r="V416" t="s">
        <v>289</v>
      </c>
      <c r="W416" s="32"/>
      <c r="X416" s="32"/>
      <c r="Y416" s="26"/>
      <c r="Z416" s="26"/>
      <c r="AA416" s="27">
        <f>IF(TA[[#This Row],[Work Start time on Fault]]="NA","",(TA[[#This Row],[Fault Acknowledgement Time ]]-TA[[#This Row],[Fault Time]])*24)</f>
        <v>0</v>
      </c>
      <c r="AB416" s="27">
        <f>(TA[[#This Row],[Work Start time on Fault]]-TA[[#This Row],[Fault Time]])*24</f>
        <v>0</v>
      </c>
      <c r="AC416" s="26">
        <f>(TA[[#This Row],[Work Completion time on fault]]-TA[[#This Row],[Fault Time]])*24</f>
        <v>0</v>
      </c>
      <c r="AD416" s="27">
        <f>IFERROR((TA[[#This Row],[Work Completion time on fault]]-TA[[#This Row],[Fault Time]])*24,"")</f>
        <v>0</v>
      </c>
      <c r="AE416" t="s">
        <v>319</v>
      </c>
      <c r="AF416" t="s">
        <v>247</v>
      </c>
      <c r="AG416" s="2"/>
      <c r="AH416" s="35">
        <f>1-COS(RADIANS(TA[[#This Row],[Avg. Target Angle during Fault Time (Radians)]]-TA[[#This Row],[Angle of affected equipment ]]))</f>
        <v>0.11705240714107301</v>
      </c>
      <c r="AI416" s="27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43">
        <f t="shared" si="21"/>
        <v>2026</v>
      </c>
      <c r="C417" s="116">
        <f t="shared" si="22"/>
        <v>2025</v>
      </c>
      <c r="D417" s="2" t="s">
        <v>155</v>
      </c>
      <c r="E417" s="2" t="s">
        <v>155</v>
      </c>
      <c r="F417" s="30">
        <v>45748</v>
      </c>
      <c r="G417" s="2">
        <f>DAY(EOMONTH(TA[[#This Row],[Month Year]],0))</f>
        <v>30</v>
      </c>
      <c r="H417" s="21">
        <v>45773</v>
      </c>
      <c r="I417" s="32">
        <f>IFERROR(VLOOKUP(TA[[#This Row],[Date]],Raw_Data[[Date]:[Sunset Time (POA&lt;20 W/m2)]],3,0),"")</f>
        <v>0.25347222222222221</v>
      </c>
      <c r="J417" s="32">
        <f>IFERROR(VLOOKUP(TA[[#This Row],[Date]],Raw_Data[[Date]:[Sunset Time (POA&lt;20 W/m2)]],4,0),"")</f>
        <v>0.76736111111111116</v>
      </c>
      <c r="K417" s="27">
        <f>IFERROR((TA[[#This Row],[Sunset Time (POA&lt;20 W/m2)]]-TA[[#This Row],[Sunrise Time (POA&gt;20 W/m2)]])*24,"")</f>
        <v>12.333333333333336</v>
      </c>
      <c r="L417" s="2" t="s">
        <v>285</v>
      </c>
      <c r="M417" s="33">
        <f>IFERROR(VLOOKUP(TA[[#This Row],[Affected Equipment]],'Basic Data'!$I$2:$K$40,3,0),"")</f>
        <v>1.7241379310344799E-3</v>
      </c>
      <c r="N417">
        <v>-28</v>
      </c>
      <c r="O417" t="s">
        <v>137</v>
      </c>
      <c r="P417" s="114" t="s">
        <v>306</v>
      </c>
      <c r="Q417" s="113" t="s">
        <v>310</v>
      </c>
      <c r="R417">
        <v>166</v>
      </c>
      <c r="S417" s="2">
        <v>91</v>
      </c>
      <c r="T417" t="s">
        <v>286</v>
      </c>
      <c r="U417" t="s">
        <v>291</v>
      </c>
      <c r="V417" t="s">
        <v>289</v>
      </c>
      <c r="W417" s="32"/>
      <c r="X417" s="32"/>
      <c r="Y417" s="26"/>
      <c r="Z417" s="26"/>
      <c r="AA417" s="27">
        <f>IF(TA[[#This Row],[Work Start time on Fault]]="NA","",(TA[[#This Row],[Fault Acknowledgement Time ]]-TA[[#This Row],[Fault Time]])*24)</f>
        <v>0</v>
      </c>
      <c r="AB417" s="27">
        <f>(TA[[#This Row],[Work Start time on Fault]]-TA[[#This Row],[Fault Time]])*24</f>
        <v>0</v>
      </c>
      <c r="AC417" s="26">
        <f>(TA[[#This Row],[Work Completion time on fault]]-TA[[#This Row],[Fault Time]])*24</f>
        <v>0</v>
      </c>
      <c r="AD417" s="27">
        <f>IFERROR((TA[[#This Row],[Work Completion time on fault]]-TA[[#This Row],[Fault Time]])*24,"")</f>
        <v>0</v>
      </c>
      <c r="AE417" t="s">
        <v>319</v>
      </c>
      <c r="AF417" t="s">
        <v>247</v>
      </c>
      <c r="AG417" s="2"/>
      <c r="AH417" s="35">
        <f>1-COS(RADIANS(TA[[#This Row],[Avg. Target Angle during Fault Time (Radians)]]-TA[[#This Row],[Angle of affected equipment ]]))</f>
        <v>0.11705240714107301</v>
      </c>
      <c r="AI417" s="27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43">
        <f t="shared" si="21"/>
        <v>2026</v>
      </c>
      <c r="C418" s="116">
        <f t="shared" si="22"/>
        <v>2025</v>
      </c>
      <c r="D418" s="2" t="s">
        <v>155</v>
      </c>
      <c r="E418" s="2" t="s">
        <v>155</v>
      </c>
      <c r="F418" s="30">
        <v>45748</v>
      </c>
      <c r="G418" s="2">
        <f>DAY(EOMONTH(TA[[#This Row],[Month Year]],0))</f>
        <v>30</v>
      </c>
      <c r="H418" s="21">
        <v>45773</v>
      </c>
      <c r="I418" s="32">
        <f>IFERROR(VLOOKUP(TA[[#This Row],[Date]],Raw_Data[[Date]:[Sunset Time (POA&lt;20 W/m2)]],3,0),"")</f>
        <v>0.25347222222222221</v>
      </c>
      <c r="J418" s="32">
        <f>IFERROR(VLOOKUP(TA[[#This Row],[Date]],Raw_Data[[Date]:[Sunset Time (POA&lt;20 W/m2)]],4,0),"")</f>
        <v>0.76736111111111116</v>
      </c>
      <c r="K418" s="27">
        <f>IFERROR((TA[[#This Row],[Sunset Time (POA&lt;20 W/m2)]]-TA[[#This Row],[Sunrise Time (POA&gt;20 W/m2)]])*24,"")</f>
        <v>12.333333333333336</v>
      </c>
      <c r="L418" s="2" t="s">
        <v>285</v>
      </c>
      <c r="M418" s="33">
        <f>IFERROR(VLOOKUP(TA[[#This Row],[Affected Equipment]],'Basic Data'!$I$2:$K$40,3,0),"")</f>
        <v>1.7241379310344799E-3</v>
      </c>
      <c r="N418">
        <v>-28</v>
      </c>
      <c r="O418" t="s">
        <v>133</v>
      </c>
      <c r="P418" s="114" t="s">
        <v>307</v>
      </c>
      <c r="Q418" s="113" t="s">
        <v>307</v>
      </c>
      <c r="R418">
        <v>117</v>
      </c>
      <c r="S418" s="2">
        <v>20</v>
      </c>
      <c r="T418" t="s">
        <v>286</v>
      </c>
      <c r="U418" t="s">
        <v>291</v>
      </c>
      <c r="V418" t="s">
        <v>289</v>
      </c>
      <c r="W418" s="32"/>
      <c r="X418" s="32"/>
      <c r="Y418" s="26"/>
      <c r="Z418" s="26"/>
      <c r="AA418" s="27">
        <f>IF(TA[[#This Row],[Work Start time on Fault]]="NA","",(TA[[#This Row],[Fault Acknowledgement Time ]]-TA[[#This Row],[Fault Time]])*24)</f>
        <v>0</v>
      </c>
      <c r="AB418" s="27">
        <f>(TA[[#This Row],[Work Start time on Fault]]-TA[[#This Row],[Fault Time]])*24</f>
        <v>0</v>
      </c>
      <c r="AC418" s="26">
        <f>(TA[[#This Row],[Work Completion time on fault]]-TA[[#This Row],[Fault Time]])*24</f>
        <v>0</v>
      </c>
      <c r="AD418" s="27">
        <f>IFERROR((TA[[#This Row],[Work Completion time on fault]]-TA[[#This Row],[Fault Time]])*24,"")</f>
        <v>0</v>
      </c>
      <c r="AE418" t="s">
        <v>319</v>
      </c>
      <c r="AF418" t="s">
        <v>247</v>
      </c>
      <c r="AG418" s="2"/>
      <c r="AH418" s="35">
        <f>1-COS(RADIANS(TA[[#This Row],[Avg. Target Angle during Fault Time (Radians)]]-TA[[#This Row],[Angle of affected equipment ]]))</f>
        <v>0.11705240714107301</v>
      </c>
      <c r="AI418" s="27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43">
        <f t="shared" si="21"/>
        <v>2026</v>
      </c>
      <c r="C419" s="116">
        <f t="shared" si="22"/>
        <v>2025</v>
      </c>
      <c r="D419" s="2" t="s">
        <v>155</v>
      </c>
      <c r="E419" s="2" t="s">
        <v>155</v>
      </c>
      <c r="F419" s="30">
        <v>45748</v>
      </c>
      <c r="G419" s="2">
        <f>DAY(EOMONTH(TA[[#This Row],[Month Year]],0))</f>
        <v>30</v>
      </c>
      <c r="H419" s="21">
        <v>45773</v>
      </c>
      <c r="I419" s="32">
        <f>IFERROR(VLOOKUP(TA[[#This Row],[Date]],Raw_Data[[Date]:[Sunset Time (POA&lt;20 W/m2)]],3,0),"")</f>
        <v>0.25347222222222221</v>
      </c>
      <c r="J419" s="32">
        <f>IFERROR(VLOOKUP(TA[[#This Row],[Date]],Raw_Data[[Date]:[Sunset Time (POA&lt;20 W/m2)]],4,0),"")</f>
        <v>0.76736111111111116</v>
      </c>
      <c r="K419" s="27">
        <f>IFERROR((TA[[#This Row],[Sunset Time (POA&lt;20 W/m2)]]-TA[[#This Row],[Sunrise Time (POA&gt;20 W/m2)]])*24,"")</f>
        <v>12.333333333333336</v>
      </c>
      <c r="L419" s="2" t="s">
        <v>285</v>
      </c>
      <c r="M419" s="33">
        <f>IFERROR(VLOOKUP(TA[[#This Row],[Affected Equipment]],'Basic Data'!$I$2:$K$40,3,0),"")</f>
        <v>1.7241379310344799E-3</v>
      </c>
      <c r="N419">
        <v>-28</v>
      </c>
      <c r="O419" t="s">
        <v>133</v>
      </c>
      <c r="P419" s="114" t="s">
        <v>307</v>
      </c>
      <c r="Q419" s="113" t="s">
        <v>307</v>
      </c>
      <c r="R419">
        <v>118</v>
      </c>
      <c r="S419" s="2">
        <v>22</v>
      </c>
      <c r="T419" t="s">
        <v>286</v>
      </c>
      <c r="U419" t="s">
        <v>291</v>
      </c>
      <c r="V419" t="s">
        <v>289</v>
      </c>
      <c r="W419" s="32"/>
      <c r="X419" s="32"/>
      <c r="Y419" s="26"/>
      <c r="Z419" s="26"/>
      <c r="AA419" s="27">
        <f>IF(TA[[#This Row],[Work Start time on Fault]]="NA","",(TA[[#This Row],[Fault Acknowledgement Time ]]-TA[[#This Row],[Fault Time]])*24)</f>
        <v>0</v>
      </c>
      <c r="AB419" s="27">
        <f>(TA[[#This Row],[Work Start time on Fault]]-TA[[#This Row],[Fault Time]])*24</f>
        <v>0</v>
      </c>
      <c r="AC419" s="26">
        <f>(TA[[#This Row],[Work Completion time on fault]]-TA[[#This Row],[Fault Time]])*24</f>
        <v>0</v>
      </c>
      <c r="AD419" s="27">
        <f>IFERROR((TA[[#This Row],[Work Completion time on fault]]-TA[[#This Row],[Fault Time]])*24,"")</f>
        <v>0</v>
      </c>
      <c r="AE419" t="s">
        <v>319</v>
      </c>
      <c r="AF419" t="s">
        <v>247</v>
      </c>
      <c r="AG419" s="2"/>
      <c r="AH419" s="35">
        <f>1-COS(RADIANS(TA[[#This Row],[Avg. Target Angle during Fault Time (Radians)]]-TA[[#This Row],[Angle of affected equipment ]]))</f>
        <v>0.11705240714107301</v>
      </c>
      <c r="AI419" s="27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43">
        <f t="shared" si="21"/>
        <v>2026</v>
      </c>
      <c r="C420" s="116">
        <f t="shared" si="22"/>
        <v>2025</v>
      </c>
      <c r="D420" s="2" t="s">
        <v>155</v>
      </c>
      <c r="E420" s="2" t="s">
        <v>155</v>
      </c>
      <c r="F420" s="30">
        <v>45748</v>
      </c>
      <c r="G420" s="2">
        <f>DAY(EOMONTH(TA[[#This Row],[Month Year]],0))</f>
        <v>30</v>
      </c>
      <c r="H420" s="21">
        <v>45773</v>
      </c>
      <c r="I420" s="32">
        <f>IFERROR(VLOOKUP(TA[[#This Row],[Date]],Raw_Data[[Date]:[Sunset Time (POA&lt;20 W/m2)]],3,0),"")</f>
        <v>0.25347222222222221</v>
      </c>
      <c r="J420" s="32">
        <f>IFERROR(VLOOKUP(TA[[#This Row],[Date]],Raw_Data[[Date]:[Sunset Time (POA&lt;20 W/m2)]],4,0),"")</f>
        <v>0.76736111111111116</v>
      </c>
      <c r="K420" s="27">
        <f>IFERROR((TA[[#This Row],[Sunset Time (POA&lt;20 W/m2)]]-TA[[#This Row],[Sunrise Time (POA&gt;20 W/m2)]])*24,"")</f>
        <v>12.333333333333336</v>
      </c>
      <c r="L420" s="2" t="s">
        <v>287</v>
      </c>
      <c r="M420" s="33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314</v>
      </c>
      <c r="Q420" s="2" t="s">
        <v>320</v>
      </c>
      <c r="R420">
        <v>45</v>
      </c>
      <c r="S420" s="2">
        <v>8</v>
      </c>
      <c r="T420" t="s">
        <v>288</v>
      </c>
      <c r="U420" t="s">
        <v>317</v>
      </c>
      <c r="V420" t="s">
        <v>292</v>
      </c>
      <c r="W420" s="32"/>
      <c r="X420" s="32"/>
      <c r="Y420" s="26"/>
      <c r="Z420" s="26"/>
      <c r="AA420" s="27">
        <f>IF(TA[[#This Row],[Work Start time on Fault]]="NA","",(TA[[#This Row],[Fault Acknowledgement Time ]]-TA[[#This Row],[Fault Time]])*24)</f>
        <v>0</v>
      </c>
      <c r="AB420" s="27">
        <f>(TA[[#This Row],[Work Start time on Fault]]-TA[[#This Row],[Fault Time]])*24</f>
        <v>0</v>
      </c>
      <c r="AC420" s="26">
        <f>(TA[[#This Row],[Work Completion time on fault]]-TA[[#This Row],[Fault Time]])*24</f>
        <v>0</v>
      </c>
      <c r="AD420" s="27">
        <f>IFERROR((TA[[#This Row],[Work Completion time on fault]]-TA[[#This Row],[Fault Time]])*24,"")</f>
        <v>0</v>
      </c>
      <c r="AE420" t="s">
        <v>319</v>
      </c>
      <c r="AF420" t="s">
        <v>247</v>
      </c>
      <c r="AG420" s="2"/>
      <c r="AH420" s="35">
        <f>1-COS(RADIANS(TA[[#This Row],[Avg. Target Angle during Fault Time (Radians)]]-TA[[#This Row],[Angle of affected equipment ]]))</f>
        <v>0.11705240714107301</v>
      </c>
      <c r="AI420" s="27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43">
        <f t="shared" si="21"/>
        <v>2026</v>
      </c>
      <c r="C421" s="116">
        <f t="shared" si="22"/>
        <v>2025</v>
      </c>
      <c r="D421" s="2" t="s">
        <v>155</v>
      </c>
      <c r="E421" s="2" t="s">
        <v>155</v>
      </c>
      <c r="F421" s="30">
        <v>45748</v>
      </c>
      <c r="G421" s="2">
        <f>DAY(EOMONTH(TA[[#This Row],[Month Year]],0))</f>
        <v>30</v>
      </c>
      <c r="H421" s="21">
        <v>45773</v>
      </c>
      <c r="I421" s="32">
        <f>IFERROR(VLOOKUP(TA[[#This Row],[Date]],Raw_Data[[Date]:[Sunset Time (POA&lt;20 W/m2)]],3,0),"")</f>
        <v>0.25347222222222221</v>
      </c>
      <c r="J421" s="32">
        <f>IFERROR(VLOOKUP(TA[[#This Row],[Date]],Raw_Data[[Date]:[Sunset Time (POA&lt;20 W/m2)]],4,0),"")</f>
        <v>0.76736111111111116</v>
      </c>
      <c r="K421" s="27">
        <f>IFERROR((TA[[#This Row],[Sunset Time (POA&lt;20 W/m2)]]-TA[[#This Row],[Sunrise Time (POA&gt;20 W/m2)]])*24,"")</f>
        <v>12.333333333333336</v>
      </c>
      <c r="L421" s="2" t="s">
        <v>287</v>
      </c>
      <c r="M421" s="33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314</v>
      </c>
      <c r="Q421" s="2" t="s">
        <v>320</v>
      </c>
      <c r="R421">
        <v>47</v>
      </c>
      <c r="S421" s="2">
        <v>18</v>
      </c>
      <c r="T421" t="s">
        <v>288</v>
      </c>
      <c r="U421" t="s">
        <v>317</v>
      </c>
      <c r="V421" t="s">
        <v>292</v>
      </c>
      <c r="W421" s="32"/>
      <c r="X421" s="32"/>
      <c r="Y421" s="26"/>
      <c r="Z421" s="26"/>
      <c r="AA421" s="27">
        <f>IF(TA[[#This Row],[Work Start time on Fault]]="NA","",(TA[[#This Row],[Fault Acknowledgement Time ]]-TA[[#This Row],[Fault Time]])*24)</f>
        <v>0</v>
      </c>
      <c r="AB421" s="27">
        <f>(TA[[#This Row],[Work Start time on Fault]]-TA[[#This Row],[Fault Time]])*24</f>
        <v>0</v>
      </c>
      <c r="AC421" s="26">
        <f>(TA[[#This Row],[Work Completion time on fault]]-TA[[#This Row],[Fault Time]])*24</f>
        <v>0</v>
      </c>
      <c r="AD421" s="27">
        <f>IFERROR((TA[[#This Row],[Work Completion time on fault]]-TA[[#This Row],[Fault Time]])*24,"")</f>
        <v>0</v>
      </c>
      <c r="AE421" t="s">
        <v>319</v>
      </c>
      <c r="AF421" t="s">
        <v>247</v>
      </c>
      <c r="AG421" s="2"/>
      <c r="AH421" s="35">
        <f>1-COS(RADIANS(TA[[#This Row],[Avg. Target Angle during Fault Time (Radians)]]-TA[[#This Row],[Angle of affected equipment ]]))</f>
        <v>0.11705240714107301</v>
      </c>
      <c r="AI421" s="27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43">
        <f t="shared" si="21"/>
        <v>2026</v>
      </c>
      <c r="C422" s="116">
        <f t="shared" si="22"/>
        <v>2025</v>
      </c>
      <c r="D422" s="2" t="s">
        <v>155</v>
      </c>
      <c r="E422" s="2" t="s">
        <v>155</v>
      </c>
      <c r="F422" s="30">
        <v>45748</v>
      </c>
      <c r="G422" s="2">
        <f>DAY(EOMONTH(TA[[#This Row],[Month Year]],0))</f>
        <v>30</v>
      </c>
      <c r="H422" s="21">
        <v>45773</v>
      </c>
      <c r="I422" s="32">
        <f>IFERROR(VLOOKUP(TA[[#This Row],[Date]],Raw_Data[[Date]:[Sunset Time (POA&lt;20 W/m2)]],3,0),"")</f>
        <v>0.25347222222222221</v>
      </c>
      <c r="J422" s="32">
        <f>IFERROR(VLOOKUP(TA[[#This Row],[Date]],Raw_Data[[Date]:[Sunset Time (POA&lt;20 W/m2)]],4,0),"")</f>
        <v>0.76736111111111116</v>
      </c>
      <c r="K422" s="27">
        <f>IFERROR((TA[[#This Row],[Sunset Time (POA&lt;20 W/m2)]]-TA[[#This Row],[Sunrise Time (POA&gt;20 W/m2)]])*24,"")</f>
        <v>12.333333333333336</v>
      </c>
      <c r="L422" s="2" t="s">
        <v>287</v>
      </c>
      <c r="M422" s="33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321</v>
      </c>
      <c r="Q422" s="2" t="s">
        <v>314</v>
      </c>
      <c r="R422">
        <v>30</v>
      </c>
      <c r="S422" s="2">
        <v>57</v>
      </c>
      <c r="T422" t="s">
        <v>288</v>
      </c>
      <c r="U422" t="s">
        <v>317</v>
      </c>
      <c r="V422" t="s">
        <v>292</v>
      </c>
      <c r="W422" s="32"/>
      <c r="X422" s="32"/>
      <c r="Y422" s="26"/>
      <c r="Z422" s="26"/>
      <c r="AA422" s="27">
        <f>IF(TA[[#This Row],[Work Start time on Fault]]="NA","",(TA[[#This Row],[Fault Acknowledgement Time ]]-TA[[#This Row],[Fault Time]])*24)</f>
        <v>0</v>
      </c>
      <c r="AB422" s="27">
        <f>(TA[[#This Row],[Work Start time on Fault]]-TA[[#This Row],[Fault Time]])*24</f>
        <v>0</v>
      </c>
      <c r="AC422" s="26">
        <f>(TA[[#This Row],[Work Completion time on fault]]-TA[[#This Row],[Fault Time]])*24</f>
        <v>0</v>
      </c>
      <c r="AD422" s="27">
        <f>IFERROR((TA[[#This Row],[Work Completion time on fault]]-TA[[#This Row],[Fault Time]])*24,"")</f>
        <v>0</v>
      </c>
      <c r="AE422" t="s">
        <v>319</v>
      </c>
      <c r="AF422" t="s">
        <v>247</v>
      </c>
      <c r="AG422" s="2"/>
      <c r="AH422" s="35">
        <f>1-COS(RADIANS(TA[[#This Row],[Avg. Target Angle during Fault Time (Radians)]]-TA[[#This Row],[Angle of affected equipment ]]))</f>
        <v>0.11705240714107301</v>
      </c>
      <c r="AI422" s="27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43">
        <f t="shared" si="21"/>
        <v>2026</v>
      </c>
      <c r="C423" s="116">
        <f t="shared" si="22"/>
        <v>2025</v>
      </c>
      <c r="D423" s="2" t="s">
        <v>155</v>
      </c>
      <c r="E423" s="2" t="s">
        <v>155</v>
      </c>
      <c r="F423" s="30">
        <v>45748</v>
      </c>
      <c r="G423" s="2">
        <f>DAY(EOMONTH(TA[[#This Row],[Month Year]],0))</f>
        <v>30</v>
      </c>
      <c r="H423" s="21">
        <v>45773</v>
      </c>
      <c r="I423" s="32">
        <f>IFERROR(VLOOKUP(TA[[#This Row],[Date]],Raw_Data[[Date]:[Sunset Time (POA&lt;20 W/m2)]],3,0),"")</f>
        <v>0.25347222222222221</v>
      </c>
      <c r="J423" s="32">
        <f>IFERROR(VLOOKUP(TA[[#This Row],[Date]],Raw_Data[[Date]:[Sunset Time (POA&lt;20 W/m2)]],4,0),"")</f>
        <v>0.76736111111111116</v>
      </c>
      <c r="K423" s="27">
        <f>IFERROR((TA[[#This Row],[Sunset Time (POA&lt;20 W/m2)]]-TA[[#This Row],[Sunrise Time (POA&gt;20 W/m2)]])*24,"")</f>
        <v>12.333333333333336</v>
      </c>
      <c r="L423" s="2" t="s">
        <v>287</v>
      </c>
      <c r="M423" s="33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321</v>
      </c>
      <c r="Q423" s="2" t="s">
        <v>314</v>
      </c>
      <c r="R423">
        <v>31</v>
      </c>
      <c r="S423" s="2">
        <v>61</v>
      </c>
      <c r="T423" t="s">
        <v>288</v>
      </c>
      <c r="U423" t="s">
        <v>317</v>
      </c>
      <c r="V423" t="s">
        <v>292</v>
      </c>
      <c r="W423" s="32"/>
      <c r="X423" s="32"/>
      <c r="Y423" s="26"/>
      <c r="Z423" s="26"/>
      <c r="AA423" s="27">
        <f>IF(TA[[#This Row],[Work Start time on Fault]]="NA","",(TA[[#This Row],[Fault Acknowledgement Time ]]-TA[[#This Row],[Fault Time]])*24)</f>
        <v>0</v>
      </c>
      <c r="AB423" s="27">
        <f>(TA[[#This Row],[Work Start time on Fault]]-TA[[#This Row],[Fault Time]])*24</f>
        <v>0</v>
      </c>
      <c r="AC423" s="26">
        <f>(TA[[#This Row],[Work Completion time on fault]]-TA[[#This Row],[Fault Time]])*24</f>
        <v>0</v>
      </c>
      <c r="AD423" s="27">
        <f>IFERROR((TA[[#This Row],[Work Completion time on fault]]-TA[[#This Row],[Fault Time]])*24,"")</f>
        <v>0</v>
      </c>
      <c r="AE423" t="s">
        <v>319</v>
      </c>
      <c r="AF423" t="s">
        <v>247</v>
      </c>
      <c r="AG423" s="2"/>
      <c r="AH423" s="35">
        <f>1-COS(RADIANS(TA[[#This Row],[Avg. Target Angle during Fault Time (Radians)]]-TA[[#This Row],[Angle of affected equipment ]]))</f>
        <v>0.11705240714107301</v>
      </c>
      <c r="AI423" s="27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43">
        <f t="shared" si="21"/>
        <v>2026</v>
      </c>
      <c r="C424" s="116">
        <f t="shared" si="22"/>
        <v>2025</v>
      </c>
      <c r="D424" s="2" t="s">
        <v>155</v>
      </c>
      <c r="E424" s="2" t="s">
        <v>155</v>
      </c>
      <c r="F424" s="30">
        <v>45748</v>
      </c>
      <c r="G424" s="2">
        <f>DAY(EOMONTH(TA[[#This Row],[Month Year]],0))</f>
        <v>30</v>
      </c>
      <c r="H424" s="21">
        <v>45773</v>
      </c>
      <c r="I424" s="32">
        <f>IFERROR(VLOOKUP(TA[[#This Row],[Date]],Raw_Data[[Date]:[Sunset Time (POA&lt;20 W/m2)]],3,0),"")</f>
        <v>0.25347222222222221</v>
      </c>
      <c r="J424" s="32">
        <f>IFERROR(VLOOKUP(TA[[#This Row],[Date]],Raw_Data[[Date]:[Sunset Time (POA&lt;20 W/m2)]],4,0),"")</f>
        <v>0.76736111111111116</v>
      </c>
      <c r="K424" s="27">
        <f>IFERROR((TA[[#This Row],[Sunset Time (POA&lt;20 W/m2)]]-TA[[#This Row],[Sunrise Time (POA&gt;20 W/m2)]])*24,"")</f>
        <v>12.333333333333336</v>
      </c>
      <c r="L424" s="2" t="s">
        <v>303</v>
      </c>
      <c r="M424" s="33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321</v>
      </c>
      <c r="Q424" s="2" t="s">
        <v>314</v>
      </c>
      <c r="R424">
        <v>26</v>
      </c>
      <c r="S424" s="2">
        <v>37</v>
      </c>
      <c r="T424" t="s">
        <v>288</v>
      </c>
      <c r="U424" t="s">
        <v>317</v>
      </c>
      <c r="V424" t="s">
        <v>292</v>
      </c>
      <c r="W424" s="32"/>
      <c r="X424" s="32"/>
      <c r="Y424" s="26"/>
      <c r="Z424" s="26"/>
      <c r="AA424" s="27">
        <f>IF(TA[[#This Row],[Work Start time on Fault]]="NA","",(TA[[#This Row],[Fault Acknowledgement Time ]]-TA[[#This Row],[Fault Time]])*24)</f>
        <v>0</v>
      </c>
      <c r="AB424" s="27">
        <f>(TA[[#This Row],[Work Start time on Fault]]-TA[[#This Row],[Fault Time]])*24</f>
        <v>0</v>
      </c>
      <c r="AC424" s="26">
        <f>(TA[[#This Row],[Work Completion time on fault]]-TA[[#This Row],[Fault Time]])*24</f>
        <v>0</v>
      </c>
      <c r="AD424" s="27">
        <f>IFERROR((TA[[#This Row],[Work Completion time on fault]]-TA[[#This Row],[Fault Time]])*24,"")</f>
        <v>0</v>
      </c>
      <c r="AE424" t="s">
        <v>319</v>
      </c>
      <c r="AF424" t="s">
        <v>247</v>
      </c>
      <c r="AG424" s="2"/>
      <c r="AH424" s="35">
        <f>1-COS(RADIANS(TA[[#This Row],[Avg. Target Angle during Fault Time (Radians)]]-TA[[#This Row],[Angle of affected equipment ]]))</f>
        <v>0.11705240714107301</v>
      </c>
      <c r="AI424" s="27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43">
        <f t="shared" si="21"/>
        <v>2026</v>
      </c>
      <c r="C425" s="116">
        <f t="shared" si="22"/>
        <v>2025</v>
      </c>
      <c r="D425" s="2" t="s">
        <v>155</v>
      </c>
      <c r="E425" s="2" t="s">
        <v>155</v>
      </c>
      <c r="F425" s="30">
        <v>45748</v>
      </c>
      <c r="G425" s="2">
        <f>DAY(EOMONTH(TA[[#This Row],[Month Year]],0))</f>
        <v>30</v>
      </c>
      <c r="H425" s="21">
        <v>45773</v>
      </c>
      <c r="I425" s="32">
        <f>IFERROR(VLOOKUP(TA[[#This Row],[Date]],Raw_Data[[Date]:[Sunset Time (POA&lt;20 W/m2)]],3,0),"")</f>
        <v>0.25347222222222221</v>
      </c>
      <c r="J425" s="32">
        <f>IFERROR(VLOOKUP(TA[[#This Row],[Date]],Raw_Data[[Date]:[Sunset Time (POA&lt;20 W/m2)]],4,0),"")</f>
        <v>0.76736111111111116</v>
      </c>
      <c r="K425" s="27">
        <f>IFERROR((TA[[#This Row],[Sunset Time (POA&lt;20 W/m2)]]-TA[[#This Row],[Sunrise Time (POA&gt;20 W/m2)]])*24,"")</f>
        <v>12.333333333333336</v>
      </c>
      <c r="L425" s="2" t="s">
        <v>303</v>
      </c>
      <c r="M425" s="33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321</v>
      </c>
      <c r="Q425" s="2" t="s">
        <v>314</v>
      </c>
      <c r="R425">
        <v>27</v>
      </c>
      <c r="S425" s="2">
        <v>42</v>
      </c>
      <c r="T425" t="s">
        <v>288</v>
      </c>
      <c r="U425" t="s">
        <v>317</v>
      </c>
      <c r="V425" t="s">
        <v>292</v>
      </c>
      <c r="W425" s="32">
        <f>IFERROR(VLOOKUP(TA[[#This Row],[Date]],Raw_Data[[Date]:[Sunset Time (POA&lt;20 W/m2)]],3,0),"")</f>
        <v>0.25347222222222221</v>
      </c>
      <c r="X425" s="32">
        <f>IFERROR(VLOOKUP(TA[[#This Row],[Date]],Raw_Data[[Date]:[Sunset Time (POA&lt;20 W/m2)]],3,0),"")</f>
        <v>0.25347222222222221</v>
      </c>
      <c r="Y425" s="26"/>
      <c r="Z425" s="26">
        <v>0.76041666666666663</v>
      </c>
      <c r="AA425" s="27">
        <f>IF(TA[[#This Row],[Work Start time on Fault]]="NA","",(TA[[#This Row],[Fault Acknowledgement Time ]]-TA[[#This Row],[Fault Time]])*24)</f>
        <v>0</v>
      </c>
      <c r="AB425" s="27">
        <f>(TA[[#This Row],[Work Start time on Fault]]-TA[[#This Row],[Fault Time]])*24</f>
        <v>-6.083333333333333</v>
      </c>
      <c r="AC425" s="26">
        <f>(TA[[#This Row],[Work Completion time on fault]]-TA[[#This Row],[Fault Time]])*24</f>
        <v>12.166666666666666</v>
      </c>
      <c r="AD425" s="27">
        <f>IFERROR((TA[[#This Row],[Work Completion time on fault]]-TA[[#This Row],[Fault Time]])*24,"")</f>
        <v>12.166666666666666</v>
      </c>
      <c r="AE425" t="s">
        <v>300</v>
      </c>
      <c r="AF425" t="s">
        <v>247</v>
      </c>
      <c r="AG425" s="2"/>
      <c r="AH425" s="35">
        <f>1-COS(RADIANS(TA[[#This Row],[Avg. Target Angle during Fault Time (Radians)]]-TA[[#This Row],[Angle of affected equipment ]]))</f>
        <v>0.11705240714107301</v>
      </c>
      <c r="AI425" s="27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43">
        <f t="shared" si="21"/>
        <v>2026</v>
      </c>
      <c r="C426" s="116">
        <f t="shared" si="22"/>
        <v>2025</v>
      </c>
      <c r="D426" s="2" t="s">
        <v>155</v>
      </c>
      <c r="E426" s="2" t="s">
        <v>155</v>
      </c>
      <c r="F426" s="30">
        <v>45748</v>
      </c>
      <c r="G426" s="2">
        <f>DAY(EOMONTH(TA[[#This Row],[Month Year]],0))</f>
        <v>30</v>
      </c>
      <c r="H426" s="21">
        <v>45774</v>
      </c>
      <c r="I426" s="32">
        <f>IFERROR(VLOOKUP(TA[[#This Row],[Date]],Raw_Data[[Date]:[Sunset Time (POA&lt;20 W/m2)]],3,0),"")</f>
        <v>0.27083333333333331</v>
      </c>
      <c r="J426" s="32">
        <f>IFERROR(VLOOKUP(TA[[#This Row],[Date]],Raw_Data[[Date]:[Sunset Time (POA&lt;20 W/m2)]],4,0),"")</f>
        <v>0.72916666666666663</v>
      </c>
      <c r="K426" s="27">
        <f>IFERROR((TA[[#This Row],[Sunset Time (POA&lt;20 W/m2)]]-TA[[#This Row],[Sunrise Time (POA&gt;20 W/m2)]])*24,"")</f>
        <v>11</v>
      </c>
      <c r="L426" s="2" t="s">
        <v>285</v>
      </c>
      <c r="M426" s="33">
        <f>IFERROR(VLOOKUP(TA[[#This Row],[Affected Equipment]],'Basic Data'!$I$2:$K$40,3,0),"")</f>
        <v>1.7241379310344799E-3</v>
      </c>
      <c r="N426">
        <v>-28</v>
      </c>
      <c r="O426" t="s">
        <v>135</v>
      </c>
      <c r="P426" s="114" t="s">
        <v>309</v>
      </c>
      <c r="Q426" s="113" t="s">
        <v>309</v>
      </c>
      <c r="R426">
        <v>130</v>
      </c>
      <c r="S426" s="2">
        <v>37</v>
      </c>
      <c r="T426" t="s">
        <v>286</v>
      </c>
      <c r="U426" t="s">
        <v>291</v>
      </c>
      <c r="V426" t="s">
        <v>289</v>
      </c>
      <c r="W426" s="32"/>
      <c r="X426" s="32"/>
      <c r="Y426" s="26"/>
      <c r="Z426" s="26"/>
      <c r="AA426" s="27">
        <f>IF(TA[[#This Row],[Work Start time on Fault]]="NA","",(TA[[#This Row],[Fault Acknowledgement Time ]]-TA[[#This Row],[Fault Time]])*24)</f>
        <v>0</v>
      </c>
      <c r="AB426" s="27">
        <f>(TA[[#This Row],[Work Start time on Fault]]-TA[[#This Row],[Fault Time]])*24</f>
        <v>0</v>
      </c>
      <c r="AC426" s="26">
        <f>(TA[[#This Row],[Work Completion time on fault]]-TA[[#This Row],[Fault Time]])*24</f>
        <v>0</v>
      </c>
      <c r="AD426" s="27">
        <f>IFERROR((TA[[#This Row],[Work Completion time on fault]]-TA[[#This Row],[Fault Time]])*24,"")</f>
        <v>0</v>
      </c>
      <c r="AE426" t="s">
        <v>319</v>
      </c>
      <c r="AF426" t="s">
        <v>247</v>
      </c>
      <c r="AG426" s="2"/>
      <c r="AH426" s="35">
        <f>1-COS(RADIANS(TA[[#This Row],[Avg. Target Angle during Fault Time (Radians)]]-TA[[#This Row],[Angle of affected equipment ]]))</f>
        <v>0.11705240714107301</v>
      </c>
      <c r="AI426" s="27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43">
        <f t="shared" si="21"/>
        <v>2026</v>
      </c>
      <c r="C427" s="116">
        <f t="shared" si="22"/>
        <v>2025</v>
      </c>
      <c r="D427" s="2" t="s">
        <v>155</v>
      </c>
      <c r="E427" s="2" t="s">
        <v>155</v>
      </c>
      <c r="F427" s="30">
        <v>45748</v>
      </c>
      <c r="G427" s="2">
        <f>DAY(EOMONTH(TA[[#This Row],[Month Year]],0))</f>
        <v>30</v>
      </c>
      <c r="H427" s="21">
        <v>45774</v>
      </c>
      <c r="I427" s="32">
        <f>IFERROR(VLOOKUP(TA[[#This Row],[Date]],Raw_Data[[Date]:[Sunset Time (POA&lt;20 W/m2)]],3,0),"")</f>
        <v>0.27083333333333331</v>
      </c>
      <c r="J427" s="32">
        <f>IFERROR(VLOOKUP(TA[[#This Row],[Date]],Raw_Data[[Date]:[Sunset Time (POA&lt;20 W/m2)]],4,0),"")</f>
        <v>0.72916666666666663</v>
      </c>
      <c r="K427" s="27">
        <f>IFERROR((TA[[#This Row],[Sunset Time (POA&lt;20 W/m2)]]-TA[[#This Row],[Sunrise Time (POA&gt;20 W/m2)]])*24,"")</f>
        <v>11</v>
      </c>
      <c r="L427" s="2" t="s">
        <v>285</v>
      </c>
      <c r="M427" s="33">
        <f>IFERROR(VLOOKUP(TA[[#This Row],[Affected Equipment]],'Basic Data'!$I$2:$K$40,3,0),"")</f>
        <v>1.7241379310344799E-3</v>
      </c>
      <c r="N427">
        <v>-28</v>
      </c>
      <c r="O427" t="s">
        <v>135</v>
      </c>
      <c r="P427" s="114" t="s">
        <v>309</v>
      </c>
      <c r="Q427" s="113" t="s">
        <v>309</v>
      </c>
      <c r="R427">
        <v>131</v>
      </c>
      <c r="S427" s="2">
        <v>38</v>
      </c>
      <c r="T427" t="s">
        <v>286</v>
      </c>
      <c r="U427" t="s">
        <v>291</v>
      </c>
      <c r="V427" t="s">
        <v>289</v>
      </c>
      <c r="W427" s="32"/>
      <c r="X427" s="32"/>
      <c r="Y427" s="26"/>
      <c r="Z427" s="26"/>
      <c r="AA427" s="27">
        <f>IF(TA[[#This Row],[Work Start time on Fault]]="NA","",(TA[[#This Row],[Fault Acknowledgement Time ]]-TA[[#This Row],[Fault Time]])*24)</f>
        <v>0</v>
      </c>
      <c r="AB427" s="27">
        <f>(TA[[#This Row],[Work Start time on Fault]]-TA[[#This Row],[Fault Time]])*24</f>
        <v>0</v>
      </c>
      <c r="AC427" s="26">
        <f>(TA[[#This Row],[Work Completion time on fault]]-TA[[#This Row],[Fault Time]])*24</f>
        <v>0</v>
      </c>
      <c r="AD427" s="27">
        <f>IFERROR((TA[[#This Row],[Work Completion time on fault]]-TA[[#This Row],[Fault Time]])*24,"")</f>
        <v>0</v>
      </c>
      <c r="AE427" t="s">
        <v>319</v>
      </c>
      <c r="AF427" t="s">
        <v>247</v>
      </c>
      <c r="AG427" s="2"/>
      <c r="AH427" s="35">
        <f>1-COS(RADIANS(TA[[#This Row],[Avg. Target Angle during Fault Time (Radians)]]-TA[[#This Row],[Angle of affected equipment ]]))</f>
        <v>0.11705240714107301</v>
      </c>
      <c r="AI427" s="27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43">
        <f t="shared" si="21"/>
        <v>2026</v>
      </c>
      <c r="C428" s="116">
        <f t="shared" si="22"/>
        <v>2025</v>
      </c>
      <c r="D428" s="2" t="s">
        <v>155</v>
      </c>
      <c r="E428" s="2" t="s">
        <v>155</v>
      </c>
      <c r="F428" s="30">
        <v>45748</v>
      </c>
      <c r="G428" s="2">
        <f>DAY(EOMONTH(TA[[#This Row],[Month Year]],0))</f>
        <v>30</v>
      </c>
      <c r="H428" s="21">
        <v>45774</v>
      </c>
      <c r="I428" s="32">
        <f>IFERROR(VLOOKUP(TA[[#This Row],[Date]],Raw_Data[[Date]:[Sunset Time (POA&lt;20 W/m2)]],3,0),"")</f>
        <v>0.27083333333333331</v>
      </c>
      <c r="J428" s="32">
        <f>IFERROR(VLOOKUP(TA[[#This Row],[Date]],Raw_Data[[Date]:[Sunset Time (POA&lt;20 W/m2)]],4,0),"")</f>
        <v>0.72916666666666663</v>
      </c>
      <c r="K428" s="27">
        <f>IFERROR((TA[[#This Row],[Sunset Time (POA&lt;20 W/m2)]]-TA[[#This Row],[Sunrise Time (POA&gt;20 W/m2)]])*24,"")</f>
        <v>11</v>
      </c>
      <c r="L428" s="2" t="s">
        <v>285</v>
      </c>
      <c r="M428" s="33">
        <f>IFERROR(VLOOKUP(TA[[#This Row],[Affected Equipment]],'Basic Data'!$I$2:$K$40,3,0),"")</f>
        <v>1.7241379310344799E-3</v>
      </c>
      <c r="N428">
        <v>-28</v>
      </c>
      <c r="O428" t="s">
        <v>135</v>
      </c>
      <c r="P428" s="114" t="s">
        <v>309</v>
      </c>
      <c r="Q428" s="113" t="s">
        <v>309</v>
      </c>
      <c r="R428">
        <v>131</v>
      </c>
      <c r="S428" s="2">
        <v>39</v>
      </c>
      <c r="T428" t="s">
        <v>286</v>
      </c>
      <c r="U428" t="s">
        <v>291</v>
      </c>
      <c r="V428" t="s">
        <v>289</v>
      </c>
      <c r="W428" s="32"/>
      <c r="X428" s="32"/>
      <c r="Y428" s="26"/>
      <c r="Z428" s="26"/>
      <c r="AA428" s="27">
        <f>IF(TA[[#This Row],[Work Start time on Fault]]="NA","",(TA[[#This Row],[Fault Acknowledgement Time ]]-TA[[#This Row],[Fault Time]])*24)</f>
        <v>0</v>
      </c>
      <c r="AB428" s="27">
        <f>(TA[[#This Row],[Work Start time on Fault]]-TA[[#This Row],[Fault Time]])*24</f>
        <v>0</v>
      </c>
      <c r="AC428" s="26">
        <f>(TA[[#This Row],[Work Completion time on fault]]-TA[[#This Row],[Fault Time]])*24</f>
        <v>0</v>
      </c>
      <c r="AD428" s="27">
        <f>IFERROR((TA[[#This Row],[Work Completion time on fault]]-TA[[#This Row],[Fault Time]])*24,"")</f>
        <v>0</v>
      </c>
      <c r="AE428" t="s">
        <v>319</v>
      </c>
      <c r="AF428" t="s">
        <v>247</v>
      </c>
      <c r="AG428" s="2"/>
      <c r="AH428" s="35">
        <f>1-COS(RADIANS(TA[[#This Row],[Avg. Target Angle during Fault Time (Radians)]]-TA[[#This Row],[Angle of affected equipment ]]))</f>
        <v>0.11705240714107301</v>
      </c>
      <c r="AI428" s="27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43">
        <f t="shared" si="21"/>
        <v>2026</v>
      </c>
      <c r="C429" s="116">
        <f t="shared" si="22"/>
        <v>2025</v>
      </c>
      <c r="D429" s="2" t="s">
        <v>155</v>
      </c>
      <c r="E429" s="2" t="s">
        <v>155</v>
      </c>
      <c r="F429" s="30">
        <v>45748</v>
      </c>
      <c r="G429" s="2">
        <f>DAY(EOMONTH(TA[[#This Row],[Month Year]],0))</f>
        <v>30</v>
      </c>
      <c r="H429" s="21">
        <v>45774</v>
      </c>
      <c r="I429" s="32">
        <f>IFERROR(VLOOKUP(TA[[#This Row],[Date]],Raw_Data[[Date]:[Sunset Time (POA&lt;20 W/m2)]],3,0),"")</f>
        <v>0.27083333333333331</v>
      </c>
      <c r="J429" s="32">
        <f>IFERROR(VLOOKUP(TA[[#This Row],[Date]],Raw_Data[[Date]:[Sunset Time (POA&lt;20 W/m2)]],4,0),"")</f>
        <v>0.72916666666666663</v>
      </c>
      <c r="K429" s="27">
        <f>IFERROR((TA[[#This Row],[Sunset Time (POA&lt;20 W/m2)]]-TA[[#This Row],[Sunrise Time (POA&gt;20 W/m2)]])*24,"")</f>
        <v>11</v>
      </c>
      <c r="L429" s="2" t="s">
        <v>287</v>
      </c>
      <c r="M429" s="33">
        <f>IFERROR(VLOOKUP(TA[[#This Row],[Affected Equipment]],'Basic Data'!$I$2:$K$40,3,0),"")</f>
        <v>8.6206896551724102E-3</v>
      </c>
      <c r="N429">
        <v>-28</v>
      </c>
      <c r="O429" t="s">
        <v>135</v>
      </c>
      <c r="P429" s="114" t="s">
        <v>309</v>
      </c>
      <c r="Q429" s="2" t="s">
        <v>312</v>
      </c>
      <c r="R429">
        <v>133</v>
      </c>
      <c r="S429" s="2">
        <v>26</v>
      </c>
      <c r="T429" t="s">
        <v>288</v>
      </c>
      <c r="U429" t="s">
        <v>291</v>
      </c>
      <c r="V429" t="s">
        <v>305</v>
      </c>
      <c r="W429" s="32">
        <f>IFERROR(VLOOKUP(TA[[#This Row],[Date]],Raw_Data[[Date]:[Sunset Time (POA&lt;20 W/m2)]],3,0),"")</f>
        <v>0.27083333333333331</v>
      </c>
      <c r="X429" s="32">
        <f>IFERROR(VLOOKUP(TA[[#This Row],[Date]],Raw_Data[[Date]:[Sunset Time (POA&lt;20 W/m2)]],3,0),"")</f>
        <v>0.27083333333333331</v>
      </c>
      <c r="Y429" s="26"/>
      <c r="Z429" s="26">
        <v>0.76041666666666663</v>
      </c>
      <c r="AA429" s="27">
        <f>IF(TA[[#This Row],[Work Start time on Fault]]="NA","",(TA[[#This Row],[Fault Acknowledgement Time ]]-TA[[#This Row],[Fault Time]])*24)</f>
        <v>0</v>
      </c>
      <c r="AB429" s="27">
        <f>(TA[[#This Row],[Work Start time on Fault]]-TA[[#This Row],[Fault Time]])*24</f>
        <v>-6.5</v>
      </c>
      <c r="AC429" s="26">
        <f>(TA[[#This Row],[Work Completion time on fault]]-TA[[#This Row],[Fault Time]])*24</f>
        <v>11.75</v>
      </c>
      <c r="AD429" s="27">
        <f>IFERROR((TA[[#This Row],[Work Completion time on fault]]-TA[[#This Row],[Fault Time]])*24,"")</f>
        <v>11.75</v>
      </c>
      <c r="AE429" t="s">
        <v>319</v>
      </c>
      <c r="AF429" t="s">
        <v>247</v>
      </c>
      <c r="AG429" s="2"/>
      <c r="AH429" s="35">
        <f>1-COS(RADIANS(TA[[#This Row],[Avg. Target Angle during Fault Time (Radians)]]-TA[[#This Row],[Angle of affected equipment ]]))</f>
        <v>0.11705240714107301</v>
      </c>
      <c r="AI429" s="27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43">
        <f t="shared" si="21"/>
        <v>2026</v>
      </c>
      <c r="C430" s="116">
        <f t="shared" si="22"/>
        <v>2025</v>
      </c>
      <c r="D430" s="2" t="s">
        <v>155</v>
      </c>
      <c r="E430" s="2" t="s">
        <v>155</v>
      </c>
      <c r="F430" s="30">
        <v>45748</v>
      </c>
      <c r="G430" s="2">
        <f>DAY(EOMONTH(TA[[#This Row],[Month Year]],0))</f>
        <v>30</v>
      </c>
      <c r="H430" s="21">
        <v>45774</v>
      </c>
      <c r="I430" s="32">
        <f>IFERROR(VLOOKUP(TA[[#This Row],[Date]],Raw_Data[[Date]:[Sunset Time (POA&lt;20 W/m2)]],3,0),"")</f>
        <v>0.27083333333333331</v>
      </c>
      <c r="J430" s="32">
        <f>IFERROR(VLOOKUP(TA[[#This Row],[Date]],Raw_Data[[Date]:[Sunset Time (POA&lt;20 W/m2)]],4,0),"")</f>
        <v>0.72916666666666663</v>
      </c>
      <c r="K430" s="27">
        <f>IFERROR((TA[[#This Row],[Sunset Time (POA&lt;20 W/m2)]]-TA[[#This Row],[Sunrise Time (POA&gt;20 W/m2)]])*24,"")</f>
        <v>11</v>
      </c>
      <c r="L430" s="2" t="s">
        <v>285</v>
      </c>
      <c r="M430" s="33">
        <f>IFERROR(VLOOKUP(TA[[#This Row],[Affected Equipment]],'Basic Data'!$I$2:$K$40,3,0),"")</f>
        <v>1.7241379310344799E-3</v>
      </c>
      <c r="N430">
        <v>-28</v>
      </c>
      <c r="O430" t="s">
        <v>133</v>
      </c>
      <c r="P430" s="114" t="s">
        <v>307</v>
      </c>
      <c r="Q430" s="113" t="s">
        <v>308</v>
      </c>
      <c r="R430">
        <v>7</v>
      </c>
      <c r="S430" s="2">
        <v>32</v>
      </c>
      <c r="T430" t="s">
        <v>286</v>
      </c>
      <c r="U430" t="s">
        <v>291</v>
      </c>
      <c r="V430" t="s">
        <v>289</v>
      </c>
      <c r="W430" s="32"/>
      <c r="X430" s="32"/>
      <c r="Y430" s="26"/>
      <c r="Z430" s="26"/>
      <c r="AA430" s="27">
        <f>IF(TA[[#This Row],[Work Start time on Fault]]="NA","",(TA[[#This Row],[Fault Acknowledgement Time ]]-TA[[#This Row],[Fault Time]])*24)</f>
        <v>0</v>
      </c>
      <c r="AB430" s="27">
        <f>(TA[[#This Row],[Work Start time on Fault]]-TA[[#This Row],[Fault Time]])*24</f>
        <v>0</v>
      </c>
      <c r="AC430" s="26">
        <f>(TA[[#This Row],[Work Completion time on fault]]-TA[[#This Row],[Fault Time]])*24</f>
        <v>0</v>
      </c>
      <c r="AD430" s="27">
        <f>IFERROR((TA[[#This Row],[Work Completion time on fault]]-TA[[#This Row],[Fault Time]])*24,"")</f>
        <v>0</v>
      </c>
      <c r="AE430" t="s">
        <v>319</v>
      </c>
      <c r="AF430" t="s">
        <v>247</v>
      </c>
      <c r="AG430" s="2"/>
      <c r="AH430" s="35">
        <f>1-COS(RADIANS(TA[[#This Row],[Avg. Target Angle during Fault Time (Radians)]]-TA[[#This Row],[Angle of affected equipment ]]))</f>
        <v>0.11705240714107301</v>
      </c>
      <c r="AI430" s="27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43">
        <f t="shared" si="21"/>
        <v>2026</v>
      </c>
      <c r="C431" s="116">
        <f t="shared" si="22"/>
        <v>2025</v>
      </c>
      <c r="D431" s="2" t="s">
        <v>155</v>
      </c>
      <c r="E431" s="2" t="s">
        <v>155</v>
      </c>
      <c r="F431" s="30">
        <v>45748</v>
      </c>
      <c r="G431" s="2">
        <f>DAY(EOMONTH(TA[[#This Row],[Month Year]],0))</f>
        <v>30</v>
      </c>
      <c r="H431" s="21">
        <v>45774</v>
      </c>
      <c r="I431" s="32">
        <f>IFERROR(VLOOKUP(TA[[#This Row],[Date]],Raw_Data[[Date]:[Sunset Time (POA&lt;20 W/m2)]],3,0),"")</f>
        <v>0.27083333333333331</v>
      </c>
      <c r="J431" s="32">
        <f>IFERROR(VLOOKUP(TA[[#This Row],[Date]],Raw_Data[[Date]:[Sunset Time (POA&lt;20 W/m2)]],4,0),"")</f>
        <v>0.72916666666666663</v>
      </c>
      <c r="K431" s="27">
        <f>IFERROR((TA[[#This Row],[Sunset Time (POA&lt;20 W/m2)]]-TA[[#This Row],[Sunrise Time (POA&gt;20 W/m2)]])*24,"")</f>
        <v>11</v>
      </c>
      <c r="L431" s="2" t="s">
        <v>285</v>
      </c>
      <c r="M431" s="33">
        <f>IFERROR(VLOOKUP(TA[[#This Row],[Affected Equipment]],'Basic Data'!$I$2:$K$40,3,0),"")</f>
        <v>1.7241379310344799E-3</v>
      </c>
      <c r="N431">
        <v>-28</v>
      </c>
      <c r="O431" t="s">
        <v>137</v>
      </c>
      <c r="P431" s="114" t="s">
        <v>306</v>
      </c>
      <c r="Q431" s="113" t="s">
        <v>310</v>
      </c>
      <c r="R431">
        <v>166</v>
      </c>
      <c r="S431" s="2">
        <v>91</v>
      </c>
      <c r="T431" t="s">
        <v>286</v>
      </c>
      <c r="U431" t="s">
        <v>291</v>
      </c>
      <c r="V431" t="s">
        <v>289</v>
      </c>
      <c r="W431" s="32"/>
      <c r="X431" s="32"/>
      <c r="Y431" s="26"/>
      <c r="Z431" s="26"/>
      <c r="AA431" s="27">
        <f>IF(TA[[#This Row],[Work Start time on Fault]]="NA","",(TA[[#This Row],[Fault Acknowledgement Time ]]-TA[[#This Row],[Fault Time]])*24)</f>
        <v>0</v>
      </c>
      <c r="AB431" s="27">
        <f>(TA[[#This Row],[Work Start time on Fault]]-TA[[#This Row],[Fault Time]])*24</f>
        <v>0</v>
      </c>
      <c r="AC431" s="26">
        <f>(TA[[#This Row],[Work Completion time on fault]]-TA[[#This Row],[Fault Time]])*24</f>
        <v>0</v>
      </c>
      <c r="AD431" s="27">
        <f>IFERROR((TA[[#This Row],[Work Completion time on fault]]-TA[[#This Row],[Fault Time]])*24,"")</f>
        <v>0</v>
      </c>
      <c r="AE431" t="s">
        <v>319</v>
      </c>
      <c r="AF431" t="s">
        <v>247</v>
      </c>
      <c r="AG431" s="2"/>
      <c r="AH431" s="35">
        <f>1-COS(RADIANS(TA[[#This Row],[Avg. Target Angle during Fault Time (Radians)]]-TA[[#This Row],[Angle of affected equipment ]]))</f>
        <v>0.11705240714107301</v>
      </c>
      <c r="AI431" s="27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43">
        <f t="shared" si="21"/>
        <v>2026</v>
      </c>
      <c r="C432" s="116">
        <f t="shared" si="22"/>
        <v>2025</v>
      </c>
      <c r="D432" s="2" t="s">
        <v>155</v>
      </c>
      <c r="E432" s="2" t="s">
        <v>155</v>
      </c>
      <c r="F432" s="30">
        <v>45748</v>
      </c>
      <c r="G432" s="2">
        <f>DAY(EOMONTH(TA[[#This Row],[Month Year]],0))</f>
        <v>30</v>
      </c>
      <c r="H432" s="21">
        <v>45774</v>
      </c>
      <c r="I432" s="32">
        <f>IFERROR(VLOOKUP(TA[[#This Row],[Date]],Raw_Data[[Date]:[Sunset Time (POA&lt;20 W/m2)]],3,0),"")</f>
        <v>0.27083333333333331</v>
      </c>
      <c r="J432" s="32">
        <f>IFERROR(VLOOKUP(TA[[#This Row],[Date]],Raw_Data[[Date]:[Sunset Time (POA&lt;20 W/m2)]],4,0),"")</f>
        <v>0.72916666666666663</v>
      </c>
      <c r="K432" s="27">
        <f>IFERROR((TA[[#This Row],[Sunset Time (POA&lt;20 W/m2)]]-TA[[#This Row],[Sunrise Time (POA&gt;20 W/m2)]])*24,"")</f>
        <v>11</v>
      </c>
      <c r="L432" s="2" t="s">
        <v>285</v>
      </c>
      <c r="M432" s="33">
        <f>IFERROR(VLOOKUP(TA[[#This Row],[Affected Equipment]],'Basic Data'!$I$2:$K$40,3,0),"")</f>
        <v>1.7241379310344799E-3</v>
      </c>
      <c r="N432">
        <v>-28</v>
      </c>
      <c r="O432" t="s">
        <v>133</v>
      </c>
      <c r="P432" s="114" t="s">
        <v>307</v>
      </c>
      <c r="Q432" s="113" t="s">
        <v>307</v>
      </c>
      <c r="R432">
        <v>117</v>
      </c>
      <c r="S432" s="2">
        <v>20</v>
      </c>
      <c r="T432" t="s">
        <v>286</v>
      </c>
      <c r="U432" t="s">
        <v>291</v>
      </c>
      <c r="V432" t="s">
        <v>289</v>
      </c>
      <c r="W432" s="32"/>
      <c r="X432" s="32"/>
      <c r="Y432" s="26"/>
      <c r="Z432" s="26"/>
      <c r="AA432" s="27">
        <f>IF(TA[[#This Row],[Work Start time on Fault]]="NA","",(TA[[#This Row],[Fault Acknowledgement Time ]]-TA[[#This Row],[Fault Time]])*24)</f>
        <v>0</v>
      </c>
      <c r="AB432" s="27">
        <f>(TA[[#This Row],[Work Start time on Fault]]-TA[[#This Row],[Fault Time]])*24</f>
        <v>0</v>
      </c>
      <c r="AC432" s="26">
        <f>(TA[[#This Row],[Work Completion time on fault]]-TA[[#This Row],[Fault Time]])*24</f>
        <v>0</v>
      </c>
      <c r="AD432" s="27">
        <f>IFERROR((TA[[#This Row],[Work Completion time on fault]]-TA[[#This Row],[Fault Time]])*24,"")</f>
        <v>0</v>
      </c>
      <c r="AE432" t="s">
        <v>319</v>
      </c>
      <c r="AF432" t="s">
        <v>247</v>
      </c>
      <c r="AG432" s="2"/>
      <c r="AH432" s="35">
        <f>1-COS(RADIANS(TA[[#This Row],[Avg. Target Angle during Fault Time (Radians)]]-TA[[#This Row],[Angle of affected equipment ]]))</f>
        <v>0.11705240714107301</v>
      </c>
      <c r="AI432" s="27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43">
        <f t="shared" si="21"/>
        <v>2026</v>
      </c>
      <c r="C433" s="116">
        <f t="shared" si="22"/>
        <v>2025</v>
      </c>
      <c r="D433" s="2" t="s">
        <v>155</v>
      </c>
      <c r="E433" s="2" t="s">
        <v>155</v>
      </c>
      <c r="F433" s="30">
        <v>45748</v>
      </c>
      <c r="G433" s="2">
        <f>DAY(EOMONTH(TA[[#This Row],[Month Year]],0))</f>
        <v>30</v>
      </c>
      <c r="H433" s="21">
        <v>45774</v>
      </c>
      <c r="I433" s="32">
        <f>IFERROR(VLOOKUP(TA[[#This Row],[Date]],Raw_Data[[Date]:[Sunset Time (POA&lt;20 W/m2)]],3,0),"")</f>
        <v>0.27083333333333331</v>
      </c>
      <c r="J433" s="32">
        <f>IFERROR(VLOOKUP(TA[[#This Row],[Date]],Raw_Data[[Date]:[Sunset Time (POA&lt;20 W/m2)]],4,0),"")</f>
        <v>0.72916666666666663</v>
      </c>
      <c r="K433" s="27">
        <f>IFERROR((TA[[#This Row],[Sunset Time (POA&lt;20 W/m2)]]-TA[[#This Row],[Sunrise Time (POA&gt;20 W/m2)]])*24,"")</f>
        <v>11</v>
      </c>
      <c r="L433" s="2" t="s">
        <v>285</v>
      </c>
      <c r="M433" s="33">
        <f>IFERROR(VLOOKUP(TA[[#This Row],[Affected Equipment]],'Basic Data'!$I$2:$K$40,3,0),"")</f>
        <v>1.7241379310344799E-3</v>
      </c>
      <c r="N433">
        <v>-28</v>
      </c>
      <c r="O433" t="s">
        <v>133</v>
      </c>
      <c r="P433" s="114" t="s">
        <v>307</v>
      </c>
      <c r="Q433" s="113" t="s">
        <v>307</v>
      </c>
      <c r="R433">
        <v>118</v>
      </c>
      <c r="S433" s="2">
        <v>22</v>
      </c>
      <c r="T433" t="s">
        <v>286</v>
      </c>
      <c r="U433" t="s">
        <v>291</v>
      </c>
      <c r="V433" t="s">
        <v>289</v>
      </c>
      <c r="W433" s="32"/>
      <c r="X433" s="32"/>
      <c r="Y433" s="26"/>
      <c r="Z433" s="26"/>
      <c r="AA433" s="27">
        <f>IF(TA[[#This Row],[Work Start time on Fault]]="NA","",(TA[[#This Row],[Fault Acknowledgement Time ]]-TA[[#This Row],[Fault Time]])*24)</f>
        <v>0</v>
      </c>
      <c r="AB433" s="27">
        <f>(TA[[#This Row],[Work Start time on Fault]]-TA[[#This Row],[Fault Time]])*24</f>
        <v>0</v>
      </c>
      <c r="AC433" s="26">
        <f>(TA[[#This Row],[Work Completion time on fault]]-TA[[#This Row],[Fault Time]])*24</f>
        <v>0</v>
      </c>
      <c r="AD433" s="27">
        <f>IFERROR((TA[[#This Row],[Work Completion time on fault]]-TA[[#This Row],[Fault Time]])*24,"")</f>
        <v>0</v>
      </c>
      <c r="AE433" t="s">
        <v>319</v>
      </c>
      <c r="AF433" t="s">
        <v>247</v>
      </c>
      <c r="AG433" s="2"/>
      <c r="AH433" s="35">
        <f>1-COS(RADIANS(TA[[#This Row],[Avg. Target Angle during Fault Time (Radians)]]-TA[[#This Row],[Angle of affected equipment ]]))</f>
        <v>0.11705240714107301</v>
      </c>
      <c r="AI433" s="27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43">
        <f t="shared" si="21"/>
        <v>2026</v>
      </c>
      <c r="C434" s="116">
        <f t="shared" si="22"/>
        <v>2025</v>
      </c>
      <c r="D434" s="2" t="s">
        <v>155</v>
      </c>
      <c r="E434" s="2" t="s">
        <v>155</v>
      </c>
      <c r="F434" s="30">
        <v>45748</v>
      </c>
      <c r="G434" s="2">
        <f>DAY(EOMONTH(TA[[#This Row],[Month Year]],0))</f>
        <v>30</v>
      </c>
      <c r="H434" s="21">
        <v>45774</v>
      </c>
      <c r="I434" s="32">
        <f>IFERROR(VLOOKUP(TA[[#This Row],[Date]],Raw_Data[[Date]:[Sunset Time (POA&lt;20 W/m2)]],3,0),"")</f>
        <v>0.27083333333333331</v>
      </c>
      <c r="J434" s="32">
        <f>IFERROR(VLOOKUP(TA[[#This Row],[Date]],Raw_Data[[Date]:[Sunset Time (POA&lt;20 W/m2)]],4,0),"")</f>
        <v>0.72916666666666663</v>
      </c>
      <c r="K434" s="27">
        <f>IFERROR((TA[[#This Row],[Sunset Time (POA&lt;20 W/m2)]]-TA[[#This Row],[Sunrise Time (POA&gt;20 W/m2)]])*24,"")</f>
        <v>11</v>
      </c>
      <c r="L434" s="2" t="s">
        <v>287</v>
      </c>
      <c r="M434" s="33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314</v>
      </c>
      <c r="Q434" s="2" t="s">
        <v>320</v>
      </c>
      <c r="R434">
        <v>45</v>
      </c>
      <c r="S434" s="2">
        <v>8</v>
      </c>
      <c r="T434" t="s">
        <v>288</v>
      </c>
      <c r="U434" t="s">
        <v>317</v>
      </c>
      <c r="V434" t="s">
        <v>292</v>
      </c>
      <c r="W434" s="32"/>
      <c r="X434" s="32"/>
      <c r="Y434" s="26"/>
      <c r="Z434" s="26"/>
      <c r="AA434" s="27">
        <f>IF(TA[[#This Row],[Work Start time on Fault]]="NA","",(TA[[#This Row],[Fault Acknowledgement Time ]]-TA[[#This Row],[Fault Time]])*24)</f>
        <v>0</v>
      </c>
      <c r="AB434" s="27">
        <f>(TA[[#This Row],[Work Start time on Fault]]-TA[[#This Row],[Fault Time]])*24</f>
        <v>0</v>
      </c>
      <c r="AC434" s="26">
        <f>(TA[[#This Row],[Work Completion time on fault]]-TA[[#This Row],[Fault Time]])*24</f>
        <v>0</v>
      </c>
      <c r="AD434" s="27">
        <f>IFERROR((TA[[#This Row],[Work Completion time on fault]]-TA[[#This Row],[Fault Time]])*24,"")</f>
        <v>0</v>
      </c>
      <c r="AE434" t="s">
        <v>319</v>
      </c>
      <c r="AF434" t="s">
        <v>247</v>
      </c>
      <c r="AG434" s="2"/>
      <c r="AH434" s="35">
        <f>1-COS(RADIANS(TA[[#This Row],[Avg. Target Angle during Fault Time (Radians)]]-TA[[#This Row],[Angle of affected equipment ]]))</f>
        <v>0.11705240714107301</v>
      </c>
      <c r="AI434" s="27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43">
        <f t="shared" si="21"/>
        <v>2026</v>
      </c>
      <c r="C435" s="116">
        <f t="shared" si="22"/>
        <v>2025</v>
      </c>
      <c r="D435" s="2" t="s">
        <v>155</v>
      </c>
      <c r="E435" s="2" t="s">
        <v>155</v>
      </c>
      <c r="F435" s="30">
        <v>45748</v>
      </c>
      <c r="G435" s="2">
        <f>DAY(EOMONTH(TA[[#This Row],[Month Year]],0))</f>
        <v>30</v>
      </c>
      <c r="H435" s="21">
        <v>45774</v>
      </c>
      <c r="I435" s="32">
        <f>IFERROR(VLOOKUP(TA[[#This Row],[Date]],Raw_Data[[Date]:[Sunset Time (POA&lt;20 W/m2)]],3,0),"")</f>
        <v>0.27083333333333331</v>
      </c>
      <c r="J435" s="32">
        <f>IFERROR(VLOOKUP(TA[[#This Row],[Date]],Raw_Data[[Date]:[Sunset Time (POA&lt;20 W/m2)]],4,0),"")</f>
        <v>0.72916666666666663</v>
      </c>
      <c r="K435" s="27">
        <f>IFERROR((TA[[#This Row],[Sunset Time (POA&lt;20 W/m2)]]-TA[[#This Row],[Sunrise Time (POA&gt;20 W/m2)]])*24,"")</f>
        <v>11</v>
      </c>
      <c r="L435" s="2" t="s">
        <v>287</v>
      </c>
      <c r="M435" s="33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314</v>
      </c>
      <c r="Q435" s="2" t="s">
        <v>320</v>
      </c>
      <c r="R435">
        <v>47</v>
      </c>
      <c r="S435" s="2">
        <v>18</v>
      </c>
      <c r="T435" t="s">
        <v>288</v>
      </c>
      <c r="U435" t="s">
        <v>317</v>
      </c>
      <c r="V435" t="s">
        <v>292</v>
      </c>
      <c r="W435" s="32"/>
      <c r="X435" s="32"/>
      <c r="Y435" s="26"/>
      <c r="Z435" s="26"/>
      <c r="AA435" s="27">
        <f>IF(TA[[#This Row],[Work Start time on Fault]]="NA","",(TA[[#This Row],[Fault Acknowledgement Time ]]-TA[[#This Row],[Fault Time]])*24)</f>
        <v>0</v>
      </c>
      <c r="AB435" s="27">
        <f>(TA[[#This Row],[Work Start time on Fault]]-TA[[#This Row],[Fault Time]])*24</f>
        <v>0</v>
      </c>
      <c r="AC435" s="26">
        <f>(TA[[#This Row],[Work Completion time on fault]]-TA[[#This Row],[Fault Time]])*24</f>
        <v>0</v>
      </c>
      <c r="AD435" s="27">
        <f>IFERROR((TA[[#This Row],[Work Completion time on fault]]-TA[[#This Row],[Fault Time]])*24,"")</f>
        <v>0</v>
      </c>
      <c r="AE435" t="s">
        <v>319</v>
      </c>
      <c r="AF435" t="s">
        <v>247</v>
      </c>
      <c r="AG435" s="2"/>
      <c r="AH435" s="35">
        <f>1-COS(RADIANS(TA[[#This Row],[Avg. Target Angle during Fault Time (Radians)]]-TA[[#This Row],[Angle of affected equipment ]]))</f>
        <v>0.11705240714107301</v>
      </c>
      <c r="AI435" s="27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43">
        <f t="shared" si="21"/>
        <v>2026</v>
      </c>
      <c r="C436" s="116">
        <f t="shared" si="22"/>
        <v>2025</v>
      </c>
      <c r="D436" s="2" t="s">
        <v>155</v>
      </c>
      <c r="E436" s="2" t="s">
        <v>155</v>
      </c>
      <c r="F436" s="30">
        <v>45748</v>
      </c>
      <c r="G436" s="2">
        <f>DAY(EOMONTH(TA[[#This Row],[Month Year]],0))</f>
        <v>30</v>
      </c>
      <c r="H436" s="21">
        <v>45774</v>
      </c>
      <c r="I436" s="32">
        <f>IFERROR(VLOOKUP(TA[[#This Row],[Date]],Raw_Data[[Date]:[Sunset Time (POA&lt;20 W/m2)]],3,0),"")</f>
        <v>0.27083333333333331</v>
      </c>
      <c r="J436" s="32">
        <f>IFERROR(VLOOKUP(TA[[#This Row],[Date]],Raw_Data[[Date]:[Sunset Time (POA&lt;20 W/m2)]],4,0),"")</f>
        <v>0.72916666666666663</v>
      </c>
      <c r="K436" s="27">
        <f>IFERROR((TA[[#This Row],[Sunset Time (POA&lt;20 W/m2)]]-TA[[#This Row],[Sunrise Time (POA&gt;20 W/m2)]])*24,"")</f>
        <v>11</v>
      </c>
      <c r="L436" s="2" t="s">
        <v>287</v>
      </c>
      <c r="M436" s="33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321</v>
      </c>
      <c r="Q436" s="2" t="s">
        <v>314</v>
      </c>
      <c r="R436">
        <v>30</v>
      </c>
      <c r="S436" s="2">
        <v>57</v>
      </c>
      <c r="T436" t="s">
        <v>288</v>
      </c>
      <c r="U436" t="s">
        <v>317</v>
      </c>
      <c r="V436" t="s">
        <v>292</v>
      </c>
      <c r="W436" s="32"/>
      <c r="X436" s="32"/>
      <c r="Y436" s="26"/>
      <c r="Z436" s="26"/>
      <c r="AA436" s="27">
        <f>IF(TA[[#This Row],[Work Start time on Fault]]="NA","",(TA[[#This Row],[Fault Acknowledgement Time ]]-TA[[#This Row],[Fault Time]])*24)</f>
        <v>0</v>
      </c>
      <c r="AB436" s="27">
        <f>(TA[[#This Row],[Work Start time on Fault]]-TA[[#This Row],[Fault Time]])*24</f>
        <v>0</v>
      </c>
      <c r="AC436" s="26">
        <f>(TA[[#This Row],[Work Completion time on fault]]-TA[[#This Row],[Fault Time]])*24</f>
        <v>0</v>
      </c>
      <c r="AD436" s="27">
        <f>IFERROR((TA[[#This Row],[Work Completion time on fault]]-TA[[#This Row],[Fault Time]])*24,"")</f>
        <v>0</v>
      </c>
      <c r="AE436" t="s">
        <v>319</v>
      </c>
      <c r="AF436" t="s">
        <v>247</v>
      </c>
      <c r="AG436" s="2"/>
      <c r="AH436" s="35">
        <f>1-COS(RADIANS(TA[[#This Row],[Avg. Target Angle during Fault Time (Radians)]]-TA[[#This Row],[Angle of affected equipment ]]))</f>
        <v>0.11705240714107301</v>
      </c>
      <c r="AI436" s="27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43">
        <f t="shared" si="21"/>
        <v>2026</v>
      </c>
      <c r="C437" s="116">
        <f t="shared" si="22"/>
        <v>2025</v>
      </c>
      <c r="D437" s="2" t="s">
        <v>155</v>
      </c>
      <c r="E437" s="2" t="s">
        <v>155</v>
      </c>
      <c r="F437" s="30">
        <v>45748</v>
      </c>
      <c r="G437" s="2">
        <f>DAY(EOMONTH(TA[[#This Row],[Month Year]],0))</f>
        <v>30</v>
      </c>
      <c r="H437" s="21">
        <v>45774</v>
      </c>
      <c r="I437" s="32">
        <f>IFERROR(VLOOKUP(TA[[#This Row],[Date]],Raw_Data[[Date]:[Sunset Time (POA&lt;20 W/m2)]],3,0),"")</f>
        <v>0.27083333333333331</v>
      </c>
      <c r="J437" s="32">
        <f>IFERROR(VLOOKUP(TA[[#This Row],[Date]],Raw_Data[[Date]:[Sunset Time (POA&lt;20 W/m2)]],4,0),"")</f>
        <v>0.72916666666666663</v>
      </c>
      <c r="K437" s="27">
        <f>IFERROR((TA[[#This Row],[Sunset Time (POA&lt;20 W/m2)]]-TA[[#This Row],[Sunrise Time (POA&gt;20 W/m2)]])*24,"")</f>
        <v>11</v>
      </c>
      <c r="L437" s="2" t="s">
        <v>287</v>
      </c>
      <c r="M437" s="33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321</v>
      </c>
      <c r="Q437" s="2" t="s">
        <v>314</v>
      </c>
      <c r="R437">
        <v>31</v>
      </c>
      <c r="S437" s="2">
        <v>61</v>
      </c>
      <c r="T437" t="s">
        <v>288</v>
      </c>
      <c r="U437" t="s">
        <v>317</v>
      </c>
      <c r="V437" t="s">
        <v>292</v>
      </c>
      <c r="W437" s="32"/>
      <c r="X437" s="32"/>
      <c r="Y437" s="26"/>
      <c r="Z437" s="26"/>
      <c r="AA437" s="27">
        <f>IF(TA[[#This Row],[Work Start time on Fault]]="NA","",(TA[[#This Row],[Fault Acknowledgement Time ]]-TA[[#This Row],[Fault Time]])*24)</f>
        <v>0</v>
      </c>
      <c r="AB437" s="27">
        <f>(TA[[#This Row],[Work Start time on Fault]]-TA[[#This Row],[Fault Time]])*24</f>
        <v>0</v>
      </c>
      <c r="AC437" s="26">
        <f>(TA[[#This Row],[Work Completion time on fault]]-TA[[#This Row],[Fault Time]])*24</f>
        <v>0</v>
      </c>
      <c r="AD437" s="27">
        <f>IFERROR((TA[[#This Row],[Work Completion time on fault]]-TA[[#This Row],[Fault Time]])*24,"")</f>
        <v>0</v>
      </c>
      <c r="AE437" t="s">
        <v>319</v>
      </c>
      <c r="AF437" t="s">
        <v>247</v>
      </c>
      <c r="AG437" s="2"/>
      <c r="AH437" s="35">
        <f>1-COS(RADIANS(TA[[#This Row],[Avg. Target Angle during Fault Time (Radians)]]-TA[[#This Row],[Angle of affected equipment ]]))</f>
        <v>0.11705240714107301</v>
      </c>
      <c r="AI437" s="27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43">
        <f t="shared" si="21"/>
        <v>2026</v>
      </c>
      <c r="C438" s="116">
        <f t="shared" si="22"/>
        <v>2025</v>
      </c>
      <c r="D438" s="2" t="s">
        <v>155</v>
      </c>
      <c r="E438" s="2" t="s">
        <v>155</v>
      </c>
      <c r="F438" s="30">
        <v>45748</v>
      </c>
      <c r="G438" s="2">
        <f>DAY(EOMONTH(TA[[#This Row],[Month Year]],0))</f>
        <v>30</v>
      </c>
      <c r="H438" s="21">
        <v>45774</v>
      </c>
      <c r="I438" s="32">
        <f>IFERROR(VLOOKUP(TA[[#This Row],[Date]],Raw_Data[[Date]:[Sunset Time (POA&lt;20 W/m2)]],3,0),"")</f>
        <v>0.27083333333333331</v>
      </c>
      <c r="J438" s="32">
        <f>IFERROR(VLOOKUP(TA[[#This Row],[Date]],Raw_Data[[Date]:[Sunset Time (POA&lt;20 W/m2)]],4,0),"")</f>
        <v>0.72916666666666663</v>
      </c>
      <c r="K438" s="27">
        <f>IFERROR((TA[[#This Row],[Sunset Time (POA&lt;20 W/m2)]]-TA[[#This Row],[Sunrise Time (POA&gt;20 W/m2)]])*24,"")</f>
        <v>11</v>
      </c>
      <c r="L438" s="2" t="s">
        <v>303</v>
      </c>
      <c r="M438" s="33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321</v>
      </c>
      <c r="Q438" s="2" t="s">
        <v>314</v>
      </c>
      <c r="R438">
        <v>26</v>
      </c>
      <c r="S438" s="2">
        <v>37</v>
      </c>
      <c r="T438" t="s">
        <v>288</v>
      </c>
      <c r="U438" t="s">
        <v>317</v>
      </c>
      <c r="V438" t="s">
        <v>292</v>
      </c>
      <c r="W438" s="32"/>
      <c r="X438" s="32"/>
      <c r="Y438" s="26"/>
      <c r="Z438" s="26"/>
      <c r="AA438" s="27">
        <f>IF(TA[[#This Row],[Work Start time on Fault]]="NA","",(TA[[#This Row],[Fault Acknowledgement Time ]]-TA[[#This Row],[Fault Time]])*24)</f>
        <v>0</v>
      </c>
      <c r="AB438" s="27">
        <f>(TA[[#This Row],[Work Start time on Fault]]-TA[[#This Row],[Fault Time]])*24</f>
        <v>0</v>
      </c>
      <c r="AC438" s="26">
        <f>(TA[[#This Row],[Work Completion time on fault]]-TA[[#This Row],[Fault Time]])*24</f>
        <v>0</v>
      </c>
      <c r="AD438" s="27">
        <f>IFERROR((TA[[#This Row],[Work Completion time on fault]]-TA[[#This Row],[Fault Time]])*24,"")</f>
        <v>0</v>
      </c>
      <c r="AE438" t="s">
        <v>319</v>
      </c>
      <c r="AF438" t="s">
        <v>247</v>
      </c>
      <c r="AG438" s="2"/>
      <c r="AH438" s="35">
        <f>1-COS(RADIANS(TA[[#This Row],[Avg. Target Angle during Fault Time (Radians)]]-TA[[#This Row],[Angle of affected equipment ]]))</f>
        <v>0.11705240714107301</v>
      </c>
      <c r="AI438" s="27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43">
        <f t="shared" si="21"/>
        <v>2026</v>
      </c>
      <c r="C439" s="116">
        <f t="shared" si="22"/>
        <v>2025</v>
      </c>
      <c r="D439" s="2" t="s">
        <v>155</v>
      </c>
      <c r="E439" s="2" t="s">
        <v>155</v>
      </c>
      <c r="F439" s="30">
        <v>45748</v>
      </c>
      <c r="G439" s="2">
        <f>DAY(EOMONTH(TA[[#This Row],[Month Year]],0))</f>
        <v>30</v>
      </c>
      <c r="H439" s="21">
        <v>45774</v>
      </c>
      <c r="I439" s="32">
        <f>IFERROR(VLOOKUP(TA[[#This Row],[Date]],Raw_Data[[Date]:[Sunset Time (POA&lt;20 W/m2)]],3,0),"")</f>
        <v>0.27083333333333331</v>
      </c>
      <c r="J439" s="32">
        <f>IFERROR(VLOOKUP(TA[[#This Row],[Date]],Raw_Data[[Date]:[Sunset Time (POA&lt;20 W/m2)]],4,0),"")</f>
        <v>0.72916666666666663</v>
      </c>
      <c r="K439" s="27">
        <f>IFERROR((TA[[#This Row],[Sunset Time (POA&lt;20 W/m2)]]-TA[[#This Row],[Sunrise Time (POA&gt;20 W/m2)]])*24,"")</f>
        <v>11</v>
      </c>
      <c r="L439" s="2" t="s">
        <v>303</v>
      </c>
      <c r="M439" s="33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321</v>
      </c>
      <c r="Q439" s="2" t="s">
        <v>314</v>
      </c>
      <c r="R439">
        <v>27</v>
      </c>
      <c r="S439" s="2">
        <v>42</v>
      </c>
      <c r="T439" t="s">
        <v>288</v>
      </c>
      <c r="U439" t="s">
        <v>317</v>
      </c>
      <c r="V439" t="s">
        <v>292</v>
      </c>
      <c r="W439" s="32">
        <f>IFERROR(VLOOKUP(TA[[#This Row],[Date]],Raw_Data[[Date]:[Sunset Time (POA&lt;20 W/m2)]],3,0),"")</f>
        <v>0.27083333333333331</v>
      </c>
      <c r="X439" s="32">
        <f>IFERROR(VLOOKUP(TA[[#This Row],[Date]],Raw_Data[[Date]:[Sunset Time (POA&lt;20 W/m2)]],3,0),"")</f>
        <v>0.27083333333333331</v>
      </c>
      <c r="Y439" s="26"/>
      <c r="Z439" s="26">
        <v>0.76041666666666663</v>
      </c>
      <c r="AA439" s="27">
        <f>IF(TA[[#This Row],[Work Start time on Fault]]="NA","",(TA[[#This Row],[Fault Acknowledgement Time ]]-TA[[#This Row],[Fault Time]])*24)</f>
        <v>0</v>
      </c>
      <c r="AB439" s="27">
        <f>(TA[[#This Row],[Work Start time on Fault]]-TA[[#This Row],[Fault Time]])*24</f>
        <v>-6.5</v>
      </c>
      <c r="AC439" s="26">
        <f>(TA[[#This Row],[Work Completion time on fault]]-TA[[#This Row],[Fault Time]])*24</f>
        <v>11.75</v>
      </c>
      <c r="AD439" s="27">
        <f>IFERROR((TA[[#This Row],[Work Completion time on fault]]-TA[[#This Row],[Fault Time]])*24,"")</f>
        <v>11.75</v>
      </c>
      <c r="AE439" t="s">
        <v>300</v>
      </c>
      <c r="AF439" t="s">
        <v>247</v>
      </c>
      <c r="AG439" s="2"/>
      <c r="AH439" s="35">
        <f>1-COS(RADIANS(TA[[#This Row],[Avg. Target Angle during Fault Time (Radians)]]-TA[[#This Row],[Angle of affected equipment ]]))</f>
        <v>0.11705240714107301</v>
      </c>
      <c r="AI439" s="27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43">
        <f t="shared" si="21"/>
        <v>2026</v>
      </c>
      <c r="C440" s="116">
        <f t="shared" si="22"/>
        <v>2025</v>
      </c>
      <c r="D440" s="2" t="s">
        <v>155</v>
      </c>
      <c r="E440" s="2" t="s">
        <v>155</v>
      </c>
      <c r="F440" s="30">
        <v>45748</v>
      </c>
      <c r="G440" s="2">
        <f>DAY(EOMONTH(TA[[#This Row],[Month Year]],0))</f>
        <v>30</v>
      </c>
      <c r="H440" s="21">
        <v>45775</v>
      </c>
      <c r="I440" s="32">
        <f>IFERROR(VLOOKUP(TA[[#This Row],[Date]],Raw_Data[[Date]:[Sunset Time (POA&lt;20 W/m2)]],3,0),"")</f>
        <v>0.25208333333333333</v>
      </c>
      <c r="J440" s="32">
        <f>IFERROR(VLOOKUP(TA[[#This Row],[Date]],Raw_Data[[Date]:[Sunset Time (POA&lt;20 W/m2)]],4,0),"")</f>
        <v>0.76527777777777772</v>
      </c>
      <c r="K440" s="27">
        <f>IFERROR((TA[[#This Row],[Sunset Time (POA&lt;20 W/m2)]]-TA[[#This Row],[Sunrise Time (POA&gt;20 W/m2)]])*24,"")</f>
        <v>12.316666666666666</v>
      </c>
      <c r="L440" s="2" t="s">
        <v>303</v>
      </c>
      <c r="M440" s="33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321</v>
      </c>
      <c r="Q440" s="2" t="s">
        <v>314</v>
      </c>
      <c r="R440">
        <v>27</v>
      </c>
      <c r="S440" s="2">
        <v>42</v>
      </c>
      <c r="T440" t="s">
        <v>288</v>
      </c>
      <c r="U440" t="s">
        <v>317</v>
      </c>
      <c r="V440" t="s">
        <v>292</v>
      </c>
      <c r="W440" s="32">
        <f>IFERROR(VLOOKUP(TA[[#This Row],[Date]],Raw_Data[[Date]:[Sunset Time (POA&lt;20 W/m2)]],3,0),"")</f>
        <v>0.25208333333333333</v>
      </c>
      <c r="X440" s="32">
        <f>IFERROR(VLOOKUP(TA[[#This Row],[Date]],Raw_Data[[Date]:[Sunset Time (POA&lt;20 W/m2)]],3,0),"")</f>
        <v>0.25208333333333333</v>
      </c>
      <c r="Y440" s="26"/>
      <c r="Z440" s="26">
        <v>0.76041666666666663</v>
      </c>
      <c r="AA440" s="27">
        <f>IF(TA[[#This Row],[Work Start time on Fault]]="NA","",(TA[[#This Row],[Fault Acknowledgement Time ]]-TA[[#This Row],[Fault Time]])*24)</f>
        <v>0</v>
      </c>
      <c r="AB440" s="27">
        <f>(TA[[#This Row],[Work Start time on Fault]]-TA[[#This Row],[Fault Time]])*24</f>
        <v>-6.05</v>
      </c>
      <c r="AC440" s="26">
        <f>(TA[[#This Row],[Work Completion time on fault]]-TA[[#This Row],[Fault Time]])*24</f>
        <v>12.2</v>
      </c>
      <c r="AD440" s="27">
        <f>IFERROR((TA[[#This Row],[Work Completion time on fault]]-TA[[#This Row],[Fault Time]])*24,"")</f>
        <v>12.2</v>
      </c>
      <c r="AE440" t="s">
        <v>300</v>
      </c>
      <c r="AF440" t="s">
        <v>247</v>
      </c>
      <c r="AG440" s="2"/>
      <c r="AH440" s="35">
        <f>1-COS(RADIANS(TA[[#This Row],[Avg. Target Angle during Fault Time (Radians)]]-TA[[#This Row],[Angle of affected equipment ]]))</f>
        <v>0.11705240714107301</v>
      </c>
      <c r="AI440" s="27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43">
        <f t="shared" si="21"/>
        <v>2026</v>
      </c>
      <c r="C441" s="116">
        <f t="shared" si="22"/>
        <v>2025</v>
      </c>
      <c r="D441" s="2" t="s">
        <v>155</v>
      </c>
      <c r="E441" s="2" t="s">
        <v>155</v>
      </c>
      <c r="F441" s="30">
        <v>45748</v>
      </c>
      <c r="G441" s="2">
        <f>DAY(EOMONTH(TA[[#This Row],[Month Year]],0))</f>
        <v>30</v>
      </c>
      <c r="H441" s="21">
        <v>45775</v>
      </c>
      <c r="I441" s="32">
        <f>IFERROR(VLOOKUP(TA[[#This Row],[Date]],Raw_Data[[Date]:[Sunset Time (POA&lt;20 W/m2)]],3,0),"")</f>
        <v>0.25208333333333333</v>
      </c>
      <c r="J441" s="32">
        <f>IFERROR(VLOOKUP(TA[[#This Row],[Date]],Raw_Data[[Date]:[Sunset Time (POA&lt;20 W/m2)]],4,0),"")</f>
        <v>0.76527777777777772</v>
      </c>
      <c r="K441" s="27">
        <f>IFERROR((TA[[#This Row],[Sunset Time (POA&lt;20 W/m2)]]-TA[[#This Row],[Sunrise Time (POA&gt;20 W/m2)]])*24,"")</f>
        <v>12.316666666666666</v>
      </c>
      <c r="L441" s="2" t="s">
        <v>285</v>
      </c>
      <c r="M441" s="33">
        <f>IFERROR(VLOOKUP(TA[[#This Row],[Affected Equipment]],'Basic Data'!$I$2:$K$40,3,0),"")</f>
        <v>1.7241379310344799E-3</v>
      </c>
      <c r="N441">
        <v>-28</v>
      </c>
      <c r="O441" t="s">
        <v>135</v>
      </c>
      <c r="P441" s="114" t="s">
        <v>309</v>
      </c>
      <c r="Q441" s="113" t="s">
        <v>309</v>
      </c>
      <c r="R441">
        <v>130</v>
      </c>
      <c r="S441" s="2">
        <v>37</v>
      </c>
      <c r="T441" t="s">
        <v>286</v>
      </c>
      <c r="U441" t="s">
        <v>291</v>
      </c>
      <c r="V441" t="s">
        <v>289</v>
      </c>
      <c r="W441" s="32"/>
      <c r="X441" s="32"/>
      <c r="Y441" s="26"/>
      <c r="Z441" s="26"/>
      <c r="AA441" s="27">
        <f>IF(TA[[#This Row],[Work Start time on Fault]]="NA","",(TA[[#This Row],[Fault Acknowledgement Time ]]-TA[[#This Row],[Fault Time]])*24)</f>
        <v>0</v>
      </c>
      <c r="AB441" s="27">
        <f>(TA[[#This Row],[Work Start time on Fault]]-TA[[#This Row],[Fault Time]])*24</f>
        <v>0</v>
      </c>
      <c r="AC441" s="26">
        <f>(TA[[#This Row],[Work Completion time on fault]]-TA[[#This Row],[Fault Time]])*24</f>
        <v>0</v>
      </c>
      <c r="AD441" s="27">
        <f>IFERROR((TA[[#This Row],[Work Completion time on fault]]-TA[[#This Row],[Fault Time]])*24,"")</f>
        <v>0</v>
      </c>
      <c r="AE441" t="s">
        <v>319</v>
      </c>
      <c r="AF441" t="s">
        <v>247</v>
      </c>
      <c r="AG441" s="2"/>
      <c r="AH441" s="35">
        <f>1-COS(RADIANS(TA[[#This Row],[Avg. Target Angle during Fault Time (Radians)]]-TA[[#This Row],[Angle of affected equipment ]]))</f>
        <v>0.11705240714107301</v>
      </c>
      <c r="AI441" s="27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43">
        <f t="shared" si="21"/>
        <v>2026</v>
      </c>
      <c r="C442" s="116">
        <f t="shared" si="22"/>
        <v>2025</v>
      </c>
      <c r="D442" s="2" t="s">
        <v>155</v>
      </c>
      <c r="E442" s="2" t="s">
        <v>155</v>
      </c>
      <c r="F442" s="30">
        <v>45748</v>
      </c>
      <c r="G442" s="2">
        <f>DAY(EOMONTH(TA[[#This Row],[Month Year]],0))</f>
        <v>30</v>
      </c>
      <c r="H442" s="21">
        <v>45775</v>
      </c>
      <c r="I442" s="32">
        <f>IFERROR(VLOOKUP(TA[[#This Row],[Date]],Raw_Data[[Date]:[Sunset Time (POA&lt;20 W/m2)]],3,0),"")</f>
        <v>0.25208333333333333</v>
      </c>
      <c r="J442" s="32">
        <f>IFERROR(VLOOKUP(TA[[#This Row],[Date]],Raw_Data[[Date]:[Sunset Time (POA&lt;20 W/m2)]],4,0),"")</f>
        <v>0.76527777777777772</v>
      </c>
      <c r="K442" s="27">
        <f>IFERROR((TA[[#This Row],[Sunset Time (POA&lt;20 W/m2)]]-TA[[#This Row],[Sunrise Time (POA&gt;20 W/m2)]])*24,"")</f>
        <v>12.316666666666666</v>
      </c>
      <c r="L442" s="2" t="s">
        <v>285</v>
      </c>
      <c r="M442" s="33">
        <f>IFERROR(VLOOKUP(TA[[#This Row],[Affected Equipment]],'Basic Data'!$I$2:$K$40,3,0),"")</f>
        <v>1.7241379310344799E-3</v>
      </c>
      <c r="N442">
        <v>-28</v>
      </c>
      <c r="O442" t="s">
        <v>135</v>
      </c>
      <c r="P442" s="114" t="s">
        <v>309</v>
      </c>
      <c r="Q442" s="113" t="s">
        <v>309</v>
      </c>
      <c r="R442">
        <v>131</v>
      </c>
      <c r="S442" s="2">
        <v>38</v>
      </c>
      <c r="T442" t="s">
        <v>286</v>
      </c>
      <c r="U442" t="s">
        <v>291</v>
      </c>
      <c r="V442" t="s">
        <v>289</v>
      </c>
      <c r="W442" s="32"/>
      <c r="X442" s="32"/>
      <c r="Y442" s="26"/>
      <c r="Z442" s="26"/>
      <c r="AA442" s="27">
        <f>IF(TA[[#This Row],[Work Start time on Fault]]="NA","",(TA[[#This Row],[Fault Acknowledgement Time ]]-TA[[#This Row],[Fault Time]])*24)</f>
        <v>0</v>
      </c>
      <c r="AB442" s="27">
        <f>(TA[[#This Row],[Work Start time on Fault]]-TA[[#This Row],[Fault Time]])*24</f>
        <v>0</v>
      </c>
      <c r="AC442" s="26">
        <f>(TA[[#This Row],[Work Completion time on fault]]-TA[[#This Row],[Fault Time]])*24</f>
        <v>0</v>
      </c>
      <c r="AD442" s="27">
        <f>IFERROR((TA[[#This Row],[Work Completion time on fault]]-TA[[#This Row],[Fault Time]])*24,"")</f>
        <v>0</v>
      </c>
      <c r="AE442" t="s">
        <v>319</v>
      </c>
      <c r="AF442" t="s">
        <v>247</v>
      </c>
      <c r="AG442" s="2"/>
      <c r="AH442" s="35">
        <f>1-COS(RADIANS(TA[[#This Row],[Avg. Target Angle during Fault Time (Radians)]]-TA[[#This Row],[Angle of affected equipment ]]))</f>
        <v>0.11705240714107301</v>
      </c>
      <c r="AI442" s="27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43">
        <f t="shared" si="21"/>
        <v>2026</v>
      </c>
      <c r="C443" s="116">
        <f t="shared" si="22"/>
        <v>2025</v>
      </c>
      <c r="D443" s="2" t="s">
        <v>155</v>
      </c>
      <c r="E443" s="2" t="s">
        <v>155</v>
      </c>
      <c r="F443" s="30">
        <v>45748</v>
      </c>
      <c r="G443" s="2">
        <f>DAY(EOMONTH(TA[[#This Row],[Month Year]],0))</f>
        <v>30</v>
      </c>
      <c r="H443" s="21">
        <v>45775</v>
      </c>
      <c r="I443" s="32">
        <f>IFERROR(VLOOKUP(TA[[#This Row],[Date]],Raw_Data[[Date]:[Sunset Time (POA&lt;20 W/m2)]],3,0),"")</f>
        <v>0.25208333333333333</v>
      </c>
      <c r="J443" s="32">
        <f>IFERROR(VLOOKUP(TA[[#This Row],[Date]],Raw_Data[[Date]:[Sunset Time (POA&lt;20 W/m2)]],4,0),"")</f>
        <v>0.76527777777777772</v>
      </c>
      <c r="K443" s="27">
        <f>IFERROR((TA[[#This Row],[Sunset Time (POA&lt;20 W/m2)]]-TA[[#This Row],[Sunrise Time (POA&gt;20 W/m2)]])*24,"")</f>
        <v>12.316666666666666</v>
      </c>
      <c r="L443" s="2" t="s">
        <v>285</v>
      </c>
      <c r="M443" s="33">
        <f>IFERROR(VLOOKUP(TA[[#This Row],[Affected Equipment]],'Basic Data'!$I$2:$K$40,3,0),"")</f>
        <v>1.7241379310344799E-3</v>
      </c>
      <c r="N443">
        <v>-28</v>
      </c>
      <c r="O443" t="s">
        <v>135</v>
      </c>
      <c r="P443" s="114" t="s">
        <v>309</v>
      </c>
      <c r="Q443" s="113" t="s">
        <v>309</v>
      </c>
      <c r="R443">
        <v>131</v>
      </c>
      <c r="S443" s="2">
        <v>39</v>
      </c>
      <c r="T443" t="s">
        <v>286</v>
      </c>
      <c r="U443" t="s">
        <v>291</v>
      </c>
      <c r="V443" t="s">
        <v>289</v>
      </c>
      <c r="W443" s="32"/>
      <c r="X443" s="32"/>
      <c r="Y443" s="26"/>
      <c r="Z443" s="26"/>
      <c r="AA443" s="27">
        <f>IF(TA[[#This Row],[Work Start time on Fault]]="NA","",(TA[[#This Row],[Fault Acknowledgement Time ]]-TA[[#This Row],[Fault Time]])*24)</f>
        <v>0</v>
      </c>
      <c r="AB443" s="27">
        <f>(TA[[#This Row],[Work Start time on Fault]]-TA[[#This Row],[Fault Time]])*24</f>
        <v>0</v>
      </c>
      <c r="AC443" s="26">
        <f>(TA[[#This Row],[Work Completion time on fault]]-TA[[#This Row],[Fault Time]])*24</f>
        <v>0</v>
      </c>
      <c r="AD443" s="27">
        <f>IFERROR((TA[[#This Row],[Work Completion time on fault]]-TA[[#This Row],[Fault Time]])*24,"")</f>
        <v>0</v>
      </c>
      <c r="AE443" t="s">
        <v>319</v>
      </c>
      <c r="AF443" t="s">
        <v>247</v>
      </c>
      <c r="AG443" s="2"/>
      <c r="AH443" s="35">
        <f>1-COS(RADIANS(TA[[#This Row],[Avg. Target Angle during Fault Time (Radians)]]-TA[[#This Row],[Angle of affected equipment ]]))</f>
        <v>0.11705240714107301</v>
      </c>
      <c r="AI443" s="27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43">
        <f t="shared" si="21"/>
        <v>2026</v>
      </c>
      <c r="C444" s="116">
        <f t="shared" si="22"/>
        <v>2025</v>
      </c>
      <c r="D444" s="2" t="s">
        <v>155</v>
      </c>
      <c r="E444" s="2" t="s">
        <v>155</v>
      </c>
      <c r="F444" s="30">
        <v>45748</v>
      </c>
      <c r="G444" s="2">
        <f>DAY(EOMONTH(TA[[#This Row],[Month Year]],0))</f>
        <v>30</v>
      </c>
      <c r="H444" s="21">
        <v>45775</v>
      </c>
      <c r="I444" s="32">
        <f>IFERROR(VLOOKUP(TA[[#This Row],[Date]],Raw_Data[[Date]:[Sunset Time (POA&lt;20 W/m2)]],3,0),"")</f>
        <v>0.25208333333333333</v>
      </c>
      <c r="J444" s="32">
        <f>IFERROR(VLOOKUP(TA[[#This Row],[Date]],Raw_Data[[Date]:[Sunset Time (POA&lt;20 W/m2)]],4,0),"")</f>
        <v>0.76527777777777772</v>
      </c>
      <c r="K444" s="27">
        <f>IFERROR((TA[[#This Row],[Sunset Time (POA&lt;20 W/m2)]]-TA[[#This Row],[Sunrise Time (POA&gt;20 W/m2)]])*24,"")</f>
        <v>12.316666666666666</v>
      </c>
      <c r="L444" s="2" t="s">
        <v>287</v>
      </c>
      <c r="M444" s="33">
        <f>IFERROR(VLOOKUP(TA[[#This Row],[Affected Equipment]],'Basic Data'!$I$2:$K$40,3,0),"")</f>
        <v>8.6206896551724102E-3</v>
      </c>
      <c r="N444">
        <v>-28</v>
      </c>
      <c r="O444" t="s">
        <v>135</v>
      </c>
      <c r="P444" s="114" t="s">
        <v>309</v>
      </c>
      <c r="Q444" s="2" t="s">
        <v>312</v>
      </c>
      <c r="R444">
        <v>133</v>
      </c>
      <c r="S444" s="2">
        <v>26</v>
      </c>
      <c r="T444" t="s">
        <v>288</v>
      </c>
      <c r="U444" t="s">
        <v>291</v>
      </c>
      <c r="V444" t="s">
        <v>305</v>
      </c>
      <c r="W444" s="32">
        <f>IFERROR(VLOOKUP(TA[[#This Row],[Date]],Raw_Data[[Date]:[Sunset Time (POA&lt;20 W/m2)]],3,0),"")</f>
        <v>0.25208333333333333</v>
      </c>
      <c r="X444" s="32">
        <f>IFERROR(VLOOKUP(TA[[#This Row],[Date]],Raw_Data[[Date]:[Sunset Time (POA&lt;20 W/m2)]],3,0),"")</f>
        <v>0.25208333333333333</v>
      </c>
      <c r="Y444" s="26"/>
      <c r="Z444" s="26">
        <v>0.76041666666666663</v>
      </c>
      <c r="AA444" s="27">
        <f>IF(TA[[#This Row],[Work Start time on Fault]]="NA","",(TA[[#This Row],[Fault Acknowledgement Time ]]-TA[[#This Row],[Fault Time]])*24)</f>
        <v>0</v>
      </c>
      <c r="AB444" s="27">
        <f>(TA[[#This Row],[Work Start time on Fault]]-TA[[#This Row],[Fault Time]])*24</f>
        <v>-6.05</v>
      </c>
      <c r="AC444" s="26">
        <f>(TA[[#This Row],[Work Completion time on fault]]-TA[[#This Row],[Fault Time]])*24</f>
        <v>12.2</v>
      </c>
      <c r="AD444" s="27">
        <f>IFERROR((TA[[#This Row],[Work Completion time on fault]]-TA[[#This Row],[Fault Time]])*24,"")</f>
        <v>12.2</v>
      </c>
      <c r="AE444" t="s">
        <v>319</v>
      </c>
      <c r="AF444" t="s">
        <v>247</v>
      </c>
      <c r="AG444" s="2"/>
      <c r="AH444" s="35">
        <f>1-COS(RADIANS(TA[[#This Row],[Avg. Target Angle during Fault Time (Radians)]]-TA[[#This Row],[Angle of affected equipment ]]))</f>
        <v>0.11705240714107301</v>
      </c>
      <c r="AI444" s="27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43">
        <f t="shared" si="21"/>
        <v>2026</v>
      </c>
      <c r="C445" s="116">
        <f t="shared" si="22"/>
        <v>2025</v>
      </c>
      <c r="D445" s="2" t="s">
        <v>155</v>
      </c>
      <c r="E445" s="2" t="s">
        <v>155</v>
      </c>
      <c r="F445" s="30">
        <v>45748</v>
      </c>
      <c r="G445" s="2">
        <f>DAY(EOMONTH(TA[[#This Row],[Month Year]],0))</f>
        <v>30</v>
      </c>
      <c r="H445" s="21">
        <v>45775</v>
      </c>
      <c r="I445" s="32">
        <f>IFERROR(VLOOKUP(TA[[#This Row],[Date]],Raw_Data[[Date]:[Sunset Time (POA&lt;20 W/m2)]],3,0),"")</f>
        <v>0.25208333333333333</v>
      </c>
      <c r="J445" s="32">
        <f>IFERROR(VLOOKUP(TA[[#This Row],[Date]],Raw_Data[[Date]:[Sunset Time (POA&lt;20 W/m2)]],4,0),"")</f>
        <v>0.76527777777777772</v>
      </c>
      <c r="K445" s="27">
        <f>IFERROR((TA[[#This Row],[Sunset Time (POA&lt;20 W/m2)]]-TA[[#This Row],[Sunrise Time (POA&gt;20 W/m2)]])*24,"")</f>
        <v>12.316666666666666</v>
      </c>
      <c r="L445" s="2" t="s">
        <v>285</v>
      </c>
      <c r="M445" s="33">
        <f>IFERROR(VLOOKUP(TA[[#This Row],[Affected Equipment]],'Basic Data'!$I$2:$K$40,3,0),"")</f>
        <v>1.7241379310344799E-3</v>
      </c>
      <c r="N445">
        <v>-28</v>
      </c>
      <c r="O445" t="s">
        <v>133</v>
      </c>
      <c r="P445" s="114" t="s">
        <v>307</v>
      </c>
      <c r="Q445" s="113" t="s">
        <v>308</v>
      </c>
      <c r="R445">
        <v>7</v>
      </c>
      <c r="S445" s="2">
        <v>32</v>
      </c>
      <c r="T445" t="s">
        <v>286</v>
      </c>
      <c r="U445" t="s">
        <v>291</v>
      </c>
      <c r="V445" t="s">
        <v>289</v>
      </c>
      <c r="W445" s="32"/>
      <c r="X445" s="32"/>
      <c r="Y445" s="26"/>
      <c r="Z445" s="26"/>
      <c r="AA445" s="27">
        <f>IF(TA[[#This Row],[Work Start time on Fault]]="NA","",(TA[[#This Row],[Fault Acknowledgement Time ]]-TA[[#This Row],[Fault Time]])*24)</f>
        <v>0</v>
      </c>
      <c r="AB445" s="27">
        <f>(TA[[#This Row],[Work Start time on Fault]]-TA[[#This Row],[Fault Time]])*24</f>
        <v>0</v>
      </c>
      <c r="AC445" s="26">
        <f>(TA[[#This Row],[Work Completion time on fault]]-TA[[#This Row],[Fault Time]])*24</f>
        <v>0</v>
      </c>
      <c r="AD445" s="27">
        <f>IFERROR((TA[[#This Row],[Work Completion time on fault]]-TA[[#This Row],[Fault Time]])*24,"")</f>
        <v>0</v>
      </c>
      <c r="AE445" t="s">
        <v>319</v>
      </c>
      <c r="AF445" t="s">
        <v>247</v>
      </c>
      <c r="AG445" s="2"/>
      <c r="AH445" s="35">
        <f>1-COS(RADIANS(TA[[#This Row],[Avg. Target Angle during Fault Time (Radians)]]-TA[[#This Row],[Angle of affected equipment ]]))</f>
        <v>0.11705240714107301</v>
      </c>
      <c r="AI445" s="27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43">
        <f t="shared" si="21"/>
        <v>2026</v>
      </c>
      <c r="C446" s="116">
        <f t="shared" si="22"/>
        <v>2025</v>
      </c>
      <c r="D446" s="2" t="s">
        <v>155</v>
      </c>
      <c r="E446" s="2" t="s">
        <v>155</v>
      </c>
      <c r="F446" s="30">
        <v>45748</v>
      </c>
      <c r="G446" s="2">
        <f>DAY(EOMONTH(TA[[#This Row],[Month Year]],0))</f>
        <v>30</v>
      </c>
      <c r="H446" s="21">
        <v>45775</v>
      </c>
      <c r="I446" s="32">
        <f>IFERROR(VLOOKUP(TA[[#This Row],[Date]],Raw_Data[[Date]:[Sunset Time (POA&lt;20 W/m2)]],3,0),"")</f>
        <v>0.25208333333333333</v>
      </c>
      <c r="J446" s="32">
        <f>IFERROR(VLOOKUP(TA[[#This Row],[Date]],Raw_Data[[Date]:[Sunset Time (POA&lt;20 W/m2)]],4,0),"")</f>
        <v>0.76527777777777772</v>
      </c>
      <c r="K446" s="27">
        <f>IFERROR((TA[[#This Row],[Sunset Time (POA&lt;20 W/m2)]]-TA[[#This Row],[Sunrise Time (POA&gt;20 W/m2)]])*24,"")</f>
        <v>12.316666666666666</v>
      </c>
      <c r="L446" s="2" t="s">
        <v>285</v>
      </c>
      <c r="M446" s="33">
        <f>IFERROR(VLOOKUP(TA[[#This Row],[Affected Equipment]],'Basic Data'!$I$2:$K$40,3,0),"")</f>
        <v>1.7241379310344799E-3</v>
      </c>
      <c r="N446">
        <v>-28</v>
      </c>
      <c r="O446" t="s">
        <v>137</v>
      </c>
      <c r="P446" s="114" t="s">
        <v>306</v>
      </c>
      <c r="Q446" s="113" t="s">
        <v>310</v>
      </c>
      <c r="R446">
        <v>166</v>
      </c>
      <c r="S446" s="2">
        <v>91</v>
      </c>
      <c r="T446" t="s">
        <v>286</v>
      </c>
      <c r="U446" t="s">
        <v>291</v>
      </c>
      <c r="V446" t="s">
        <v>289</v>
      </c>
      <c r="W446" s="32"/>
      <c r="X446" s="32"/>
      <c r="Y446" s="26"/>
      <c r="Z446" s="26"/>
      <c r="AA446" s="27">
        <f>IF(TA[[#This Row],[Work Start time on Fault]]="NA","",(TA[[#This Row],[Fault Acknowledgement Time ]]-TA[[#This Row],[Fault Time]])*24)</f>
        <v>0</v>
      </c>
      <c r="AB446" s="27">
        <f>(TA[[#This Row],[Work Start time on Fault]]-TA[[#This Row],[Fault Time]])*24</f>
        <v>0</v>
      </c>
      <c r="AC446" s="26">
        <f>(TA[[#This Row],[Work Completion time on fault]]-TA[[#This Row],[Fault Time]])*24</f>
        <v>0</v>
      </c>
      <c r="AD446" s="27">
        <f>IFERROR((TA[[#This Row],[Work Completion time on fault]]-TA[[#This Row],[Fault Time]])*24,"")</f>
        <v>0</v>
      </c>
      <c r="AE446" t="s">
        <v>319</v>
      </c>
      <c r="AF446" t="s">
        <v>247</v>
      </c>
      <c r="AG446" s="2"/>
      <c r="AH446" s="35">
        <f>1-COS(RADIANS(TA[[#This Row],[Avg. Target Angle during Fault Time (Radians)]]-TA[[#This Row],[Angle of affected equipment ]]))</f>
        <v>0.11705240714107301</v>
      </c>
      <c r="AI446" s="27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43">
        <f t="shared" si="21"/>
        <v>2026</v>
      </c>
      <c r="C447" s="116">
        <f t="shared" si="22"/>
        <v>2025</v>
      </c>
      <c r="D447" s="2" t="s">
        <v>155</v>
      </c>
      <c r="E447" s="2" t="s">
        <v>155</v>
      </c>
      <c r="F447" s="30">
        <v>45748</v>
      </c>
      <c r="G447" s="2">
        <f>DAY(EOMONTH(TA[[#This Row],[Month Year]],0))</f>
        <v>30</v>
      </c>
      <c r="H447" s="21">
        <v>45775</v>
      </c>
      <c r="I447" s="32">
        <f>IFERROR(VLOOKUP(TA[[#This Row],[Date]],Raw_Data[[Date]:[Sunset Time (POA&lt;20 W/m2)]],3,0),"")</f>
        <v>0.25208333333333333</v>
      </c>
      <c r="J447" s="32">
        <f>IFERROR(VLOOKUP(TA[[#This Row],[Date]],Raw_Data[[Date]:[Sunset Time (POA&lt;20 W/m2)]],4,0),"")</f>
        <v>0.76527777777777772</v>
      </c>
      <c r="K447" s="27">
        <f>IFERROR((TA[[#This Row],[Sunset Time (POA&lt;20 W/m2)]]-TA[[#This Row],[Sunrise Time (POA&gt;20 W/m2)]])*24,"")</f>
        <v>12.316666666666666</v>
      </c>
      <c r="L447" s="2" t="s">
        <v>285</v>
      </c>
      <c r="M447" s="33">
        <f>IFERROR(VLOOKUP(TA[[#This Row],[Affected Equipment]],'Basic Data'!$I$2:$K$40,3,0),"")</f>
        <v>1.7241379310344799E-3</v>
      </c>
      <c r="N447">
        <v>-28</v>
      </c>
      <c r="O447" t="s">
        <v>133</v>
      </c>
      <c r="P447" s="114" t="s">
        <v>307</v>
      </c>
      <c r="Q447" s="113" t="s">
        <v>307</v>
      </c>
      <c r="R447">
        <v>117</v>
      </c>
      <c r="S447" s="2">
        <v>20</v>
      </c>
      <c r="T447" t="s">
        <v>286</v>
      </c>
      <c r="U447" t="s">
        <v>291</v>
      </c>
      <c r="V447" t="s">
        <v>289</v>
      </c>
      <c r="W447" s="32"/>
      <c r="X447" s="32"/>
      <c r="Y447" s="26"/>
      <c r="Z447" s="26"/>
      <c r="AA447" s="27">
        <f>IF(TA[[#This Row],[Work Start time on Fault]]="NA","",(TA[[#This Row],[Fault Acknowledgement Time ]]-TA[[#This Row],[Fault Time]])*24)</f>
        <v>0</v>
      </c>
      <c r="AB447" s="27">
        <f>(TA[[#This Row],[Work Start time on Fault]]-TA[[#This Row],[Fault Time]])*24</f>
        <v>0</v>
      </c>
      <c r="AC447" s="26">
        <f>(TA[[#This Row],[Work Completion time on fault]]-TA[[#This Row],[Fault Time]])*24</f>
        <v>0</v>
      </c>
      <c r="AD447" s="27">
        <f>IFERROR((TA[[#This Row],[Work Completion time on fault]]-TA[[#This Row],[Fault Time]])*24,"")</f>
        <v>0</v>
      </c>
      <c r="AE447" t="s">
        <v>319</v>
      </c>
      <c r="AF447" t="s">
        <v>247</v>
      </c>
      <c r="AG447" s="2"/>
      <c r="AH447" s="35">
        <f>1-COS(RADIANS(TA[[#This Row],[Avg. Target Angle during Fault Time (Radians)]]-TA[[#This Row],[Angle of affected equipment ]]))</f>
        <v>0.11705240714107301</v>
      </c>
      <c r="AI447" s="27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43">
        <f t="shared" si="21"/>
        <v>2026</v>
      </c>
      <c r="C448" s="116">
        <f t="shared" si="22"/>
        <v>2025</v>
      </c>
      <c r="D448" s="2" t="s">
        <v>155</v>
      </c>
      <c r="E448" s="2" t="s">
        <v>155</v>
      </c>
      <c r="F448" s="30">
        <v>45748</v>
      </c>
      <c r="G448" s="2">
        <f>DAY(EOMONTH(TA[[#This Row],[Month Year]],0))</f>
        <v>30</v>
      </c>
      <c r="H448" s="21">
        <v>45775</v>
      </c>
      <c r="I448" s="32">
        <f>IFERROR(VLOOKUP(TA[[#This Row],[Date]],Raw_Data[[Date]:[Sunset Time (POA&lt;20 W/m2)]],3,0),"")</f>
        <v>0.25208333333333333</v>
      </c>
      <c r="J448" s="32">
        <f>IFERROR(VLOOKUP(TA[[#This Row],[Date]],Raw_Data[[Date]:[Sunset Time (POA&lt;20 W/m2)]],4,0),"")</f>
        <v>0.76527777777777772</v>
      </c>
      <c r="K448" s="27">
        <f>IFERROR((TA[[#This Row],[Sunset Time (POA&lt;20 W/m2)]]-TA[[#This Row],[Sunrise Time (POA&gt;20 W/m2)]])*24,"")</f>
        <v>12.316666666666666</v>
      </c>
      <c r="L448" s="2" t="s">
        <v>285</v>
      </c>
      <c r="M448" s="33">
        <f>IFERROR(VLOOKUP(TA[[#This Row],[Affected Equipment]],'Basic Data'!$I$2:$K$40,3,0),"")</f>
        <v>1.7241379310344799E-3</v>
      </c>
      <c r="N448">
        <v>-28</v>
      </c>
      <c r="O448" t="s">
        <v>133</v>
      </c>
      <c r="P448" s="114" t="s">
        <v>307</v>
      </c>
      <c r="Q448" s="113" t="s">
        <v>307</v>
      </c>
      <c r="R448">
        <v>118</v>
      </c>
      <c r="S448" s="2">
        <v>22</v>
      </c>
      <c r="T448" t="s">
        <v>286</v>
      </c>
      <c r="U448" t="s">
        <v>291</v>
      </c>
      <c r="V448" t="s">
        <v>289</v>
      </c>
      <c r="W448" s="32"/>
      <c r="X448" s="32"/>
      <c r="Y448" s="26"/>
      <c r="Z448" s="26"/>
      <c r="AA448" s="27">
        <f>IF(TA[[#This Row],[Work Start time on Fault]]="NA","",(TA[[#This Row],[Fault Acknowledgement Time ]]-TA[[#This Row],[Fault Time]])*24)</f>
        <v>0</v>
      </c>
      <c r="AB448" s="27">
        <f>(TA[[#This Row],[Work Start time on Fault]]-TA[[#This Row],[Fault Time]])*24</f>
        <v>0</v>
      </c>
      <c r="AC448" s="26">
        <f>(TA[[#This Row],[Work Completion time on fault]]-TA[[#This Row],[Fault Time]])*24</f>
        <v>0</v>
      </c>
      <c r="AD448" s="27">
        <f>IFERROR((TA[[#This Row],[Work Completion time on fault]]-TA[[#This Row],[Fault Time]])*24,"")</f>
        <v>0</v>
      </c>
      <c r="AE448" t="s">
        <v>319</v>
      </c>
      <c r="AF448" t="s">
        <v>247</v>
      </c>
      <c r="AG448" s="2"/>
      <c r="AH448" s="35">
        <f>1-COS(RADIANS(TA[[#This Row],[Avg. Target Angle during Fault Time (Radians)]]-TA[[#This Row],[Angle of affected equipment ]]))</f>
        <v>0.11705240714107301</v>
      </c>
      <c r="AI448" s="27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43">
        <f t="shared" si="21"/>
        <v>2026</v>
      </c>
      <c r="C449" s="116">
        <f t="shared" si="22"/>
        <v>2025</v>
      </c>
      <c r="D449" s="2" t="s">
        <v>155</v>
      </c>
      <c r="E449" s="2" t="s">
        <v>155</v>
      </c>
      <c r="F449" s="30">
        <v>45748</v>
      </c>
      <c r="G449" s="2">
        <f>DAY(EOMONTH(TA[[#This Row],[Month Year]],0))</f>
        <v>30</v>
      </c>
      <c r="H449" s="21">
        <v>45775</v>
      </c>
      <c r="I449" s="32">
        <f>IFERROR(VLOOKUP(TA[[#This Row],[Date]],Raw_Data[[Date]:[Sunset Time (POA&lt;20 W/m2)]],3,0),"")</f>
        <v>0.25208333333333333</v>
      </c>
      <c r="J449" s="32">
        <f>IFERROR(VLOOKUP(TA[[#This Row],[Date]],Raw_Data[[Date]:[Sunset Time (POA&lt;20 W/m2)]],4,0),"")</f>
        <v>0.76527777777777772</v>
      </c>
      <c r="K449" s="27">
        <f>IFERROR((TA[[#This Row],[Sunset Time (POA&lt;20 W/m2)]]-TA[[#This Row],[Sunrise Time (POA&gt;20 W/m2)]])*24,"")</f>
        <v>12.316666666666666</v>
      </c>
      <c r="L449" s="2" t="s">
        <v>287</v>
      </c>
      <c r="M449" s="33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314</v>
      </c>
      <c r="Q449" s="2" t="s">
        <v>320</v>
      </c>
      <c r="R449">
        <v>45</v>
      </c>
      <c r="S449" s="2">
        <v>8</v>
      </c>
      <c r="T449" t="s">
        <v>288</v>
      </c>
      <c r="U449" t="s">
        <v>317</v>
      </c>
      <c r="V449" t="s">
        <v>292</v>
      </c>
      <c r="W449" s="32"/>
      <c r="X449" s="32"/>
      <c r="Y449" s="26"/>
      <c r="Z449" s="26"/>
      <c r="AA449" s="27">
        <f>IF(TA[[#This Row],[Work Start time on Fault]]="NA","",(TA[[#This Row],[Fault Acknowledgement Time ]]-TA[[#This Row],[Fault Time]])*24)</f>
        <v>0</v>
      </c>
      <c r="AB449" s="27">
        <f>(TA[[#This Row],[Work Start time on Fault]]-TA[[#This Row],[Fault Time]])*24</f>
        <v>0</v>
      </c>
      <c r="AC449" s="26">
        <f>(TA[[#This Row],[Work Completion time on fault]]-TA[[#This Row],[Fault Time]])*24</f>
        <v>0</v>
      </c>
      <c r="AD449" s="27">
        <f>IFERROR((TA[[#This Row],[Work Completion time on fault]]-TA[[#This Row],[Fault Time]])*24,"")</f>
        <v>0</v>
      </c>
      <c r="AE449" t="s">
        <v>319</v>
      </c>
      <c r="AF449" t="s">
        <v>247</v>
      </c>
      <c r="AG449" s="2"/>
      <c r="AH449" s="35">
        <f>1-COS(RADIANS(TA[[#This Row],[Avg. Target Angle during Fault Time (Radians)]]-TA[[#This Row],[Angle of affected equipment ]]))</f>
        <v>0.11705240714107301</v>
      </c>
      <c r="AI449" s="27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43">
        <f t="shared" si="21"/>
        <v>2026</v>
      </c>
      <c r="C450" s="116">
        <f t="shared" si="22"/>
        <v>2025</v>
      </c>
      <c r="D450" s="2" t="s">
        <v>155</v>
      </c>
      <c r="E450" s="2" t="s">
        <v>155</v>
      </c>
      <c r="F450" s="30">
        <v>45748</v>
      </c>
      <c r="G450" s="2">
        <f>DAY(EOMONTH(TA[[#This Row],[Month Year]],0))</f>
        <v>30</v>
      </c>
      <c r="H450" s="21">
        <v>45775</v>
      </c>
      <c r="I450" s="32">
        <f>IFERROR(VLOOKUP(TA[[#This Row],[Date]],Raw_Data[[Date]:[Sunset Time (POA&lt;20 W/m2)]],3,0),"")</f>
        <v>0.25208333333333333</v>
      </c>
      <c r="J450" s="32">
        <f>IFERROR(VLOOKUP(TA[[#This Row],[Date]],Raw_Data[[Date]:[Sunset Time (POA&lt;20 W/m2)]],4,0),"")</f>
        <v>0.76527777777777772</v>
      </c>
      <c r="K450" s="27">
        <f>IFERROR((TA[[#This Row],[Sunset Time (POA&lt;20 W/m2)]]-TA[[#This Row],[Sunrise Time (POA&gt;20 W/m2)]])*24,"")</f>
        <v>12.316666666666666</v>
      </c>
      <c r="L450" s="2" t="s">
        <v>287</v>
      </c>
      <c r="M450" s="33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314</v>
      </c>
      <c r="Q450" s="2" t="s">
        <v>320</v>
      </c>
      <c r="R450">
        <v>47</v>
      </c>
      <c r="S450" s="2">
        <v>18</v>
      </c>
      <c r="T450" t="s">
        <v>288</v>
      </c>
      <c r="U450" t="s">
        <v>317</v>
      </c>
      <c r="V450" t="s">
        <v>292</v>
      </c>
      <c r="W450" s="32"/>
      <c r="X450" s="32"/>
      <c r="Y450" s="26"/>
      <c r="Z450" s="26"/>
      <c r="AA450" s="27">
        <f>IF(TA[[#This Row],[Work Start time on Fault]]="NA","",(TA[[#This Row],[Fault Acknowledgement Time ]]-TA[[#This Row],[Fault Time]])*24)</f>
        <v>0</v>
      </c>
      <c r="AB450" s="27">
        <f>(TA[[#This Row],[Work Start time on Fault]]-TA[[#This Row],[Fault Time]])*24</f>
        <v>0</v>
      </c>
      <c r="AC450" s="26">
        <f>(TA[[#This Row],[Work Completion time on fault]]-TA[[#This Row],[Fault Time]])*24</f>
        <v>0</v>
      </c>
      <c r="AD450" s="27">
        <f>IFERROR((TA[[#This Row],[Work Completion time on fault]]-TA[[#This Row],[Fault Time]])*24,"")</f>
        <v>0</v>
      </c>
      <c r="AE450" t="s">
        <v>319</v>
      </c>
      <c r="AF450" t="s">
        <v>247</v>
      </c>
      <c r="AG450" s="2"/>
      <c r="AH450" s="35">
        <f>1-COS(RADIANS(TA[[#This Row],[Avg. Target Angle during Fault Time (Radians)]]-TA[[#This Row],[Angle of affected equipment ]]))</f>
        <v>0.11705240714107301</v>
      </c>
      <c r="AI450" s="27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43">
        <f t="shared" si="21"/>
        <v>2026</v>
      </c>
      <c r="C451" s="116">
        <f t="shared" si="22"/>
        <v>2025</v>
      </c>
      <c r="D451" s="2" t="s">
        <v>155</v>
      </c>
      <c r="E451" s="2" t="s">
        <v>155</v>
      </c>
      <c r="F451" s="30">
        <v>45748</v>
      </c>
      <c r="G451" s="2">
        <f>DAY(EOMONTH(TA[[#This Row],[Month Year]],0))</f>
        <v>30</v>
      </c>
      <c r="H451" s="21">
        <v>45775</v>
      </c>
      <c r="I451" s="32">
        <f>IFERROR(VLOOKUP(TA[[#This Row],[Date]],Raw_Data[[Date]:[Sunset Time (POA&lt;20 W/m2)]],3,0),"")</f>
        <v>0.25208333333333333</v>
      </c>
      <c r="J451" s="32">
        <f>IFERROR(VLOOKUP(TA[[#This Row],[Date]],Raw_Data[[Date]:[Sunset Time (POA&lt;20 W/m2)]],4,0),"")</f>
        <v>0.76527777777777772</v>
      </c>
      <c r="K451" s="27">
        <f>IFERROR((TA[[#This Row],[Sunset Time (POA&lt;20 W/m2)]]-TA[[#This Row],[Sunrise Time (POA&gt;20 W/m2)]])*24,"")</f>
        <v>12.316666666666666</v>
      </c>
      <c r="L451" s="2" t="s">
        <v>287</v>
      </c>
      <c r="M451" s="33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321</v>
      </c>
      <c r="Q451" s="2" t="s">
        <v>314</v>
      </c>
      <c r="R451">
        <v>30</v>
      </c>
      <c r="S451" s="2">
        <v>57</v>
      </c>
      <c r="T451" t="s">
        <v>288</v>
      </c>
      <c r="U451" t="s">
        <v>317</v>
      </c>
      <c r="V451" t="s">
        <v>292</v>
      </c>
      <c r="W451" s="32"/>
      <c r="X451" s="32"/>
      <c r="Y451" s="26"/>
      <c r="Z451" s="26"/>
      <c r="AA451" s="27">
        <f>IF(TA[[#This Row],[Work Start time on Fault]]="NA","",(TA[[#This Row],[Fault Acknowledgement Time ]]-TA[[#This Row],[Fault Time]])*24)</f>
        <v>0</v>
      </c>
      <c r="AB451" s="27">
        <f>(TA[[#This Row],[Work Start time on Fault]]-TA[[#This Row],[Fault Time]])*24</f>
        <v>0</v>
      </c>
      <c r="AC451" s="26">
        <f>(TA[[#This Row],[Work Completion time on fault]]-TA[[#This Row],[Fault Time]])*24</f>
        <v>0</v>
      </c>
      <c r="AD451" s="27">
        <f>IFERROR((TA[[#This Row],[Work Completion time on fault]]-TA[[#This Row],[Fault Time]])*24,"")</f>
        <v>0</v>
      </c>
      <c r="AE451" t="s">
        <v>319</v>
      </c>
      <c r="AF451" t="s">
        <v>247</v>
      </c>
      <c r="AG451" s="2"/>
      <c r="AH451" s="35">
        <f>1-COS(RADIANS(TA[[#This Row],[Avg. Target Angle during Fault Time (Radians)]]-TA[[#This Row],[Angle of affected equipment ]]))</f>
        <v>0.11705240714107301</v>
      </c>
      <c r="AI451" s="27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43">
        <f t="shared" si="21"/>
        <v>2026</v>
      </c>
      <c r="C452" s="116">
        <f t="shared" si="22"/>
        <v>2025</v>
      </c>
      <c r="D452" s="2" t="s">
        <v>155</v>
      </c>
      <c r="E452" s="2" t="s">
        <v>155</v>
      </c>
      <c r="F452" s="30">
        <v>45748</v>
      </c>
      <c r="G452" s="2">
        <f>DAY(EOMONTH(TA[[#This Row],[Month Year]],0))</f>
        <v>30</v>
      </c>
      <c r="H452" s="21">
        <v>45775</v>
      </c>
      <c r="I452" s="32">
        <f>IFERROR(VLOOKUP(TA[[#This Row],[Date]],Raw_Data[[Date]:[Sunset Time (POA&lt;20 W/m2)]],3,0),"")</f>
        <v>0.25208333333333333</v>
      </c>
      <c r="J452" s="32">
        <f>IFERROR(VLOOKUP(TA[[#This Row],[Date]],Raw_Data[[Date]:[Sunset Time (POA&lt;20 W/m2)]],4,0),"")</f>
        <v>0.76527777777777772</v>
      </c>
      <c r="K452" s="27">
        <f>IFERROR((TA[[#This Row],[Sunset Time (POA&lt;20 W/m2)]]-TA[[#This Row],[Sunrise Time (POA&gt;20 W/m2)]])*24,"")</f>
        <v>12.316666666666666</v>
      </c>
      <c r="L452" s="2" t="s">
        <v>287</v>
      </c>
      <c r="M452" s="33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321</v>
      </c>
      <c r="Q452" s="2" t="s">
        <v>314</v>
      </c>
      <c r="R452">
        <v>31</v>
      </c>
      <c r="S452" s="2">
        <v>61</v>
      </c>
      <c r="T452" t="s">
        <v>288</v>
      </c>
      <c r="U452" t="s">
        <v>317</v>
      </c>
      <c r="V452" t="s">
        <v>292</v>
      </c>
      <c r="W452" s="32"/>
      <c r="X452" s="32"/>
      <c r="Y452" s="26"/>
      <c r="Z452" s="26"/>
      <c r="AA452" s="27">
        <f>IF(TA[[#This Row],[Work Start time on Fault]]="NA","",(TA[[#This Row],[Fault Acknowledgement Time ]]-TA[[#This Row],[Fault Time]])*24)</f>
        <v>0</v>
      </c>
      <c r="AB452" s="27">
        <f>(TA[[#This Row],[Work Start time on Fault]]-TA[[#This Row],[Fault Time]])*24</f>
        <v>0</v>
      </c>
      <c r="AC452" s="26">
        <f>(TA[[#This Row],[Work Completion time on fault]]-TA[[#This Row],[Fault Time]])*24</f>
        <v>0</v>
      </c>
      <c r="AD452" s="27">
        <f>IFERROR((TA[[#This Row],[Work Completion time on fault]]-TA[[#This Row],[Fault Time]])*24,"")</f>
        <v>0</v>
      </c>
      <c r="AE452" t="s">
        <v>319</v>
      </c>
      <c r="AF452" t="s">
        <v>247</v>
      </c>
      <c r="AG452" s="2"/>
      <c r="AH452" s="35">
        <f>1-COS(RADIANS(TA[[#This Row],[Avg. Target Angle during Fault Time (Radians)]]-TA[[#This Row],[Angle of affected equipment ]]))</f>
        <v>0.11705240714107301</v>
      </c>
      <c r="AI452" s="27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43">
        <f t="shared" ref="B453:B516" si="24">YEAR(H453)+IF(MONTH(H453)&gt;=4,1,0)</f>
        <v>2026</v>
      </c>
      <c r="C453" s="116">
        <f t="shared" ref="C453:C516" si="25">YEAR(H453)</f>
        <v>2025</v>
      </c>
      <c r="D453" s="2" t="s">
        <v>155</v>
      </c>
      <c r="E453" s="2" t="s">
        <v>155</v>
      </c>
      <c r="F453" s="30">
        <v>45748</v>
      </c>
      <c r="G453" s="2">
        <f>DAY(EOMONTH(TA[[#This Row],[Month Year]],0))</f>
        <v>30</v>
      </c>
      <c r="H453" s="21">
        <v>45775</v>
      </c>
      <c r="I453" s="32">
        <f>IFERROR(VLOOKUP(TA[[#This Row],[Date]],Raw_Data[[Date]:[Sunset Time (POA&lt;20 W/m2)]],3,0),"")</f>
        <v>0.25208333333333333</v>
      </c>
      <c r="J453" s="32">
        <f>IFERROR(VLOOKUP(TA[[#This Row],[Date]],Raw_Data[[Date]:[Sunset Time (POA&lt;20 W/m2)]],4,0),"")</f>
        <v>0.76527777777777772</v>
      </c>
      <c r="K453" s="27">
        <f>IFERROR((TA[[#This Row],[Sunset Time (POA&lt;20 W/m2)]]-TA[[#This Row],[Sunrise Time (POA&gt;20 W/m2)]])*24,"")</f>
        <v>12.316666666666666</v>
      </c>
      <c r="L453" s="2" t="s">
        <v>303</v>
      </c>
      <c r="M453" s="33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321</v>
      </c>
      <c r="Q453" s="2" t="s">
        <v>314</v>
      </c>
      <c r="R453">
        <v>26</v>
      </c>
      <c r="S453" s="2">
        <v>37</v>
      </c>
      <c r="T453" t="s">
        <v>288</v>
      </c>
      <c r="U453" t="s">
        <v>317</v>
      </c>
      <c r="V453" t="s">
        <v>292</v>
      </c>
      <c r="W453" s="32"/>
      <c r="X453" s="32"/>
      <c r="Y453" s="26"/>
      <c r="Z453" s="26"/>
      <c r="AA453" s="27">
        <f>IF(TA[[#This Row],[Work Start time on Fault]]="NA","",(TA[[#This Row],[Fault Acknowledgement Time ]]-TA[[#This Row],[Fault Time]])*24)</f>
        <v>0</v>
      </c>
      <c r="AB453" s="27">
        <f>(TA[[#This Row],[Work Start time on Fault]]-TA[[#This Row],[Fault Time]])*24</f>
        <v>0</v>
      </c>
      <c r="AC453" s="26">
        <f>(TA[[#This Row],[Work Completion time on fault]]-TA[[#This Row],[Fault Time]])*24</f>
        <v>0</v>
      </c>
      <c r="AD453" s="27">
        <f>IFERROR((TA[[#This Row],[Work Completion time on fault]]-TA[[#This Row],[Fault Time]])*24,"")</f>
        <v>0</v>
      </c>
      <c r="AE453" t="s">
        <v>319</v>
      </c>
      <c r="AF453" t="s">
        <v>247</v>
      </c>
      <c r="AG453" s="2"/>
      <c r="AH453" s="35">
        <f>1-COS(RADIANS(TA[[#This Row],[Avg. Target Angle during Fault Time (Radians)]]-TA[[#This Row],[Angle of affected equipment ]]))</f>
        <v>0.11705240714107301</v>
      </c>
      <c r="AI453" s="27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43">
        <f t="shared" si="24"/>
        <v>2026</v>
      </c>
      <c r="C454" s="116">
        <f t="shared" si="25"/>
        <v>2025</v>
      </c>
      <c r="D454" s="2" t="s">
        <v>155</v>
      </c>
      <c r="E454" s="2" t="s">
        <v>155</v>
      </c>
      <c r="F454" s="30">
        <v>45748</v>
      </c>
      <c r="G454" s="2">
        <f>DAY(EOMONTH(TA[[#This Row],[Month Year]],0))</f>
        <v>30</v>
      </c>
      <c r="H454" s="21">
        <v>45775</v>
      </c>
      <c r="I454" s="32">
        <f>IFERROR(VLOOKUP(TA[[#This Row],[Date]],Raw_Data[[Date]:[Sunset Time (POA&lt;20 W/m2)]],3,0),"")</f>
        <v>0.25208333333333333</v>
      </c>
      <c r="J454" s="32">
        <f>IFERROR(VLOOKUP(TA[[#This Row],[Date]],Raw_Data[[Date]:[Sunset Time (POA&lt;20 W/m2)]],4,0),"")</f>
        <v>0.76527777777777772</v>
      </c>
      <c r="K454" s="27">
        <f>IFERROR((TA[[#This Row],[Sunset Time (POA&lt;20 W/m2)]]-TA[[#This Row],[Sunrise Time (POA&gt;20 W/m2)]])*24,"")</f>
        <v>12.316666666666666</v>
      </c>
      <c r="L454" s="2" t="s">
        <v>303</v>
      </c>
      <c r="M454" s="33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321</v>
      </c>
      <c r="Q454" s="2" t="s">
        <v>314</v>
      </c>
      <c r="R454">
        <v>27</v>
      </c>
      <c r="S454" s="2">
        <v>42</v>
      </c>
      <c r="T454" t="s">
        <v>288</v>
      </c>
      <c r="U454" t="s">
        <v>317</v>
      </c>
      <c r="V454" t="s">
        <v>292</v>
      </c>
      <c r="W454" s="32">
        <f>IFERROR(VLOOKUP(TA[[#This Row],[Date]],Raw_Data[[Date]:[Sunset Time (POA&lt;20 W/m2)]],3,0),"")</f>
        <v>0.25208333333333333</v>
      </c>
      <c r="X454" s="32">
        <f>IFERROR(VLOOKUP(TA[[#This Row],[Date]],Raw_Data[[Date]:[Sunset Time (POA&lt;20 W/m2)]],3,0),"")</f>
        <v>0.25208333333333333</v>
      </c>
      <c r="Y454" s="26"/>
      <c r="Z454" s="26">
        <v>0.76041666666666663</v>
      </c>
      <c r="AA454" s="27">
        <f>IF(TA[[#This Row],[Work Start time on Fault]]="NA","",(TA[[#This Row],[Fault Acknowledgement Time ]]-TA[[#This Row],[Fault Time]])*24)</f>
        <v>0</v>
      </c>
      <c r="AB454" s="27">
        <f>(TA[[#This Row],[Work Start time on Fault]]-TA[[#This Row],[Fault Time]])*24</f>
        <v>-6.05</v>
      </c>
      <c r="AC454" s="26">
        <f>(TA[[#This Row],[Work Completion time on fault]]-TA[[#This Row],[Fault Time]])*24</f>
        <v>12.2</v>
      </c>
      <c r="AD454" s="27">
        <f>IFERROR((TA[[#This Row],[Work Completion time on fault]]-TA[[#This Row],[Fault Time]])*24,"")</f>
        <v>12.2</v>
      </c>
      <c r="AE454" t="s">
        <v>300</v>
      </c>
      <c r="AF454" t="s">
        <v>247</v>
      </c>
      <c r="AG454" s="2"/>
      <c r="AH454" s="35">
        <f>1-COS(RADIANS(TA[[#This Row],[Avg. Target Angle during Fault Time (Radians)]]-TA[[#This Row],[Angle of affected equipment ]]))</f>
        <v>0.11705240714107301</v>
      </c>
      <c r="AI454" s="27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43">
        <f t="shared" si="24"/>
        <v>2026</v>
      </c>
      <c r="C455" s="116">
        <f t="shared" si="25"/>
        <v>2025</v>
      </c>
      <c r="D455" s="2" t="s">
        <v>155</v>
      </c>
      <c r="E455" s="2" t="s">
        <v>155</v>
      </c>
      <c r="F455" s="30">
        <v>45748</v>
      </c>
      <c r="G455" s="2">
        <f>DAY(EOMONTH(TA[[#This Row],[Month Year]],0))</f>
        <v>30</v>
      </c>
      <c r="H455" s="21">
        <v>45776</v>
      </c>
      <c r="I455" s="32">
        <f>IFERROR(VLOOKUP(TA[[#This Row],[Date]],Raw_Data[[Date]:[Sunset Time (POA&lt;20 W/m2)]],3,0),"")</f>
        <v>0.25555555555555554</v>
      </c>
      <c r="J455" s="32">
        <f>IFERROR(VLOOKUP(TA[[#This Row],[Date]],Raw_Data[[Date]:[Sunset Time (POA&lt;20 W/m2)]],4,0),"")</f>
        <v>0.76527777777777772</v>
      </c>
      <c r="K455" s="27">
        <f>IFERROR((TA[[#This Row],[Sunset Time (POA&lt;20 W/m2)]]-TA[[#This Row],[Sunrise Time (POA&gt;20 W/m2)]])*24,"")</f>
        <v>12.233333333333333</v>
      </c>
      <c r="L455" s="2" t="s">
        <v>303</v>
      </c>
      <c r="M455" s="33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321</v>
      </c>
      <c r="Q455" s="2" t="s">
        <v>314</v>
      </c>
      <c r="R455">
        <v>27</v>
      </c>
      <c r="S455" s="2">
        <v>42</v>
      </c>
      <c r="T455" t="s">
        <v>288</v>
      </c>
      <c r="U455" t="s">
        <v>317</v>
      </c>
      <c r="V455" t="s">
        <v>292</v>
      </c>
      <c r="W455" s="32">
        <f>IFERROR(VLOOKUP(TA[[#This Row],[Date]],Raw_Data[[Date]:[Sunset Time (POA&lt;20 W/m2)]],3,0),"")</f>
        <v>0.25555555555555554</v>
      </c>
      <c r="X455" s="32">
        <f>IFERROR(VLOOKUP(TA[[#This Row],[Date]],Raw_Data[[Date]:[Sunset Time (POA&lt;20 W/m2)]],3,0),"")</f>
        <v>0.25555555555555554</v>
      </c>
      <c r="Y455" s="26"/>
      <c r="Z455" s="26">
        <v>0.76041666666666663</v>
      </c>
      <c r="AA455" s="27">
        <f>IF(TA[[#This Row],[Work Start time on Fault]]="NA","",(TA[[#This Row],[Fault Acknowledgement Time ]]-TA[[#This Row],[Fault Time]])*24)</f>
        <v>0</v>
      </c>
      <c r="AB455" s="27">
        <f>(TA[[#This Row],[Work Start time on Fault]]-TA[[#This Row],[Fault Time]])*24</f>
        <v>-6.1333333333333329</v>
      </c>
      <c r="AC455" s="26">
        <f>(TA[[#This Row],[Work Completion time on fault]]-TA[[#This Row],[Fault Time]])*24</f>
        <v>12.116666666666667</v>
      </c>
      <c r="AD455" s="27">
        <f>IFERROR((TA[[#This Row],[Work Completion time on fault]]-TA[[#This Row],[Fault Time]])*24,"")</f>
        <v>12.116666666666667</v>
      </c>
      <c r="AE455" t="s">
        <v>300</v>
      </c>
      <c r="AF455" t="s">
        <v>247</v>
      </c>
      <c r="AG455" s="2"/>
      <c r="AH455" s="35">
        <f>1-COS(RADIANS(TA[[#This Row],[Avg. Target Angle during Fault Time (Radians)]]-TA[[#This Row],[Angle of affected equipment ]]))</f>
        <v>0.11705240714107301</v>
      </c>
      <c r="AI455" s="27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43">
        <f t="shared" si="24"/>
        <v>2026</v>
      </c>
      <c r="C456" s="116">
        <f t="shared" si="25"/>
        <v>2025</v>
      </c>
      <c r="D456" s="2" t="s">
        <v>155</v>
      </c>
      <c r="E456" s="2" t="s">
        <v>155</v>
      </c>
      <c r="F456" s="30">
        <v>45748</v>
      </c>
      <c r="G456" s="2">
        <f>DAY(EOMONTH(TA[[#This Row],[Month Year]],0))</f>
        <v>30</v>
      </c>
      <c r="H456" s="21">
        <v>45776</v>
      </c>
      <c r="I456" s="32">
        <f>IFERROR(VLOOKUP(TA[[#This Row],[Date]],Raw_Data[[Date]:[Sunset Time (POA&lt;20 W/m2)]],3,0),"")</f>
        <v>0.25555555555555554</v>
      </c>
      <c r="J456" s="32">
        <f>IFERROR(VLOOKUP(TA[[#This Row],[Date]],Raw_Data[[Date]:[Sunset Time (POA&lt;20 W/m2)]],4,0),"")</f>
        <v>0.76527777777777772</v>
      </c>
      <c r="K456" s="27">
        <f>IFERROR((TA[[#This Row],[Sunset Time (POA&lt;20 W/m2)]]-TA[[#This Row],[Sunrise Time (POA&gt;20 W/m2)]])*24,"")</f>
        <v>12.233333333333333</v>
      </c>
      <c r="L456" s="2" t="s">
        <v>285</v>
      </c>
      <c r="M456" s="33">
        <f>IFERROR(VLOOKUP(TA[[#This Row],[Affected Equipment]],'Basic Data'!$I$2:$K$40,3,0),"")</f>
        <v>1.7241379310344799E-3</v>
      </c>
      <c r="N456">
        <v>-28</v>
      </c>
      <c r="O456" t="s">
        <v>135</v>
      </c>
      <c r="P456" s="114" t="s">
        <v>309</v>
      </c>
      <c r="Q456" s="113" t="s">
        <v>309</v>
      </c>
      <c r="R456">
        <v>130</v>
      </c>
      <c r="S456" s="2">
        <v>37</v>
      </c>
      <c r="T456" t="s">
        <v>286</v>
      </c>
      <c r="U456" t="s">
        <v>291</v>
      </c>
      <c r="V456" t="s">
        <v>289</v>
      </c>
      <c r="W456" s="32"/>
      <c r="X456" s="32"/>
      <c r="Y456" s="26"/>
      <c r="Z456" s="26"/>
      <c r="AA456" s="27">
        <f>IF(TA[[#This Row],[Work Start time on Fault]]="NA","",(TA[[#This Row],[Fault Acknowledgement Time ]]-TA[[#This Row],[Fault Time]])*24)</f>
        <v>0</v>
      </c>
      <c r="AB456" s="27">
        <f>(TA[[#This Row],[Work Start time on Fault]]-TA[[#This Row],[Fault Time]])*24</f>
        <v>0</v>
      </c>
      <c r="AC456" s="26">
        <f>(TA[[#This Row],[Work Completion time on fault]]-TA[[#This Row],[Fault Time]])*24</f>
        <v>0</v>
      </c>
      <c r="AD456" s="27">
        <f>IFERROR((TA[[#This Row],[Work Completion time on fault]]-TA[[#This Row],[Fault Time]])*24,"")</f>
        <v>0</v>
      </c>
      <c r="AE456" t="s">
        <v>319</v>
      </c>
      <c r="AF456" t="s">
        <v>247</v>
      </c>
      <c r="AG456" s="2"/>
      <c r="AH456" s="35">
        <f>1-COS(RADIANS(TA[[#This Row],[Avg. Target Angle during Fault Time (Radians)]]-TA[[#This Row],[Angle of affected equipment ]]))</f>
        <v>0.11705240714107301</v>
      </c>
      <c r="AI456" s="27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43">
        <f t="shared" si="24"/>
        <v>2026</v>
      </c>
      <c r="C457" s="116">
        <f t="shared" si="25"/>
        <v>2025</v>
      </c>
      <c r="D457" s="2" t="s">
        <v>155</v>
      </c>
      <c r="E457" s="2" t="s">
        <v>155</v>
      </c>
      <c r="F457" s="30">
        <v>45748</v>
      </c>
      <c r="G457" s="2">
        <f>DAY(EOMONTH(TA[[#This Row],[Month Year]],0))</f>
        <v>30</v>
      </c>
      <c r="H457" s="21">
        <v>45776</v>
      </c>
      <c r="I457" s="32">
        <f>IFERROR(VLOOKUP(TA[[#This Row],[Date]],Raw_Data[[Date]:[Sunset Time (POA&lt;20 W/m2)]],3,0),"")</f>
        <v>0.25555555555555554</v>
      </c>
      <c r="J457" s="32">
        <f>IFERROR(VLOOKUP(TA[[#This Row],[Date]],Raw_Data[[Date]:[Sunset Time (POA&lt;20 W/m2)]],4,0),"")</f>
        <v>0.76527777777777772</v>
      </c>
      <c r="K457" s="27">
        <f>IFERROR((TA[[#This Row],[Sunset Time (POA&lt;20 W/m2)]]-TA[[#This Row],[Sunrise Time (POA&gt;20 W/m2)]])*24,"")</f>
        <v>12.233333333333333</v>
      </c>
      <c r="L457" s="2" t="s">
        <v>285</v>
      </c>
      <c r="M457" s="33">
        <f>IFERROR(VLOOKUP(TA[[#This Row],[Affected Equipment]],'Basic Data'!$I$2:$K$40,3,0),"")</f>
        <v>1.7241379310344799E-3</v>
      </c>
      <c r="N457">
        <v>-28</v>
      </c>
      <c r="O457" t="s">
        <v>135</v>
      </c>
      <c r="P457" s="114" t="s">
        <v>309</v>
      </c>
      <c r="Q457" s="113" t="s">
        <v>309</v>
      </c>
      <c r="R457">
        <v>131</v>
      </c>
      <c r="S457" s="2">
        <v>38</v>
      </c>
      <c r="T457" t="s">
        <v>286</v>
      </c>
      <c r="U457" t="s">
        <v>291</v>
      </c>
      <c r="V457" t="s">
        <v>289</v>
      </c>
      <c r="W457" s="32"/>
      <c r="X457" s="32"/>
      <c r="Y457" s="26"/>
      <c r="Z457" s="26"/>
      <c r="AA457" s="27">
        <f>IF(TA[[#This Row],[Work Start time on Fault]]="NA","",(TA[[#This Row],[Fault Acknowledgement Time ]]-TA[[#This Row],[Fault Time]])*24)</f>
        <v>0</v>
      </c>
      <c r="AB457" s="27">
        <f>(TA[[#This Row],[Work Start time on Fault]]-TA[[#This Row],[Fault Time]])*24</f>
        <v>0</v>
      </c>
      <c r="AC457" s="26">
        <f>(TA[[#This Row],[Work Completion time on fault]]-TA[[#This Row],[Fault Time]])*24</f>
        <v>0</v>
      </c>
      <c r="AD457" s="27">
        <f>IFERROR((TA[[#This Row],[Work Completion time on fault]]-TA[[#This Row],[Fault Time]])*24,"")</f>
        <v>0</v>
      </c>
      <c r="AE457" t="s">
        <v>319</v>
      </c>
      <c r="AF457" t="s">
        <v>247</v>
      </c>
      <c r="AG457" s="2"/>
      <c r="AH457" s="35">
        <f>1-COS(RADIANS(TA[[#This Row],[Avg. Target Angle during Fault Time (Radians)]]-TA[[#This Row],[Angle of affected equipment ]]))</f>
        <v>0.11705240714107301</v>
      </c>
      <c r="AI457" s="27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43">
        <f t="shared" si="24"/>
        <v>2026</v>
      </c>
      <c r="C458" s="116">
        <f t="shared" si="25"/>
        <v>2025</v>
      </c>
      <c r="D458" s="2" t="s">
        <v>155</v>
      </c>
      <c r="E458" s="2" t="s">
        <v>155</v>
      </c>
      <c r="F458" s="30">
        <v>45748</v>
      </c>
      <c r="G458" s="2">
        <f>DAY(EOMONTH(TA[[#This Row],[Month Year]],0))</f>
        <v>30</v>
      </c>
      <c r="H458" s="21">
        <v>45776</v>
      </c>
      <c r="I458" s="32">
        <f>IFERROR(VLOOKUP(TA[[#This Row],[Date]],Raw_Data[[Date]:[Sunset Time (POA&lt;20 W/m2)]],3,0),"")</f>
        <v>0.25555555555555554</v>
      </c>
      <c r="J458" s="32">
        <f>IFERROR(VLOOKUP(TA[[#This Row],[Date]],Raw_Data[[Date]:[Sunset Time (POA&lt;20 W/m2)]],4,0),"")</f>
        <v>0.76527777777777772</v>
      </c>
      <c r="K458" s="27">
        <f>IFERROR((TA[[#This Row],[Sunset Time (POA&lt;20 W/m2)]]-TA[[#This Row],[Sunrise Time (POA&gt;20 W/m2)]])*24,"")</f>
        <v>12.233333333333333</v>
      </c>
      <c r="L458" s="2" t="s">
        <v>285</v>
      </c>
      <c r="M458" s="33">
        <f>IFERROR(VLOOKUP(TA[[#This Row],[Affected Equipment]],'Basic Data'!$I$2:$K$40,3,0),"")</f>
        <v>1.7241379310344799E-3</v>
      </c>
      <c r="N458">
        <v>-28</v>
      </c>
      <c r="O458" t="s">
        <v>135</v>
      </c>
      <c r="P458" s="114" t="s">
        <v>309</v>
      </c>
      <c r="Q458" s="113" t="s">
        <v>309</v>
      </c>
      <c r="R458">
        <v>131</v>
      </c>
      <c r="S458" s="2">
        <v>39</v>
      </c>
      <c r="T458" t="s">
        <v>286</v>
      </c>
      <c r="U458" t="s">
        <v>291</v>
      </c>
      <c r="V458" t="s">
        <v>289</v>
      </c>
      <c r="W458" s="32"/>
      <c r="X458" s="32"/>
      <c r="Y458" s="26"/>
      <c r="Z458" s="26"/>
      <c r="AA458" s="27">
        <f>IF(TA[[#This Row],[Work Start time on Fault]]="NA","",(TA[[#This Row],[Fault Acknowledgement Time ]]-TA[[#This Row],[Fault Time]])*24)</f>
        <v>0</v>
      </c>
      <c r="AB458" s="27">
        <f>(TA[[#This Row],[Work Start time on Fault]]-TA[[#This Row],[Fault Time]])*24</f>
        <v>0</v>
      </c>
      <c r="AC458" s="26">
        <f>(TA[[#This Row],[Work Completion time on fault]]-TA[[#This Row],[Fault Time]])*24</f>
        <v>0</v>
      </c>
      <c r="AD458" s="27">
        <f>IFERROR((TA[[#This Row],[Work Completion time on fault]]-TA[[#This Row],[Fault Time]])*24,"")</f>
        <v>0</v>
      </c>
      <c r="AE458" t="s">
        <v>319</v>
      </c>
      <c r="AF458" t="s">
        <v>247</v>
      </c>
      <c r="AG458" s="2"/>
      <c r="AH458" s="35">
        <f>1-COS(RADIANS(TA[[#This Row],[Avg. Target Angle during Fault Time (Radians)]]-TA[[#This Row],[Angle of affected equipment ]]))</f>
        <v>0.11705240714107301</v>
      </c>
      <c r="AI458" s="27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43">
        <f t="shared" si="24"/>
        <v>2026</v>
      </c>
      <c r="C459" s="116">
        <f t="shared" si="25"/>
        <v>2025</v>
      </c>
      <c r="D459" s="2" t="s">
        <v>155</v>
      </c>
      <c r="E459" s="2" t="s">
        <v>155</v>
      </c>
      <c r="F459" s="30">
        <v>45748</v>
      </c>
      <c r="G459" s="2">
        <f>DAY(EOMONTH(TA[[#This Row],[Month Year]],0))</f>
        <v>30</v>
      </c>
      <c r="H459" s="21">
        <v>45776</v>
      </c>
      <c r="I459" s="32">
        <f>IFERROR(VLOOKUP(TA[[#This Row],[Date]],Raw_Data[[Date]:[Sunset Time (POA&lt;20 W/m2)]],3,0),"")</f>
        <v>0.25555555555555554</v>
      </c>
      <c r="J459" s="32">
        <f>IFERROR(VLOOKUP(TA[[#This Row],[Date]],Raw_Data[[Date]:[Sunset Time (POA&lt;20 W/m2)]],4,0),"")</f>
        <v>0.76527777777777772</v>
      </c>
      <c r="K459" s="27">
        <f>IFERROR((TA[[#This Row],[Sunset Time (POA&lt;20 W/m2)]]-TA[[#This Row],[Sunrise Time (POA&gt;20 W/m2)]])*24,"")</f>
        <v>12.233333333333333</v>
      </c>
      <c r="L459" s="2" t="s">
        <v>287</v>
      </c>
      <c r="M459" s="33">
        <f>IFERROR(VLOOKUP(TA[[#This Row],[Affected Equipment]],'Basic Data'!$I$2:$K$40,3,0),"")</f>
        <v>8.6206896551724102E-3</v>
      </c>
      <c r="N459">
        <v>-28</v>
      </c>
      <c r="O459" t="s">
        <v>135</v>
      </c>
      <c r="P459" s="114" t="s">
        <v>309</v>
      </c>
      <c r="Q459" s="2" t="s">
        <v>312</v>
      </c>
      <c r="R459">
        <v>133</v>
      </c>
      <c r="S459" s="2">
        <v>26</v>
      </c>
      <c r="T459" t="s">
        <v>288</v>
      </c>
      <c r="U459" t="s">
        <v>291</v>
      </c>
      <c r="V459" t="s">
        <v>305</v>
      </c>
      <c r="W459" s="32">
        <f>IFERROR(VLOOKUP(TA[[#This Row],[Date]],Raw_Data[[Date]:[Sunset Time (POA&lt;20 W/m2)]],3,0),"")</f>
        <v>0.25555555555555554</v>
      </c>
      <c r="X459" s="32">
        <f>IFERROR(VLOOKUP(TA[[#This Row],[Date]],Raw_Data[[Date]:[Sunset Time (POA&lt;20 W/m2)]],3,0),"")</f>
        <v>0.25555555555555554</v>
      </c>
      <c r="Y459" s="26"/>
      <c r="Z459" s="26">
        <v>0.76041666666666663</v>
      </c>
      <c r="AA459" s="27">
        <f>IF(TA[[#This Row],[Work Start time on Fault]]="NA","",(TA[[#This Row],[Fault Acknowledgement Time ]]-TA[[#This Row],[Fault Time]])*24)</f>
        <v>0</v>
      </c>
      <c r="AB459" s="27">
        <f>(TA[[#This Row],[Work Start time on Fault]]-TA[[#This Row],[Fault Time]])*24</f>
        <v>-6.1333333333333329</v>
      </c>
      <c r="AC459" s="26">
        <f>(TA[[#This Row],[Work Completion time on fault]]-TA[[#This Row],[Fault Time]])*24</f>
        <v>12.116666666666667</v>
      </c>
      <c r="AD459" s="27">
        <f>IFERROR((TA[[#This Row],[Work Completion time on fault]]-TA[[#This Row],[Fault Time]])*24,"")</f>
        <v>12.116666666666667</v>
      </c>
      <c r="AE459" t="s">
        <v>319</v>
      </c>
      <c r="AF459" t="s">
        <v>247</v>
      </c>
      <c r="AG459" s="2"/>
      <c r="AH459" s="35">
        <f>1-COS(RADIANS(TA[[#This Row],[Avg. Target Angle during Fault Time (Radians)]]-TA[[#This Row],[Angle of affected equipment ]]))</f>
        <v>0.11705240714107301</v>
      </c>
      <c r="AI459" s="27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43">
        <f t="shared" si="24"/>
        <v>2026</v>
      </c>
      <c r="C460" s="116">
        <f t="shared" si="25"/>
        <v>2025</v>
      </c>
      <c r="D460" s="2" t="s">
        <v>155</v>
      </c>
      <c r="E460" s="2" t="s">
        <v>155</v>
      </c>
      <c r="F460" s="30">
        <v>45748</v>
      </c>
      <c r="G460" s="2">
        <f>DAY(EOMONTH(TA[[#This Row],[Month Year]],0))</f>
        <v>30</v>
      </c>
      <c r="H460" s="21">
        <v>45776</v>
      </c>
      <c r="I460" s="32">
        <f>IFERROR(VLOOKUP(TA[[#This Row],[Date]],Raw_Data[[Date]:[Sunset Time (POA&lt;20 W/m2)]],3,0),"")</f>
        <v>0.25555555555555554</v>
      </c>
      <c r="J460" s="32">
        <f>IFERROR(VLOOKUP(TA[[#This Row],[Date]],Raw_Data[[Date]:[Sunset Time (POA&lt;20 W/m2)]],4,0),"")</f>
        <v>0.76527777777777772</v>
      </c>
      <c r="K460" s="27">
        <f>IFERROR((TA[[#This Row],[Sunset Time (POA&lt;20 W/m2)]]-TA[[#This Row],[Sunrise Time (POA&gt;20 W/m2)]])*24,"")</f>
        <v>12.233333333333333</v>
      </c>
      <c r="L460" s="2" t="s">
        <v>285</v>
      </c>
      <c r="M460" s="33">
        <f>IFERROR(VLOOKUP(TA[[#This Row],[Affected Equipment]],'Basic Data'!$I$2:$K$40,3,0),"")</f>
        <v>1.7241379310344799E-3</v>
      </c>
      <c r="N460">
        <v>-28</v>
      </c>
      <c r="O460" t="s">
        <v>133</v>
      </c>
      <c r="P460" s="114" t="s">
        <v>307</v>
      </c>
      <c r="Q460" s="113" t="s">
        <v>308</v>
      </c>
      <c r="R460">
        <v>7</v>
      </c>
      <c r="S460" s="2">
        <v>32</v>
      </c>
      <c r="T460" t="s">
        <v>286</v>
      </c>
      <c r="U460" t="s">
        <v>291</v>
      </c>
      <c r="V460" t="s">
        <v>289</v>
      </c>
      <c r="W460" s="32"/>
      <c r="X460" s="32"/>
      <c r="Y460" s="26"/>
      <c r="Z460" s="26"/>
      <c r="AA460" s="27">
        <f>IF(TA[[#This Row],[Work Start time on Fault]]="NA","",(TA[[#This Row],[Fault Acknowledgement Time ]]-TA[[#This Row],[Fault Time]])*24)</f>
        <v>0</v>
      </c>
      <c r="AB460" s="27">
        <f>(TA[[#This Row],[Work Start time on Fault]]-TA[[#This Row],[Fault Time]])*24</f>
        <v>0</v>
      </c>
      <c r="AC460" s="26">
        <f>(TA[[#This Row],[Work Completion time on fault]]-TA[[#This Row],[Fault Time]])*24</f>
        <v>0</v>
      </c>
      <c r="AD460" s="27">
        <f>IFERROR((TA[[#This Row],[Work Completion time on fault]]-TA[[#This Row],[Fault Time]])*24,"")</f>
        <v>0</v>
      </c>
      <c r="AE460" t="s">
        <v>319</v>
      </c>
      <c r="AF460" t="s">
        <v>247</v>
      </c>
      <c r="AG460" s="2"/>
      <c r="AH460" s="35">
        <f>1-COS(RADIANS(TA[[#This Row],[Avg. Target Angle during Fault Time (Radians)]]-TA[[#This Row],[Angle of affected equipment ]]))</f>
        <v>0.11705240714107301</v>
      </c>
      <c r="AI460" s="27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43">
        <f t="shared" si="24"/>
        <v>2026</v>
      </c>
      <c r="C461" s="116">
        <f t="shared" si="25"/>
        <v>2025</v>
      </c>
      <c r="D461" s="2" t="s">
        <v>155</v>
      </c>
      <c r="E461" s="2" t="s">
        <v>155</v>
      </c>
      <c r="F461" s="30">
        <v>45748</v>
      </c>
      <c r="G461" s="2">
        <f>DAY(EOMONTH(TA[[#This Row],[Month Year]],0))</f>
        <v>30</v>
      </c>
      <c r="H461" s="21">
        <v>45776</v>
      </c>
      <c r="I461" s="32">
        <f>IFERROR(VLOOKUP(TA[[#This Row],[Date]],Raw_Data[[Date]:[Sunset Time (POA&lt;20 W/m2)]],3,0),"")</f>
        <v>0.25555555555555554</v>
      </c>
      <c r="J461" s="32">
        <f>IFERROR(VLOOKUP(TA[[#This Row],[Date]],Raw_Data[[Date]:[Sunset Time (POA&lt;20 W/m2)]],4,0),"")</f>
        <v>0.76527777777777772</v>
      </c>
      <c r="K461" s="27">
        <f>IFERROR((TA[[#This Row],[Sunset Time (POA&lt;20 W/m2)]]-TA[[#This Row],[Sunrise Time (POA&gt;20 W/m2)]])*24,"")</f>
        <v>12.233333333333333</v>
      </c>
      <c r="L461" s="2" t="s">
        <v>285</v>
      </c>
      <c r="M461" s="33">
        <f>IFERROR(VLOOKUP(TA[[#This Row],[Affected Equipment]],'Basic Data'!$I$2:$K$40,3,0),"")</f>
        <v>1.7241379310344799E-3</v>
      </c>
      <c r="N461">
        <v>-28</v>
      </c>
      <c r="O461" t="s">
        <v>137</v>
      </c>
      <c r="P461" s="114" t="s">
        <v>306</v>
      </c>
      <c r="Q461" s="113" t="s">
        <v>310</v>
      </c>
      <c r="R461">
        <v>166</v>
      </c>
      <c r="S461" s="2">
        <v>91</v>
      </c>
      <c r="T461" t="s">
        <v>286</v>
      </c>
      <c r="U461" t="s">
        <v>291</v>
      </c>
      <c r="V461" t="s">
        <v>289</v>
      </c>
      <c r="W461" s="32"/>
      <c r="X461" s="32"/>
      <c r="Y461" s="26"/>
      <c r="Z461" s="26"/>
      <c r="AA461" s="27">
        <f>IF(TA[[#This Row],[Work Start time on Fault]]="NA","",(TA[[#This Row],[Fault Acknowledgement Time ]]-TA[[#This Row],[Fault Time]])*24)</f>
        <v>0</v>
      </c>
      <c r="AB461" s="27">
        <f>(TA[[#This Row],[Work Start time on Fault]]-TA[[#This Row],[Fault Time]])*24</f>
        <v>0</v>
      </c>
      <c r="AC461" s="26">
        <f>(TA[[#This Row],[Work Completion time on fault]]-TA[[#This Row],[Fault Time]])*24</f>
        <v>0</v>
      </c>
      <c r="AD461" s="27">
        <f>IFERROR((TA[[#This Row],[Work Completion time on fault]]-TA[[#This Row],[Fault Time]])*24,"")</f>
        <v>0</v>
      </c>
      <c r="AE461" t="s">
        <v>319</v>
      </c>
      <c r="AF461" t="s">
        <v>247</v>
      </c>
      <c r="AG461" s="2"/>
      <c r="AH461" s="35">
        <f>1-COS(RADIANS(TA[[#This Row],[Avg. Target Angle during Fault Time (Radians)]]-TA[[#This Row],[Angle of affected equipment ]]))</f>
        <v>0.11705240714107301</v>
      </c>
      <c r="AI461" s="27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43">
        <f t="shared" si="24"/>
        <v>2026</v>
      </c>
      <c r="C462" s="116">
        <f t="shared" si="25"/>
        <v>2025</v>
      </c>
      <c r="D462" s="2" t="s">
        <v>155</v>
      </c>
      <c r="E462" s="2" t="s">
        <v>155</v>
      </c>
      <c r="F462" s="30">
        <v>45748</v>
      </c>
      <c r="G462" s="2">
        <f>DAY(EOMONTH(TA[[#This Row],[Month Year]],0))</f>
        <v>30</v>
      </c>
      <c r="H462" s="21">
        <v>45776</v>
      </c>
      <c r="I462" s="32">
        <f>IFERROR(VLOOKUP(TA[[#This Row],[Date]],Raw_Data[[Date]:[Sunset Time (POA&lt;20 W/m2)]],3,0),"")</f>
        <v>0.25555555555555554</v>
      </c>
      <c r="J462" s="32">
        <f>IFERROR(VLOOKUP(TA[[#This Row],[Date]],Raw_Data[[Date]:[Sunset Time (POA&lt;20 W/m2)]],4,0),"")</f>
        <v>0.76527777777777772</v>
      </c>
      <c r="K462" s="27">
        <f>IFERROR((TA[[#This Row],[Sunset Time (POA&lt;20 W/m2)]]-TA[[#This Row],[Sunrise Time (POA&gt;20 W/m2)]])*24,"")</f>
        <v>12.233333333333333</v>
      </c>
      <c r="L462" s="2" t="s">
        <v>285</v>
      </c>
      <c r="M462" s="33">
        <f>IFERROR(VLOOKUP(TA[[#This Row],[Affected Equipment]],'Basic Data'!$I$2:$K$40,3,0),"")</f>
        <v>1.7241379310344799E-3</v>
      </c>
      <c r="N462">
        <v>-28</v>
      </c>
      <c r="O462" t="s">
        <v>133</v>
      </c>
      <c r="P462" s="114" t="s">
        <v>307</v>
      </c>
      <c r="Q462" s="113" t="s">
        <v>307</v>
      </c>
      <c r="R462">
        <v>117</v>
      </c>
      <c r="S462" s="2">
        <v>20</v>
      </c>
      <c r="T462" t="s">
        <v>286</v>
      </c>
      <c r="U462" t="s">
        <v>291</v>
      </c>
      <c r="V462" t="s">
        <v>289</v>
      </c>
      <c r="W462" s="32"/>
      <c r="X462" s="32"/>
      <c r="Y462" s="26"/>
      <c r="Z462" s="26"/>
      <c r="AA462" s="27">
        <f>IF(TA[[#This Row],[Work Start time on Fault]]="NA","",(TA[[#This Row],[Fault Acknowledgement Time ]]-TA[[#This Row],[Fault Time]])*24)</f>
        <v>0</v>
      </c>
      <c r="AB462" s="27">
        <f>(TA[[#This Row],[Work Start time on Fault]]-TA[[#This Row],[Fault Time]])*24</f>
        <v>0</v>
      </c>
      <c r="AC462" s="26">
        <f>(TA[[#This Row],[Work Completion time on fault]]-TA[[#This Row],[Fault Time]])*24</f>
        <v>0</v>
      </c>
      <c r="AD462" s="27">
        <f>IFERROR((TA[[#This Row],[Work Completion time on fault]]-TA[[#This Row],[Fault Time]])*24,"")</f>
        <v>0</v>
      </c>
      <c r="AE462" t="s">
        <v>319</v>
      </c>
      <c r="AF462" t="s">
        <v>247</v>
      </c>
      <c r="AG462" s="2"/>
      <c r="AH462" s="35">
        <f>1-COS(RADIANS(TA[[#This Row],[Avg. Target Angle during Fault Time (Radians)]]-TA[[#This Row],[Angle of affected equipment ]]))</f>
        <v>0.11705240714107301</v>
      </c>
      <c r="AI462" s="27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43">
        <f t="shared" si="24"/>
        <v>2026</v>
      </c>
      <c r="C463" s="116">
        <f t="shared" si="25"/>
        <v>2025</v>
      </c>
      <c r="D463" s="2" t="s">
        <v>155</v>
      </c>
      <c r="E463" s="2" t="s">
        <v>155</v>
      </c>
      <c r="F463" s="30">
        <v>45748</v>
      </c>
      <c r="G463" s="2">
        <f>DAY(EOMONTH(TA[[#This Row],[Month Year]],0))</f>
        <v>30</v>
      </c>
      <c r="H463" s="21">
        <v>45776</v>
      </c>
      <c r="I463" s="32">
        <f>IFERROR(VLOOKUP(TA[[#This Row],[Date]],Raw_Data[[Date]:[Sunset Time (POA&lt;20 W/m2)]],3,0),"")</f>
        <v>0.25555555555555554</v>
      </c>
      <c r="J463" s="32">
        <f>IFERROR(VLOOKUP(TA[[#This Row],[Date]],Raw_Data[[Date]:[Sunset Time (POA&lt;20 W/m2)]],4,0),"")</f>
        <v>0.76527777777777772</v>
      </c>
      <c r="K463" s="27">
        <f>IFERROR((TA[[#This Row],[Sunset Time (POA&lt;20 W/m2)]]-TA[[#This Row],[Sunrise Time (POA&gt;20 W/m2)]])*24,"")</f>
        <v>12.233333333333333</v>
      </c>
      <c r="L463" s="2" t="s">
        <v>285</v>
      </c>
      <c r="M463" s="33">
        <f>IFERROR(VLOOKUP(TA[[#This Row],[Affected Equipment]],'Basic Data'!$I$2:$K$40,3,0),"")</f>
        <v>1.7241379310344799E-3</v>
      </c>
      <c r="N463">
        <v>-28</v>
      </c>
      <c r="O463" t="s">
        <v>133</v>
      </c>
      <c r="P463" s="114" t="s">
        <v>307</v>
      </c>
      <c r="Q463" s="113" t="s">
        <v>307</v>
      </c>
      <c r="R463">
        <v>118</v>
      </c>
      <c r="S463" s="2">
        <v>22</v>
      </c>
      <c r="T463" t="s">
        <v>286</v>
      </c>
      <c r="U463" t="s">
        <v>291</v>
      </c>
      <c r="V463" t="s">
        <v>289</v>
      </c>
      <c r="W463" s="32"/>
      <c r="X463" s="32"/>
      <c r="Y463" s="26"/>
      <c r="Z463" s="26"/>
      <c r="AA463" s="27">
        <f>IF(TA[[#This Row],[Work Start time on Fault]]="NA","",(TA[[#This Row],[Fault Acknowledgement Time ]]-TA[[#This Row],[Fault Time]])*24)</f>
        <v>0</v>
      </c>
      <c r="AB463" s="27">
        <f>(TA[[#This Row],[Work Start time on Fault]]-TA[[#This Row],[Fault Time]])*24</f>
        <v>0</v>
      </c>
      <c r="AC463" s="26">
        <f>(TA[[#This Row],[Work Completion time on fault]]-TA[[#This Row],[Fault Time]])*24</f>
        <v>0</v>
      </c>
      <c r="AD463" s="27">
        <f>IFERROR((TA[[#This Row],[Work Completion time on fault]]-TA[[#This Row],[Fault Time]])*24,"")</f>
        <v>0</v>
      </c>
      <c r="AE463" t="s">
        <v>319</v>
      </c>
      <c r="AF463" t="s">
        <v>247</v>
      </c>
      <c r="AG463" s="2"/>
      <c r="AH463" s="35">
        <f>1-COS(RADIANS(TA[[#This Row],[Avg. Target Angle during Fault Time (Radians)]]-TA[[#This Row],[Angle of affected equipment ]]))</f>
        <v>0.11705240714107301</v>
      </c>
      <c r="AI463" s="27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43">
        <f t="shared" si="24"/>
        <v>2026</v>
      </c>
      <c r="C464" s="116">
        <f t="shared" si="25"/>
        <v>2025</v>
      </c>
      <c r="D464" s="2" t="s">
        <v>155</v>
      </c>
      <c r="E464" s="2" t="s">
        <v>155</v>
      </c>
      <c r="F464" s="30">
        <v>45748</v>
      </c>
      <c r="G464" s="2">
        <f>DAY(EOMONTH(TA[[#This Row],[Month Year]],0))</f>
        <v>30</v>
      </c>
      <c r="H464" s="21">
        <v>45776</v>
      </c>
      <c r="I464" s="32">
        <f>IFERROR(VLOOKUP(TA[[#This Row],[Date]],Raw_Data[[Date]:[Sunset Time (POA&lt;20 W/m2)]],3,0),"")</f>
        <v>0.25555555555555554</v>
      </c>
      <c r="J464" s="32">
        <f>IFERROR(VLOOKUP(TA[[#This Row],[Date]],Raw_Data[[Date]:[Sunset Time (POA&lt;20 W/m2)]],4,0),"")</f>
        <v>0.76527777777777772</v>
      </c>
      <c r="K464" s="27">
        <f>IFERROR((TA[[#This Row],[Sunset Time (POA&lt;20 W/m2)]]-TA[[#This Row],[Sunrise Time (POA&gt;20 W/m2)]])*24,"")</f>
        <v>12.233333333333333</v>
      </c>
      <c r="L464" s="2" t="s">
        <v>287</v>
      </c>
      <c r="M464" s="33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314</v>
      </c>
      <c r="Q464" s="2" t="s">
        <v>320</v>
      </c>
      <c r="R464">
        <v>45</v>
      </c>
      <c r="S464" s="2">
        <v>8</v>
      </c>
      <c r="T464" t="s">
        <v>288</v>
      </c>
      <c r="U464" t="s">
        <v>317</v>
      </c>
      <c r="V464" t="s">
        <v>292</v>
      </c>
      <c r="W464" s="32"/>
      <c r="X464" s="32"/>
      <c r="Y464" s="26"/>
      <c r="Z464" s="26"/>
      <c r="AA464" s="27">
        <f>IF(TA[[#This Row],[Work Start time on Fault]]="NA","",(TA[[#This Row],[Fault Acknowledgement Time ]]-TA[[#This Row],[Fault Time]])*24)</f>
        <v>0</v>
      </c>
      <c r="AB464" s="27">
        <f>(TA[[#This Row],[Work Start time on Fault]]-TA[[#This Row],[Fault Time]])*24</f>
        <v>0</v>
      </c>
      <c r="AC464" s="26">
        <f>(TA[[#This Row],[Work Completion time on fault]]-TA[[#This Row],[Fault Time]])*24</f>
        <v>0</v>
      </c>
      <c r="AD464" s="27">
        <f>IFERROR((TA[[#This Row],[Work Completion time on fault]]-TA[[#This Row],[Fault Time]])*24,"")</f>
        <v>0</v>
      </c>
      <c r="AE464" t="s">
        <v>319</v>
      </c>
      <c r="AF464" t="s">
        <v>247</v>
      </c>
      <c r="AG464" s="2"/>
      <c r="AH464" s="35">
        <f>1-COS(RADIANS(TA[[#This Row],[Avg. Target Angle during Fault Time (Radians)]]-TA[[#This Row],[Angle of affected equipment ]]))</f>
        <v>0.11705240714107301</v>
      </c>
      <c r="AI464" s="27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43">
        <f t="shared" si="24"/>
        <v>2026</v>
      </c>
      <c r="C465" s="116">
        <f t="shared" si="25"/>
        <v>2025</v>
      </c>
      <c r="D465" s="2" t="s">
        <v>155</v>
      </c>
      <c r="E465" s="2" t="s">
        <v>155</v>
      </c>
      <c r="F465" s="30">
        <v>45748</v>
      </c>
      <c r="G465" s="2">
        <f>DAY(EOMONTH(TA[[#This Row],[Month Year]],0))</f>
        <v>30</v>
      </c>
      <c r="H465" s="21">
        <v>45776</v>
      </c>
      <c r="I465" s="32">
        <f>IFERROR(VLOOKUP(TA[[#This Row],[Date]],Raw_Data[[Date]:[Sunset Time (POA&lt;20 W/m2)]],3,0),"")</f>
        <v>0.25555555555555554</v>
      </c>
      <c r="J465" s="32">
        <f>IFERROR(VLOOKUP(TA[[#This Row],[Date]],Raw_Data[[Date]:[Sunset Time (POA&lt;20 W/m2)]],4,0),"")</f>
        <v>0.76527777777777772</v>
      </c>
      <c r="K465" s="27">
        <f>IFERROR((TA[[#This Row],[Sunset Time (POA&lt;20 W/m2)]]-TA[[#This Row],[Sunrise Time (POA&gt;20 W/m2)]])*24,"")</f>
        <v>12.233333333333333</v>
      </c>
      <c r="L465" s="2" t="s">
        <v>287</v>
      </c>
      <c r="M465" s="33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314</v>
      </c>
      <c r="Q465" s="2" t="s">
        <v>320</v>
      </c>
      <c r="R465">
        <v>47</v>
      </c>
      <c r="S465" s="2">
        <v>18</v>
      </c>
      <c r="T465" t="s">
        <v>288</v>
      </c>
      <c r="U465" t="s">
        <v>317</v>
      </c>
      <c r="V465" t="s">
        <v>292</v>
      </c>
      <c r="W465" s="32"/>
      <c r="X465" s="32"/>
      <c r="Y465" s="26"/>
      <c r="Z465" s="26"/>
      <c r="AA465" s="27">
        <f>IF(TA[[#This Row],[Work Start time on Fault]]="NA","",(TA[[#This Row],[Fault Acknowledgement Time ]]-TA[[#This Row],[Fault Time]])*24)</f>
        <v>0</v>
      </c>
      <c r="AB465" s="27">
        <f>(TA[[#This Row],[Work Start time on Fault]]-TA[[#This Row],[Fault Time]])*24</f>
        <v>0</v>
      </c>
      <c r="AC465" s="26">
        <f>(TA[[#This Row],[Work Completion time on fault]]-TA[[#This Row],[Fault Time]])*24</f>
        <v>0</v>
      </c>
      <c r="AD465" s="27">
        <f>IFERROR((TA[[#This Row],[Work Completion time on fault]]-TA[[#This Row],[Fault Time]])*24,"")</f>
        <v>0</v>
      </c>
      <c r="AE465" t="s">
        <v>319</v>
      </c>
      <c r="AF465" t="s">
        <v>247</v>
      </c>
      <c r="AG465" s="2"/>
      <c r="AH465" s="35">
        <f>1-COS(RADIANS(TA[[#This Row],[Avg. Target Angle during Fault Time (Radians)]]-TA[[#This Row],[Angle of affected equipment ]]))</f>
        <v>0.11705240714107301</v>
      </c>
      <c r="AI465" s="27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43">
        <f t="shared" si="24"/>
        <v>2026</v>
      </c>
      <c r="C466" s="116">
        <f t="shared" si="25"/>
        <v>2025</v>
      </c>
      <c r="D466" s="2" t="s">
        <v>155</v>
      </c>
      <c r="E466" s="2" t="s">
        <v>155</v>
      </c>
      <c r="F466" s="30">
        <v>45748</v>
      </c>
      <c r="G466" s="2">
        <f>DAY(EOMONTH(TA[[#This Row],[Month Year]],0))</f>
        <v>30</v>
      </c>
      <c r="H466" s="21">
        <v>45776</v>
      </c>
      <c r="I466" s="32">
        <f>IFERROR(VLOOKUP(TA[[#This Row],[Date]],Raw_Data[[Date]:[Sunset Time (POA&lt;20 W/m2)]],3,0),"")</f>
        <v>0.25555555555555554</v>
      </c>
      <c r="J466" s="32">
        <f>IFERROR(VLOOKUP(TA[[#This Row],[Date]],Raw_Data[[Date]:[Sunset Time (POA&lt;20 W/m2)]],4,0),"")</f>
        <v>0.76527777777777772</v>
      </c>
      <c r="K466" s="27">
        <f>IFERROR((TA[[#This Row],[Sunset Time (POA&lt;20 W/m2)]]-TA[[#This Row],[Sunrise Time (POA&gt;20 W/m2)]])*24,"")</f>
        <v>12.233333333333333</v>
      </c>
      <c r="L466" s="2" t="s">
        <v>287</v>
      </c>
      <c r="M466" s="33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321</v>
      </c>
      <c r="Q466" s="2" t="s">
        <v>314</v>
      </c>
      <c r="R466">
        <v>30</v>
      </c>
      <c r="S466" s="2">
        <v>57</v>
      </c>
      <c r="T466" t="s">
        <v>288</v>
      </c>
      <c r="U466" t="s">
        <v>317</v>
      </c>
      <c r="V466" t="s">
        <v>292</v>
      </c>
      <c r="W466" s="32"/>
      <c r="X466" s="32"/>
      <c r="Y466" s="26"/>
      <c r="Z466" s="26"/>
      <c r="AA466" s="27">
        <f>IF(TA[[#This Row],[Work Start time on Fault]]="NA","",(TA[[#This Row],[Fault Acknowledgement Time ]]-TA[[#This Row],[Fault Time]])*24)</f>
        <v>0</v>
      </c>
      <c r="AB466" s="27">
        <f>(TA[[#This Row],[Work Start time on Fault]]-TA[[#This Row],[Fault Time]])*24</f>
        <v>0</v>
      </c>
      <c r="AC466" s="26">
        <f>(TA[[#This Row],[Work Completion time on fault]]-TA[[#This Row],[Fault Time]])*24</f>
        <v>0</v>
      </c>
      <c r="AD466" s="27">
        <f>IFERROR((TA[[#This Row],[Work Completion time on fault]]-TA[[#This Row],[Fault Time]])*24,"")</f>
        <v>0</v>
      </c>
      <c r="AE466" t="s">
        <v>319</v>
      </c>
      <c r="AF466" t="s">
        <v>247</v>
      </c>
      <c r="AG466" s="2"/>
      <c r="AH466" s="35">
        <f>1-COS(RADIANS(TA[[#This Row],[Avg. Target Angle during Fault Time (Radians)]]-TA[[#This Row],[Angle of affected equipment ]]))</f>
        <v>0.11705240714107301</v>
      </c>
      <c r="AI466" s="27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43">
        <f t="shared" si="24"/>
        <v>2026</v>
      </c>
      <c r="C467" s="116">
        <f t="shared" si="25"/>
        <v>2025</v>
      </c>
      <c r="D467" s="2" t="s">
        <v>155</v>
      </c>
      <c r="E467" s="2" t="s">
        <v>155</v>
      </c>
      <c r="F467" s="30">
        <v>45748</v>
      </c>
      <c r="G467" s="2">
        <f>DAY(EOMONTH(TA[[#This Row],[Month Year]],0))</f>
        <v>30</v>
      </c>
      <c r="H467" s="21">
        <v>45776</v>
      </c>
      <c r="I467" s="32">
        <f>IFERROR(VLOOKUP(TA[[#This Row],[Date]],Raw_Data[[Date]:[Sunset Time (POA&lt;20 W/m2)]],3,0),"")</f>
        <v>0.25555555555555554</v>
      </c>
      <c r="J467" s="32">
        <f>IFERROR(VLOOKUP(TA[[#This Row],[Date]],Raw_Data[[Date]:[Sunset Time (POA&lt;20 W/m2)]],4,0),"")</f>
        <v>0.76527777777777772</v>
      </c>
      <c r="K467" s="27">
        <f>IFERROR((TA[[#This Row],[Sunset Time (POA&lt;20 W/m2)]]-TA[[#This Row],[Sunrise Time (POA&gt;20 W/m2)]])*24,"")</f>
        <v>12.233333333333333</v>
      </c>
      <c r="L467" s="2" t="s">
        <v>287</v>
      </c>
      <c r="M467" s="33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321</v>
      </c>
      <c r="Q467" s="2" t="s">
        <v>314</v>
      </c>
      <c r="R467">
        <v>31</v>
      </c>
      <c r="S467" s="2">
        <v>61</v>
      </c>
      <c r="T467" t="s">
        <v>288</v>
      </c>
      <c r="U467" t="s">
        <v>317</v>
      </c>
      <c r="V467" t="s">
        <v>292</v>
      </c>
      <c r="W467" s="32"/>
      <c r="X467" s="32"/>
      <c r="Y467" s="26"/>
      <c r="Z467" s="26"/>
      <c r="AA467" s="27">
        <f>IF(TA[[#This Row],[Work Start time on Fault]]="NA","",(TA[[#This Row],[Fault Acknowledgement Time ]]-TA[[#This Row],[Fault Time]])*24)</f>
        <v>0</v>
      </c>
      <c r="AB467" s="27">
        <f>(TA[[#This Row],[Work Start time on Fault]]-TA[[#This Row],[Fault Time]])*24</f>
        <v>0</v>
      </c>
      <c r="AC467" s="26">
        <f>(TA[[#This Row],[Work Completion time on fault]]-TA[[#This Row],[Fault Time]])*24</f>
        <v>0</v>
      </c>
      <c r="AD467" s="27">
        <f>IFERROR((TA[[#This Row],[Work Completion time on fault]]-TA[[#This Row],[Fault Time]])*24,"")</f>
        <v>0</v>
      </c>
      <c r="AE467" t="s">
        <v>319</v>
      </c>
      <c r="AF467" t="s">
        <v>247</v>
      </c>
      <c r="AG467" s="2"/>
      <c r="AH467" s="35">
        <f>1-COS(RADIANS(TA[[#This Row],[Avg. Target Angle during Fault Time (Radians)]]-TA[[#This Row],[Angle of affected equipment ]]))</f>
        <v>0.11705240714107301</v>
      </c>
      <c r="AI467" s="27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43">
        <f t="shared" si="24"/>
        <v>2026</v>
      </c>
      <c r="C468" s="116">
        <f t="shared" si="25"/>
        <v>2025</v>
      </c>
      <c r="D468" s="2" t="s">
        <v>155</v>
      </c>
      <c r="E468" s="2" t="s">
        <v>155</v>
      </c>
      <c r="F468" s="30">
        <v>45748</v>
      </c>
      <c r="G468" s="2">
        <f>DAY(EOMONTH(TA[[#This Row],[Month Year]],0))</f>
        <v>30</v>
      </c>
      <c r="H468" s="21">
        <v>45776</v>
      </c>
      <c r="I468" s="32">
        <f>IFERROR(VLOOKUP(TA[[#This Row],[Date]],Raw_Data[[Date]:[Sunset Time (POA&lt;20 W/m2)]],3,0),"")</f>
        <v>0.25555555555555554</v>
      </c>
      <c r="J468" s="32">
        <f>IFERROR(VLOOKUP(TA[[#This Row],[Date]],Raw_Data[[Date]:[Sunset Time (POA&lt;20 W/m2)]],4,0),"")</f>
        <v>0.76527777777777772</v>
      </c>
      <c r="K468" s="27">
        <f>IFERROR((TA[[#This Row],[Sunset Time (POA&lt;20 W/m2)]]-TA[[#This Row],[Sunrise Time (POA&gt;20 W/m2)]])*24,"")</f>
        <v>12.233333333333333</v>
      </c>
      <c r="L468" s="2" t="s">
        <v>303</v>
      </c>
      <c r="M468" s="33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321</v>
      </c>
      <c r="Q468" s="2" t="s">
        <v>314</v>
      </c>
      <c r="R468">
        <v>26</v>
      </c>
      <c r="S468" s="2">
        <v>37</v>
      </c>
      <c r="T468" t="s">
        <v>288</v>
      </c>
      <c r="U468" t="s">
        <v>317</v>
      </c>
      <c r="V468" t="s">
        <v>292</v>
      </c>
      <c r="W468" s="32"/>
      <c r="X468" s="32"/>
      <c r="Y468" s="26"/>
      <c r="Z468" s="26"/>
      <c r="AA468" s="27">
        <f>IF(TA[[#This Row],[Work Start time on Fault]]="NA","",(TA[[#This Row],[Fault Acknowledgement Time ]]-TA[[#This Row],[Fault Time]])*24)</f>
        <v>0</v>
      </c>
      <c r="AB468" s="27">
        <f>(TA[[#This Row],[Work Start time on Fault]]-TA[[#This Row],[Fault Time]])*24</f>
        <v>0</v>
      </c>
      <c r="AC468" s="26">
        <f>(TA[[#This Row],[Work Completion time on fault]]-TA[[#This Row],[Fault Time]])*24</f>
        <v>0</v>
      </c>
      <c r="AD468" s="27">
        <f>IFERROR((TA[[#This Row],[Work Completion time on fault]]-TA[[#This Row],[Fault Time]])*24,"")</f>
        <v>0</v>
      </c>
      <c r="AE468" t="s">
        <v>319</v>
      </c>
      <c r="AF468" t="s">
        <v>247</v>
      </c>
      <c r="AG468" s="2"/>
      <c r="AH468" s="35">
        <f>1-COS(RADIANS(TA[[#This Row],[Avg. Target Angle during Fault Time (Radians)]]-TA[[#This Row],[Angle of affected equipment ]]))</f>
        <v>0.11705240714107301</v>
      </c>
      <c r="AI468" s="27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43">
        <f t="shared" si="24"/>
        <v>2026</v>
      </c>
      <c r="C469" s="116">
        <f t="shared" si="25"/>
        <v>2025</v>
      </c>
      <c r="D469" s="2" t="s">
        <v>155</v>
      </c>
      <c r="E469" s="2" t="s">
        <v>155</v>
      </c>
      <c r="F469" s="30">
        <v>45748</v>
      </c>
      <c r="G469" s="2">
        <f>DAY(EOMONTH(TA[[#This Row],[Month Year]],0))</f>
        <v>30</v>
      </c>
      <c r="H469" s="21">
        <v>45776</v>
      </c>
      <c r="I469" s="32">
        <f>IFERROR(VLOOKUP(TA[[#This Row],[Date]],Raw_Data[[Date]:[Sunset Time (POA&lt;20 W/m2)]],3,0),"")</f>
        <v>0.25555555555555554</v>
      </c>
      <c r="J469" s="32">
        <f>IFERROR(VLOOKUP(TA[[#This Row],[Date]],Raw_Data[[Date]:[Sunset Time (POA&lt;20 W/m2)]],4,0),"")</f>
        <v>0.76527777777777772</v>
      </c>
      <c r="K469" s="27">
        <f>IFERROR((TA[[#This Row],[Sunset Time (POA&lt;20 W/m2)]]-TA[[#This Row],[Sunrise Time (POA&gt;20 W/m2)]])*24,"")</f>
        <v>12.233333333333333</v>
      </c>
      <c r="L469" s="2" t="s">
        <v>303</v>
      </c>
      <c r="M469" s="33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321</v>
      </c>
      <c r="Q469" s="2" t="s">
        <v>314</v>
      </c>
      <c r="R469">
        <v>27</v>
      </c>
      <c r="S469" s="2">
        <v>42</v>
      </c>
      <c r="T469" t="s">
        <v>288</v>
      </c>
      <c r="U469" t="s">
        <v>317</v>
      </c>
      <c r="V469" t="s">
        <v>292</v>
      </c>
      <c r="W469" s="32">
        <f>IFERROR(VLOOKUP(TA[[#This Row],[Date]],Raw_Data[[Date]:[Sunset Time (POA&lt;20 W/m2)]],3,0),"")</f>
        <v>0.25555555555555554</v>
      </c>
      <c r="X469" s="32">
        <f>IFERROR(VLOOKUP(TA[[#This Row],[Date]],Raw_Data[[Date]:[Sunset Time (POA&lt;20 W/m2)]],3,0),"")</f>
        <v>0.25555555555555554</v>
      </c>
      <c r="Y469" s="26"/>
      <c r="Z469" s="26">
        <v>0.76041666666666663</v>
      </c>
      <c r="AA469" s="27">
        <f>IF(TA[[#This Row],[Work Start time on Fault]]="NA","",(TA[[#This Row],[Fault Acknowledgement Time ]]-TA[[#This Row],[Fault Time]])*24)</f>
        <v>0</v>
      </c>
      <c r="AB469" s="27">
        <f>(TA[[#This Row],[Work Start time on Fault]]-TA[[#This Row],[Fault Time]])*24</f>
        <v>-6.1333333333333329</v>
      </c>
      <c r="AC469" s="26">
        <f>(TA[[#This Row],[Work Completion time on fault]]-TA[[#This Row],[Fault Time]])*24</f>
        <v>12.116666666666667</v>
      </c>
      <c r="AD469" s="27">
        <f>IFERROR((TA[[#This Row],[Work Completion time on fault]]-TA[[#This Row],[Fault Time]])*24,"")</f>
        <v>12.116666666666667</v>
      </c>
      <c r="AE469" t="s">
        <v>300</v>
      </c>
      <c r="AF469" t="s">
        <v>247</v>
      </c>
      <c r="AG469" s="2"/>
      <c r="AH469" s="35">
        <f>1-COS(RADIANS(TA[[#This Row],[Avg. Target Angle during Fault Time (Radians)]]-TA[[#This Row],[Angle of affected equipment ]]))</f>
        <v>0.11705240714107301</v>
      </c>
      <c r="AI469" s="27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43">
        <f t="shared" si="24"/>
        <v>2026</v>
      </c>
      <c r="C470" s="116">
        <f t="shared" si="25"/>
        <v>2025</v>
      </c>
      <c r="D470" s="2" t="s">
        <v>155</v>
      </c>
      <c r="E470" s="2" t="s">
        <v>155</v>
      </c>
      <c r="F470" s="30">
        <v>45748</v>
      </c>
      <c r="G470" s="2">
        <f>DAY(EOMONTH(TA[[#This Row],[Month Year]],0))</f>
        <v>30</v>
      </c>
      <c r="H470" s="21">
        <v>45777</v>
      </c>
      <c r="I470" s="32">
        <f>IFERROR(VLOOKUP(TA[[#This Row],[Date]],Raw_Data[[Date]:[Sunset Time (POA&lt;20 W/m2)]],3,0),"")</f>
        <v>0.25277777777777777</v>
      </c>
      <c r="J470" s="32">
        <f>IFERROR(VLOOKUP(TA[[#This Row],[Date]],Raw_Data[[Date]:[Sunset Time (POA&lt;20 W/m2)]],4,0),"")</f>
        <v>0.76944444444444449</v>
      </c>
      <c r="K470" s="27">
        <f>IFERROR((TA[[#This Row],[Sunset Time (POA&lt;20 W/m2)]]-TA[[#This Row],[Sunrise Time (POA&gt;20 W/m2)]])*24,"")</f>
        <v>12.400000000000002</v>
      </c>
      <c r="L470" s="2" t="s">
        <v>303</v>
      </c>
      <c r="M470" s="33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321</v>
      </c>
      <c r="Q470" s="2" t="s">
        <v>314</v>
      </c>
      <c r="R470">
        <v>27</v>
      </c>
      <c r="S470" s="2">
        <v>42</v>
      </c>
      <c r="T470" t="s">
        <v>288</v>
      </c>
      <c r="U470" t="s">
        <v>317</v>
      </c>
      <c r="V470" t="s">
        <v>292</v>
      </c>
      <c r="W470" s="32">
        <f>IFERROR(VLOOKUP(TA[[#This Row],[Date]],Raw_Data[[Date]:[Sunset Time (POA&lt;20 W/m2)]],3,0),"")</f>
        <v>0.25277777777777777</v>
      </c>
      <c r="X470" s="32">
        <f>IFERROR(VLOOKUP(TA[[#This Row],[Date]],Raw_Data[[Date]:[Sunset Time (POA&lt;20 W/m2)]],3,0),"")</f>
        <v>0.25277777777777777</v>
      </c>
      <c r="Y470" s="26"/>
      <c r="Z470" s="26">
        <v>0.76041666666666663</v>
      </c>
      <c r="AA470" s="27">
        <f>IF(TA[[#This Row],[Work Start time on Fault]]="NA","",(TA[[#This Row],[Fault Acknowledgement Time ]]-TA[[#This Row],[Fault Time]])*24)</f>
        <v>0</v>
      </c>
      <c r="AB470" s="27">
        <f>(TA[[#This Row],[Work Start time on Fault]]-TA[[#This Row],[Fault Time]])*24</f>
        <v>-6.0666666666666664</v>
      </c>
      <c r="AC470" s="26">
        <f>(TA[[#This Row],[Work Completion time on fault]]-TA[[#This Row],[Fault Time]])*24</f>
        <v>12.183333333333334</v>
      </c>
      <c r="AD470" s="27">
        <f>IFERROR((TA[[#This Row],[Work Completion time on fault]]-TA[[#This Row],[Fault Time]])*24,"")</f>
        <v>12.183333333333334</v>
      </c>
      <c r="AE470" t="s">
        <v>300</v>
      </c>
      <c r="AF470" t="s">
        <v>247</v>
      </c>
      <c r="AG470" s="2"/>
      <c r="AH470" s="35">
        <f>1-COS(RADIANS(TA[[#This Row],[Avg. Target Angle during Fault Time (Radians)]]-TA[[#This Row],[Angle of affected equipment ]]))</f>
        <v>0.11705240714107301</v>
      </c>
      <c r="AI470" s="27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43">
        <f t="shared" si="24"/>
        <v>2026</v>
      </c>
      <c r="C471" s="116">
        <f t="shared" si="25"/>
        <v>2025</v>
      </c>
      <c r="D471" s="2" t="s">
        <v>155</v>
      </c>
      <c r="E471" s="2" t="s">
        <v>155</v>
      </c>
      <c r="F471" s="30">
        <v>45748</v>
      </c>
      <c r="G471" s="2">
        <f>DAY(EOMONTH(TA[[#This Row],[Month Year]],0))</f>
        <v>30</v>
      </c>
      <c r="H471" s="21">
        <v>45777</v>
      </c>
      <c r="I471" s="32">
        <f>IFERROR(VLOOKUP(TA[[#This Row],[Date]],Raw_Data[[Date]:[Sunset Time (POA&lt;20 W/m2)]],3,0),"")</f>
        <v>0.25277777777777777</v>
      </c>
      <c r="J471" s="32">
        <f>IFERROR(VLOOKUP(TA[[#This Row],[Date]],Raw_Data[[Date]:[Sunset Time (POA&lt;20 W/m2)]],4,0),"")</f>
        <v>0.76944444444444449</v>
      </c>
      <c r="K471" s="27">
        <f>IFERROR((TA[[#This Row],[Sunset Time (POA&lt;20 W/m2)]]-TA[[#This Row],[Sunrise Time (POA&gt;20 W/m2)]])*24,"")</f>
        <v>12.400000000000002</v>
      </c>
      <c r="L471" s="2" t="s">
        <v>285</v>
      </c>
      <c r="M471" s="33">
        <f>IFERROR(VLOOKUP(TA[[#This Row],[Affected Equipment]],'Basic Data'!$I$2:$K$40,3,0),"")</f>
        <v>1.7241379310344799E-3</v>
      </c>
      <c r="N471">
        <v>-28</v>
      </c>
      <c r="O471" t="s">
        <v>135</v>
      </c>
      <c r="P471" s="114" t="s">
        <v>309</v>
      </c>
      <c r="Q471" s="113" t="s">
        <v>309</v>
      </c>
      <c r="R471">
        <v>130</v>
      </c>
      <c r="S471" s="2">
        <v>37</v>
      </c>
      <c r="T471" t="s">
        <v>286</v>
      </c>
      <c r="U471" t="s">
        <v>291</v>
      </c>
      <c r="V471" t="s">
        <v>289</v>
      </c>
      <c r="W471" s="32"/>
      <c r="X471" s="32"/>
      <c r="Y471" s="26"/>
      <c r="Z471" s="26"/>
      <c r="AA471" s="27">
        <f>IF(TA[[#This Row],[Work Start time on Fault]]="NA","",(TA[[#This Row],[Fault Acknowledgement Time ]]-TA[[#This Row],[Fault Time]])*24)</f>
        <v>0</v>
      </c>
      <c r="AB471" s="27">
        <f>(TA[[#This Row],[Work Start time on Fault]]-TA[[#This Row],[Fault Time]])*24</f>
        <v>0</v>
      </c>
      <c r="AC471" s="26">
        <f>(TA[[#This Row],[Work Completion time on fault]]-TA[[#This Row],[Fault Time]])*24</f>
        <v>0</v>
      </c>
      <c r="AD471" s="27">
        <f>IFERROR((TA[[#This Row],[Work Completion time on fault]]-TA[[#This Row],[Fault Time]])*24,"")</f>
        <v>0</v>
      </c>
      <c r="AE471" t="s">
        <v>319</v>
      </c>
      <c r="AF471" t="s">
        <v>247</v>
      </c>
      <c r="AG471" s="2"/>
      <c r="AH471" s="35">
        <f>1-COS(RADIANS(TA[[#This Row],[Avg. Target Angle during Fault Time (Radians)]]-TA[[#This Row],[Angle of affected equipment ]]))</f>
        <v>0.11705240714107301</v>
      </c>
      <c r="AI471" s="27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43">
        <f t="shared" si="24"/>
        <v>2026</v>
      </c>
      <c r="C472" s="116">
        <f t="shared" si="25"/>
        <v>2025</v>
      </c>
      <c r="D472" s="2" t="s">
        <v>155</v>
      </c>
      <c r="E472" s="2" t="s">
        <v>155</v>
      </c>
      <c r="F472" s="30">
        <v>45748</v>
      </c>
      <c r="G472" s="2">
        <f>DAY(EOMONTH(TA[[#This Row],[Month Year]],0))</f>
        <v>30</v>
      </c>
      <c r="H472" s="21">
        <v>45777</v>
      </c>
      <c r="I472" s="32">
        <f>IFERROR(VLOOKUP(TA[[#This Row],[Date]],Raw_Data[[Date]:[Sunset Time (POA&lt;20 W/m2)]],3,0),"")</f>
        <v>0.25277777777777777</v>
      </c>
      <c r="J472" s="32">
        <f>IFERROR(VLOOKUP(TA[[#This Row],[Date]],Raw_Data[[Date]:[Sunset Time (POA&lt;20 W/m2)]],4,0),"")</f>
        <v>0.76944444444444449</v>
      </c>
      <c r="K472" s="27">
        <f>IFERROR((TA[[#This Row],[Sunset Time (POA&lt;20 W/m2)]]-TA[[#This Row],[Sunrise Time (POA&gt;20 W/m2)]])*24,"")</f>
        <v>12.400000000000002</v>
      </c>
      <c r="L472" s="2" t="s">
        <v>285</v>
      </c>
      <c r="M472" s="33">
        <f>IFERROR(VLOOKUP(TA[[#This Row],[Affected Equipment]],'Basic Data'!$I$2:$K$40,3,0),"")</f>
        <v>1.7241379310344799E-3</v>
      </c>
      <c r="N472">
        <v>-28</v>
      </c>
      <c r="O472" t="s">
        <v>135</v>
      </c>
      <c r="P472" s="114" t="s">
        <v>309</v>
      </c>
      <c r="Q472" s="113" t="s">
        <v>309</v>
      </c>
      <c r="R472">
        <v>131</v>
      </c>
      <c r="S472" s="2">
        <v>38</v>
      </c>
      <c r="T472" t="s">
        <v>286</v>
      </c>
      <c r="U472" t="s">
        <v>291</v>
      </c>
      <c r="V472" t="s">
        <v>289</v>
      </c>
      <c r="W472" s="32"/>
      <c r="X472" s="32"/>
      <c r="Y472" s="26"/>
      <c r="Z472" s="26"/>
      <c r="AA472" s="27">
        <f>IF(TA[[#This Row],[Work Start time on Fault]]="NA","",(TA[[#This Row],[Fault Acknowledgement Time ]]-TA[[#This Row],[Fault Time]])*24)</f>
        <v>0</v>
      </c>
      <c r="AB472" s="27">
        <f>(TA[[#This Row],[Work Start time on Fault]]-TA[[#This Row],[Fault Time]])*24</f>
        <v>0</v>
      </c>
      <c r="AC472" s="26">
        <f>(TA[[#This Row],[Work Completion time on fault]]-TA[[#This Row],[Fault Time]])*24</f>
        <v>0</v>
      </c>
      <c r="AD472" s="27">
        <f>IFERROR((TA[[#This Row],[Work Completion time on fault]]-TA[[#This Row],[Fault Time]])*24,"")</f>
        <v>0</v>
      </c>
      <c r="AE472" t="s">
        <v>319</v>
      </c>
      <c r="AF472" t="s">
        <v>247</v>
      </c>
      <c r="AG472" s="2"/>
      <c r="AH472" s="35">
        <f>1-COS(RADIANS(TA[[#This Row],[Avg. Target Angle during Fault Time (Radians)]]-TA[[#This Row],[Angle of affected equipment ]]))</f>
        <v>0.11705240714107301</v>
      </c>
      <c r="AI472" s="27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43">
        <f t="shared" si="24"/>
        <v>2026</v>
      </c>
      <c r="C473" s="116">
        <f t="shared" si="25"/>
        <v>2025</v>
      </c>
      <c r="D473" s="2" t="s">
        <v>155</v>
      </c>
      <c r="E473" s="2" t="s">
        <v>155</v>
      </c>
      <c r="F473" s="30">
        <v>45748</v>
      </c>
      <c r="G473" s="2">
        <f>DAY(EOMONTH(TA[[#This Row],[Month Year]],0))</f>
        <v>30</v>
      </c>
      <c r="H473" s="21">
        <v>45777</v>
      </c>
      <c r="I473" s="32">
        <f>IFERROR(VLOOKUP(TA[[#This Row],[Date]],Raw_Data[[Date]:[Sunset Time (POA&lt;20 W/m2)]],3,0),"")</f>
        <v>0.25277777777777777</v>
      </c>
      <c r="J473" s="32">
        <f>IFERROR(VLOOKUP(TA[[#This Row],[Date]],Raw_Data[[Date]:[Sunset Time (POA&lt;20 W/m2)]],4,0),"")</f>
        <v>0.76944444444444449</v>
      </c>
      <c r="K473" s="27">
        <f>IFERROR((TA[[#This Row],[Sunset Time (POA&lt;20 W/m2)]]-TA[[#This Row],[Sunrise Time (POA&gt;20 W/m2)]])*24,"")</f>
        <v>12.400000000000002</v>
      </c>
      <c r="L473" s="2" t="s">
        <v>285</v>
      </c>
      <c r="M473" s="33">
        <f>IFERROR(VLOOKUP(TA[[#This Row],[Affected Equipment]],'Basic Data'!$I$2:$K$40,3,0),"")</f>
        <v>1.7241379310344799E-3</v>
      </c>
      <c r="N473">
        <v>-28</v>
      </c>
      <c r="O473" t="s">
        <v>135</v>
      </c>
      <c r="P473" s="114" t="s">
        <v>309</v>
      </c>
      <c r="Q473" s="113" t="s">
        <v>309</v>
      </c>
      <c r="R473">
        <v>131</v>
      </c>
      <c r="S473" s="2">
        <v>39</v>
      </c>
      <c r="T473" t="s">
        <v>286</v>
      </c>
      <c r="U473" t="s">
        <v>291</v>
      </c>
      <c r="V473" t="s">
        <v>289</v>
      </c>
      <c r="W473" s="32"/>
      <c r="X473" s="32"/>
      <c r="Y473" s="26"/>
      <c r="Z473" s="26"/>
      <c r="AA473" s="27">
        <f>IF(TA[[#This Row],[Work Start time on Fault]]="NA","",(TA[[#This Row],[Fault Acknowledgement Time ]]-TA[[#This Row],[Fault Time]])*24)</f>
        <v>0</v>
      </c>
      <c r="AB473" s="27">
        <f>(TA[[#This Row],[Work Start time on Fault]]-TA[[#This Row],[Fault Time]])*24</f>
        <v>0</v>
      </c>
      <c r="AC473" s="26">
        <f>(TA[[#This Row],[Work Completion time on fault]]-TA[[#This Row],[Fault Time]])*24</f>
        <v>0</v>
      </c>
      <c r="AD473" s="27">
        <f>IFERROR((TA[[#This Row],[Work Completion time on fault]]-TA[[#This Row],[Fault Time]])*24,"")</f>
        <v>0</v>
      </c>
      <c r="AE473" t="s">
        <v>319</v>
      </c>
      <c r="AF473" t="s">
        <v>247</v>
      </c>
      <c r="AG473" s="2"/>
      <c r="AH473" s="35">
        <f>1-COS(RADIANS(TA[[#This Row],[Avg. Target Angle during Fault Time (Radians)]]-TA[[#This Row],[Angle of affected equipment ]]))</f>
        <v>0.11705240714107301</v>
      </c>
      <c r="AI473" s="27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43">
        <f t="shared" si="24"/>
        <v>2026</v>
      </c>
      <c r="C474" s="116">
        <f t="shared" si="25"/>
        <v>2025</v>
      </c>
      <c r="D474" s="2" t="s">
        <v>155</v>
      </c>
      <c r="E474" s="2" t="s">
        <v>155</v>
      </c>
      <c r="F474" s="30">
        <v>45748</v>
      </c>
      <c r="G474" s="2">
        <f>DAY(EOMONTH(TA[[#This Row],[Month Year]],0))</f>
        <v>30</v>
      </c>
      <c r="H474" s="21">
        <v>45777</v>
      </c>
      <c r="I474" s="32">
        <f>IFERROR(VLOOKUP(TA[[#This Row],[Date]],Raw_Data[[Date]:[Sunset Time (POA&lt;20 W/m2)]],3,0),"")</f>
        <v>0.25277777777777777</v>
      </c>
      <c r="J474" s="32">
        <f>IFERROR(VLOOKUP(TA[[#This Row],[Date]],Raw_Data[[Date]:[Sunset Time (POA&lt;20 W/m2)]],4,0),"")</f>
        <v>0.76944444444444449</v>
      </c>
      <c r="K474" s="27">
        <f>IFERROR((TA[[#This Row],[Sunset Time (POA&lt;20 W/m2)]]-TA[[#This Row],[Sunrise Time (POA&gt;20 W/m2)]])*24,"")</f>
        <v>12.400000000000002</v>
      </c>
      <c r="L474" s="2" t="s">
        <v>287</v>
      </c>
      <c r="M474" s="33">
        <f>IFERROR(VLOOKUP(TA[[#This Row],[Affected Equipment]],'Basic Data'!$I$2:$K$40,3,0),"")</f>
        <v>8.6206896551724102E-3</v>
      </c>
      <c r="N474">
        <v>-28</v>
      </c>
      <c r="O474" t="s">
        <v>135</v>
      </c>
      <c r="P474" s="114" t="s">
        <v>309</v>
      </c>
      <c r="Q474" s="2" t="s">
        <v>312</v>
      </c>
      <c r="R474">
        <v>133</v>
      </c>
      <c r="S474" s="2">
        <v>26</v>
      </c>
      <c r="T474" t="s">
        <v>288</v>
      </c>
      <c r="U474" t="s">
        <v>291</v>
      </c>
      <c r="V474" t="s">
        <v>305</v>
      </c>
      <c r="W474" s="32">
        <f>IFERROR(VLOOKUP(TA[[#This Row],[Date]],Raw_Data[[Date]:[Sunset Time (POA&lt;20 W/m2)]],3,0),"")</f>
        <v>0.25277777777777777</v>
      </c>
      <c r="X474" s="32">
        <f>IFERROR(VLOOKUP(TA[[#This Row],[Date]],Raw_Data[[Date]:[Sunset Time (POA&lt;20 W/m2)]],3,0),"")</f>
        <v>0.25277777777777777</v>
      </c>
      <c r="Y474" s="26"/>
      <c r="Z474" s="26">
        <v>0.76041666666666663</v>
      </c>
      <c r="AA474" s="27">
        <f>IF(TA[[#This Row],[Work Start time on Fault]]="NA","",(TA[[#This Row],[Fault Acknowledgement Time ]]-TA[[#This Row],[Fault Time]])*24)</f>
        <v>0</v>
      </c>
      <c r="AB474" s="27">
        <f>(TA[[#This Row],[Work Start time on Fault]]-TA[[#This Row],[Fault Time]])*24</f>
        <v>-6.0666666666666664</v>
      </c>
      <c r="AC474" s="26">
        <f>(TA[[#This Row],[Work Completion time on fault]]-TA[[#This Row],[Fault Time]])*24</f>
        <v>12.183333333333334</v>
      </c>
      <c r="AD474" s="27">
        <f>IFERROR((TA[[#This Row],[Work Completion time on fault]]-TA[[#This Row],[Fault Time]])*24,"")</f>
        <v>12.183333333333334</v>
      </c>
      <c r="AE474" t="s">
        <v>319</v>
      </c>
      <c r="AF474" t="s">
        <v>247</v>
      </c>
      <c r="AG474" s="2"/>
      <c r="AH474" s="35">
        <f>1-COS(RADIANS(TA[[#This Row],[Avg. Target Angle during Fault Time (Radians)]]-TA[[#This Row],[Angle of affected equipment ]]))</f>
        <v>0.11705240714107301</v>
      </c>
      <c r="AI474" s="27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43">
        <f t="shared" si="24"/>
        <v>2026</v>
      </c>
      <c r="C475" s="116">
        <f t="shared" si="25"/>
        <v>2025</v>
      </c>
      <c r="D475" s="2" t="s">
        <v>155</v>
      </c>
      <c r="E475" s="2" t="s">
        <v>155</v>
      </c>
      <c r="F475" s="30">
        <v>45748</v>
      </c>
      <c r="G475" s="2">
        <f>DAY(EOMONTH(TA[[#This Row],[Month Year]],0))</f>
        <v>30</v>
      </c>
      <c r="H475" s="21">
        <v>45777</v>
      </c>
      <c r="I475" s="32">
        <f>IFERROR(VLOOKUP(TA[[#This Row],[Date]],Raw_Data[[Date]:[Sunset Time (POA&lt;20 W/m2)]],3,0),"")</f>
        <v>0.25277777777777777</v>
      </c>
      <c r="J475" s="32">
        <f>IFERROR(VLOOKUP(TA[[#This Row],[Date]],Raw_Data[[Date]:[Sunset Time (POA&lt;20 W/m2)]],4,0),"")</f>
        <v>0.76944444444444449</v>
      </c>
      <c r="K475" s="27">
        <f>IFERROR((TA[[#This Row],[Sunset Time (POA&lt;20 W/m2)]]-TA[[#This Row],[Sunrise Time (POA&gt;20 W/m2)]])*24,"")</f>
        <v>12.400000000000002</v>
      </c>
      <c r="L475" s="2" t="s">
        <v>285</v>
      </c>
      <c r="M475" s="33">
        <f>IFERROR(VLOOKUP(TA[[#This Row],[Affected Equipment]],'Basic Data'!$I$2:$K$40,3,0),"")</f>
        <v>1.7241379310344799E-3</v>
      </c>
      <c r="N475">
        <v>-28</v>
      </c>
      <c r="O475" t="s">
        <v>133</v>
      </c>
      <c r="P475" s="114" t="s">
        <v>307</v>
      </c>
      <c r="Q475" s="113" t="s">
        <v>308</v>
      </c>
      <c r="R475">
        <v>7</v>
      </c>
      <c r="S475" s="2">
        <v>32</v>
      </c>
      <c r="T475" t="s">
        <v>286</v>
      </c>
      <c r="U475" t="s">
        <v>291</v>
      </c>
      <c r="V475" t="s">
        <v>289</v>
      </c>
      <c r="W475" s="32"/>
      <c r="X475" s="32"/>
      <c r="Y475" s="26"/>
      <c r="Z475" s="26"/>
      <c r="AA475" s="27">
        <f>IF(TA[[#This Row],[Work Start time on Fault]]="NA","",(TA[[#This Row],[Fault Acknowledgement Time ]]-TA[[#This Row],[Fault Time]])*24)</f>
        <v>0</v>
      </c>
      <c r="AB475" s="27">
        <f>(TA[[#This Row],[Work Start time on Fault]]-TA[[#This Row],[Fault Time]])*24</f>
        <v>0</v>
      </c>
      <c r="AC475" s="26">
        <f>(TA[[#This Row],[Work Completion time on fault]]-TA[[#This Row],[Fault Time]])*24</f>
        <v>0</v>
      </c>
      <c r="AD475" s="27">
        <f>IFERROR((TA[[#This Row],[Work Completion time on fault]]-TA[[#This Row],[Fault Time]])*24,"")</f>
        <v>0</v>
      </c>
      <c r="AE475" t="s">
        <v>319</v>
      </c>
      <c r="AF475" t="s">
        <v>247</v>
      </c>
      <c r="AG475" s="2"/>
      <c r="AH475" s="35">
        <f>1-COS(RADIANS(TA[[#This Row],[Avg. Target Angle during Fault Time (Radians)]]-TA[[#This Row],[Angle of affected equipment ]]))</f>
        <v>0.11705240714107301</v>
      </c>
      <c r="AI475" s="27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43">
        <f t="shared" si="24"/>
        <v>2026</v>
      </c>
      <c r="C476" s="116">
        <f t="shared" si="25"/>
        <v>2025</v>
      </c>
      <c r="D476" s="2" t="s">
        <v>155</v>
      </c>
      <c r="E476" s="2" t="s">
        <v>155</v>
      </c>
      <c r="F476" s="30">
        <v>45748</v>
      </c>
      <c r="G476" s="2">
        <f>DAY(EOMONTH(TA[[#This Row],[Month Year]],0))</f>
        <v>30</v>
      </c>
      <c r="H476" s="21">
        <v>45777</v>
      </c>
      <c r="I476" s="32">
        <f>IFERROR(VLOOKUP(TA[[#This Row],[Date]],Raw_Data[[Date]:[Sunset Time (POA&lt;20 W/m2)]],3,0),"")</f>
        <v>0.25277777777777777</v>
      </c>
      <c r="J476" s="32">
        <f>IFERROR(VLOOKUP(TA[[#This Row],[Date]],Raw_Data[[Date]:[Sunset Time (POA&lt;20 W/m2)]],4,0),"")</f>
        <v>0.76944444444444449</v>
      </c>
      <c r="K476" s="27">
        <f>IFERROR((TA[[#This Row],[Sunset Time (POA&lt;20 W/m2)]]-TA[[#This Row],[Sunrise Time (POA&gt;20 W/m2)]])*24,"")</f>
        <v>12.400000000000002</v>
      </c>
      <c r="L476" s="2" t="s">
        <v>285</v>
      </c>
      <c r="M476" s="33">
        <f>IFERROR(VLOOKUP(TA[[#This Row],[Affected Equipment]],'Basic Data'!$I$2:$K$40,3,0),"")</f>
        <v>1.7241379310344799E-3</v>
      </c>
      <c r="N476">
        <v>-28</v>
      </c>
      <c r="O476" t="s">
        <v>137</v>
      </c>
      <c r="P476" s="114" t="s">
        <v>306</v>
      </c>
      <c r="Q476" s="113" t="s">
        <v>310</v>
      </c>
      <c r="R476">
        <v>166</v>
      </c>
      <c r="S476" s="2">
        <v>91</v>
      </c>
      <c r="T476" t="s">
        <v>286</v>
      </c>
      <c r="U476" t="s">
        <v>291</v>
      </c>
      <c r="V476" t="s">
        <v>289</v>
      </c>
      <c r="W476" s="32"/>
      <c r="X476" s="32"/>
      <c r="Y476" s="26"/>
      <c r="Z476" s="26"/>
      <c r="AA476" s="27">
        <f>IF(TA[[#This Row],[Work Start time on Fault]]="NA","",(TA[[#This Row],[Fault Acknowledgement Time ]]-TA[[#This Row],[Fault Time]])*24)</f>
        <v>0</v>
      </c>
      <c r="AB476" s="27">
        <f>(TA[[#This Row],[Work Start time on Fault]]-TA[[#This Row],[Fault Time]])*24</f>
        <v>0</v>
      </c>
      <c r="AC476" s="26">
        <f>(TA[[#This Row],[Work Completion time on fault]]-TA[[#This Row],[Fault Time]])*24</f>
        <v>0</v>
      </c>
      <c r="AD476" s="27">
        <f>IFERROR((TA[[#This Row],[Work Completion time on fault]]-TA[[#This Row],[Fault Time]])*24,"")</f>
        <v>0</v>
      </c>
      <c r="AE476" t="s">
        <v>319</v>
      </c>
      <c r="AF476" t="s">
        <v>247</v>
      </c>
      <c r="AG476" s="2"/>
      <c r="AH476" s="35">
        <f>1-COS(RADIANS(TA[[#This Row],[Avg. Target Angle during Fault Time (Radians)]]-TA[[#This Row],[Angle of affected equipment ]]))</f>
        <v>0.11705240714107301</v>
      </c>
      <c r="AI476" s="27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43">
        <f t="shared" si="24"/>
        <v>2026</v>
      </c>
      <c r="C477" s="116">
        <f t="shared" si="25"/>
        <v>2025</v>
      </c>
      <c r="D477" s="2" t="s">
        <v>155</v>
      </c>
      <c r="E477" s="2" t="s">
        <v>155</v>
      </c>
      <c r="F477" s="30">
        <v>45748</v>
      </c>
      <c r="G477" s="2">
        <f>DAY(EOMONTH(TA[[#This Row],[Month Year]],0))</f>
        <v>30</v>
      </c>
      <c r="H477" s="21">
        <v>45777</v>
      </c>
      <c r="I477" s="32">
        <f>IFERROR(VLOOKUP(TA[[#This Row],[Date]],Raw_Data[[Date]:[Sunset Time (POA&lt;20 W/m2)]],3,0),"")</f>
        <v>0.25277777777777777</v>
      </c>
      <c r="J477" s="32">
        <f>IFERROR(VLOOKUP(TA[[#This Row],[Date]],Raw_Data[[Date]:[Sunset Time (POA&lt;20 W/m2)]],4,0),"")</f>
        <v>0.76944444444444449</v>
      </c>
      <c r="K477" s="27">
        <f>IFERROR((TA[[#This Row],[Sunset Time (POA&lt;20 W/m2)]]-TA[[#This Row],[Sunrise Time (POA&gt;20 W/m2)]])*24,"")</f>
        <v>12.400000000000002</v>
      </c>
      <c r="L477" s="2" t="s">
        <v>285</v>
      </c>
      <c r="M477" s="33">
        <f>IFERROR(VLOOKUP(TA[[#This Row],[Affected Equipment]],'Basic Data'!$I$2:$K$40,3,0),"")</f>
        <v>1.7241379310344799E-3</v>
      </c>
      <c r="N477">
        <v>-28</v>
      </c>
      <c r="O477" t="s">
        <v>133</v>
      </c>
      <c r="P477" s="114" t="s">
        <v>307</v>
      </c>
      <c r="Q477" s="113" t="s">
        <v>307</v>
      </c>
      <c r="R477">
        <v>117</v>
      </c>
      <c r="S477" s="2">
        <v>20</v>
      </c>
      <c r="T477" t="s">
        <v>286</v>
      </c>
      <c r="U477" t="s">
        <v>291</v>
      </c>
      <c r="V477" t="s">
        <v>289</v>
      </c>
      <c r="W477" s="32"/>
      <c r="X477" s="32"/>
      <c r="Y477" s="26"/>
      <c r="Z477" s="26"/>
      <c r="AA477" s="27">
        <f>IF(TA[[#This Row],[Work Start time on Fault]]="NA","",(TA[[#This Row],[Fault Acknowledgement Time ]]-TA[[#This Row],[Fault Time]])*24)</f>
        <v>0</v>
      </c>
      <c r="AB477" s="27">
        <f>(TA[[#This Row],[Work Start time on Fault]]-TA[[#This Row],[Fault Time]])*24</f>
        <v>0</v>
      </c>
      <c r="AC477" s="26">
        <f>(TA[[#This Row],[Work Completion time on fault]]-TA[[#This Row],[Fault Time]])*24</f>
        <v>0</v>
      </c>
      <c r="AD477" s="27">
        <f>IFERROR((TA[[#This Row],[Work Completion time on fault]]-TA[[#This Row],[Fault Time]])*24,"")</f>
        <v>0</v>
      </c>
      <c r="AE477" t="s">
        <v>319</v>
      </c>
      <c r="AF477" t="s">
        <v>247</v>
      </c>
      <c r="AG477" s="2"/>
      <c r="AH477" s="35">
        <f>1-COS(RADIANS(TA[[#This Row],[Avg. Target Angle during Fault Time (Radians)]]-TA[[#This Row],[Angle of affected equipment ]]))</f>
        <v>0.11705240714107301</v>
      </c>
      <c r="AI477" s="27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43">
        <f t="shared" si="24"/>
        <v>2026</v>
      </c>
      <c r="C478" s="116">
        <f t="shared" si="25"/>
        <v>2025</v>
      </c>
      <c r="D478" s="2" t="s">
        <v>155</v>
      </c>
      <c r="E478" s="2" t="s">
        <v>155</v>
      </c>
      <c r="F478" s="30">
        <v>45748</v>
      </c>
      <c r="G478" s="2">
        <f>DAY(EOMONTH(TA[[#This Row],[Month Year]],0))</f>
        <v>30</v>
      </c>
      <c r="H478" s="21">
        <v>45777</v>
      </c>
      <c r="I478" s="32">
        <f>IFERROR(VLOOKUP(TA[[#This Row],[Date]],Raw_Data[[Date]:[Sunset Time (POA&lt;20 W/m2)]],3,0),"")</f>
        <v>0.25277777777777777</v>
      </c>
      <c r="J478" s="32">
        <f>IFERROR(VLOOKUP(TA[[#This Row],[Date]],Raw_Data[[Date]:[Sunset Time (POA&lt;20 W/m2)]],4,0),"")</f>
        <v>0.76944444444444449</v>
      </c>
      <c r="K478" s="27">
        <f>IFERROR((TA[[#This Row],[Sunset Time (POA&lt;20 W/m2)]]-TA[[#This Row],[Sunrise Time (POA&gt;20 W/m2)]])*24,"")</f>
        <v>12.400000000000002</v>
      </c>
      <c r="L478" s="2" t="s">
        <v>285</v>
      </c>
      <c r="M478" s="33">
        <f>IFERROR(VLOOKUP(TA[[#This Row],[Affected Equipment]],'Basic Data'!$I$2:$K$40,3,0),"")</f>
        <v>1.7241379310344799E-3</v>
      </c>
      <c r="N478">
        <v>-28</v>
      </c>
      <c r="O478" t="s">
        <v>133</v>
      </c>
      <c r="P478" s="114" t="s">
        <v>307</v>
      </c>
      <c r="Q478" s="113" t="s">
        <v>307</v>
      </c>
      <c r="R478">
        <v>118</v>
      </c>
      <c r="S478" s="2">
        <v>22</v>
      </c>
      <c r="T478" t="s">
        <v>286</v>
      </c>
      <c r="U478" t="s">
        <v>291</v>
      </c>
      <c r="V478" t="s">
        <v>289</v>
      </c>
      <c r="W478" s="32"/>
      <c r="X478" s="32"/>
      <c r="Y478" s="26"/>
      <c r="Z478" s="26"/>
      <c r="AA478" s="27">
        <f>IF(TA[[#This Row],[Work Start time on Fault]]="NA","",(TA[[#This Row],[Fault Acknowledgement Time ]]-TA[[#This Row],[Fault Time]])*24)</f>
        <v>0</v>
      </c>
      <c r="AB478" s="27">
        <f>(TA[[#This Row],[Work Start time on Fault]]-TA[[#This Row],[Fault Time]])*24</f>
        <v>0</v>
      </c>
      <c r="AC478" s="26">
        <f>(TA[[#This Row],[Work Completion time on fault]]-TA[[#This Row],[Fault Time]])*24</f>
        <v>0</v>
      </c>
      <c r="AD478" s="27">
        <f>IFERROR((TA[[#This Row],[Work Completion time on fault]]-TA[[#This Row],[Fault Time]])*24,"")</f>
        <v>0</v>
      </c>
      <c r="AE478" t="s">
        <v>319</v>
      </c>
      <c r="AF478" t="s">
        <v>247</v>
      </c>
      <c r="AG478" s="2"/>
      <c r="AH478" s="35">
        <f>1-COS(RADIANS(TA[[#This Row],[Avg. Target Angle during Fault Time (Radians)]]-TA[[#This Row],[Angle of affected equipment ]]))</f>
        <v>0.11705240714107301</v>
      </c>
      <c r="AI478" s="27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43">
        <f t="shared" si="24"/>
        <v>2026</v>
      </c>
      <c r="C479" s="116">
        <f t="shared" si="25"/>
        <v>2025</v>
      </c>
      <c r="D479" s="2" t="s">
        <v>155</v>
      </c>
      <c r="E479" s="2" t="s">
        <v>155</v>
      </c>
      <c r="F479" s="30">
        <v>45748</v>
      </c>
      <c r="G479" s="2">
        <f>DAY(EOMONTH(TA[[#This Row],[Month Year]],0))</f>
        <v>30</v>
      </c>
      <c r="H479" s="21">
        <v>45777</v>
      </c>
      <c r="I479" s="32">
        <f>IFERROR(VLOOKUP(TA[[#This Row],[Date]],Raw_Data[[Date]:[Sunset Time (POA&lt;20 W/m2)]],3,0),"")</f>
        <v>0.25277777777777777</v>
      </c>
      <c r="J479" s="32">
        <f>IFERROR(VLOOKUP(TA[[#This Row],[Date]],Raw_Data[[Date]:[Sunset Time (POA&lt;20 W/m2)]],4,0),"")</f>
        <v>0.76944444444444449</v>
      </c>
      <c r="K479" s="27">
        <f>IFERROR((TA[[#This Row],[Sunset Time (POA&lt;20 W/m2)]]-TA[[#This Row],[Sunrise Time (POA&gt;20 W/m2)]])*24,"")</f>
        <v>12.400000000000002</v>
      </c>
      <c r="L479" s="2" t="s">
        <v>287</v>
      </c>
      <c r="M479" s="33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314</v>
      </c>
      <c r="Q479" s="2" t="s">
        <v>320</v>
      </c>
      <c r="R479">
        <v>45</v>
      </c>
      <c r="S479" s="2">
        <v>8</v>
      </c>
      <c r="T479" t="s">
        <v>288</v>
      </c>
      <c r="U479" t="s">
        <v>317</v>
      </c>
      <c r="V479" t="s">
        <v>292</v>
      </c>
      <c r="W479" s="32"/>
      <c r="X479" s="32"/>
      <c r="Y479" s="26"/>
      <c r="Z479" s="26"/>
      <c r="AA479" s="27">
        <f>IF(TA[[#This Row],[Work Start time on Fault]]="NA","",(TA[[#This Row],[Fault Acknowledgement Time ]]-TA[[#This Row],[Fault Time]])*24)</f>
        <v>0</v>
      </c>
      <c r="AB479" s="27">
        <f>(TA[[#This Row],[Work Start time on Fault]]-TA[[#This Row],[Fault Time]])*24</f>
        <v>0</v>
      </c>
      <c r="AC479" s="26">
        <f>(TA[[#This Row],[Work Completion time on fault]]-TA[[#This Row],[Fault Time]])*24</f>
        <v>0</v>
      </c>
      <c r="AD479" s="27">
        <f>IFERROR((TA[[#This Row],[Work Completion time on fault]]-TA[[#This Row],[Fault Time]])*24,"")</f>
        <v>0</v>
      </c>
      <c r="AE479" t="s">
        <v>319</v>
      </c>
      <c r="AF479" t="s">
        <v>247</v>
      </c>
      <c r="AG479" s="2"/>
      <c r="AH479" s="35">
        <f>1-COS(RADIANS(TA[[#This Row],[Avg. Target Angle during Fault Time (Radians)]]-TA[[#This Row],[Angle of affected equipment ]]))</f>
        <v>0.11705240714107301</v>
      </c>
      <c r="AI479" s="27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43">
        <f t="shared" si="24"/>
        <v>2026</v>
      </c>
      <c r="C480" s="116">
        <f t="shared" si="25"/>
        <v>2025</v>
      </c>
      <c r="D480" s="2" t="s">
        <v>155</v>
      </c>
      <c r="E480" s="2" t="s">
        <v>155</v>
      </c>
      <c r="F480" s="30">
        <v>45748</v>
      </c>
      <c r="G480" s="2">
        <f>DAY(EOMONTH(TA[[#This Row],[Month Year]],0))</f>
        <v>30</v>
      </c>
      <c r="H480" s="21">
        <v>45777</v>
      </c>
      <c r="I480" s="32">
        <f>IFERROR(VLOOKUP(TA[[#This Row],[Date]],Raw_Data[[Date]:[Sunset Time (POA&lt;20 W/m2)]],3,0),"")</f>
        <v>0.25277777777777777</v>
      </c>
      <c r="J480" s="32">
        <f>IFERROR(VLOOKUP(TA[[#This Row],[Date]],Raw_Data[[Date]:[Sunset Time (POA&lt;20 W/m2)]],4,0),"")</f>
        <v>0.76944444444444449</v>
      </c>
      <c r="K480" s="27">
        <f>IFERROR((TA[[#This Row],[Sunset Time (POA&lt;20 W/m2)]]-TA[[#This Row],[Sunrise Time (POA&gt;20 W/m2)]])*24,"")</f>
        <v>12.400000000000002</v>
      </c>
      <c r="L480" s="2" t="s">
        <v>287</v>
      </c>
      <c r="M480" s="33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314</v>
      </c>
      <c r="Q480" s="2" t="s">
        <v>320</v>
      </c>
      <c r="R480">
        <v>47</v>
      </c>
      <c r="S480" s="2">
        <v>18</v>
      </c>
      <c r="T480" t="s">
        <v>288</v>
      </c>
      <c r="U480" t="s">
        <v>317</v>
      </c>
      <c r="V480" t="s">
        <v>292</v>
      </c>
      <c r="W480" s="32"/>
      <c r="X480" s="32"/>
      <c r="Y480" s="26"/>
      <c r="Z480" s="26"/>
      <c r="AA480" s="27">
        <f>IF(TA[[#This Row],[Work Start time on Fault]]="NA","",(TA[[#This Row],[Fault Acknowledgement Time ]]-TA[[#This Row],[Fault Time]])*24)</f>
        <v>0</v>
      </c>
      <c r="AB480" s="27">
        <f>(TA[[#This Row],[Work Start time on Fault]]-TA[[#This Row],[Fault Time]])*24</f>
        <v>0</v>
      </c>
      <c r="AC480" s="26">
        <f>(TA[[#This Row],[Work Completion time on fault]]-TA[[#This Row],[Fault Time]])*24</f>
        <v>0</v>
      </c>
      <c r="AD480" s="27">
        <f>IFERROR((TA[[#This Row],[Work Completion time on fault]]-TA[[#This Row],[Fault Time]])*24,"")</f>
        <v>0</v>
      </c>
      <c r="AE480" t="s">
        <v>319</v>
      </c>
      <c r="AF480" t="s">
        <v>247</v>
      </c>
      <c r="AG480" s="2"/>
      <c r="AH480" s="35">
        <f>1-COS(RADIANS(TA[[#This Row],[Avg. Target Angle during Fault Time (Radians)]]-TA[[#This Row],[Angle of affected equipment ]]))</f>
        <v>0.11705240714107301</v>
      </c>
      <c r="AI480" s="27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43">
        <f t="shared" si="24"/>
        <v>2026</v>
      </c>
      <c r="C481" s="116">
        <f t="shared" si="25"/>
        <v>2025</v>
      </c>
      <c r="D481" s="2" t="s">
        <v>155</v>
      </c>
      <c r="E481" s="2" t="s">
        <v>155</v>
      </c>
      <c r="F481" s="30">
        <v>45748</v>
      </c>
      <c r="G481" s="2">
        <f>DAY(EOMONTH(TA[[#This Row],[Month Year]],0))</f>
        <v>30</v>
      </c>
      <c r="H481" s="21">
        <v>45777</v>
      </c>
      <c r="I481" s="32">
        <f>IFERROR(VLOOKUP(TA[[#This Row],[Date]],Raw_Data[[Date]:[Sunset Time (POA&lt;20 W/m2)]],3,0),"")</f>
        <v>0.25277777777777777</v>
      </c>
      <c r="J481" s="32">
        <f>IFERROR(VLOOKUP(TA[[#This Row],[Date]],Raw_Data[[Date]:[Sunset Time (POA&lt;20 W/m2)]],4,0),"")</f>
        <v>0.76944444444444449</v>
      </c>
      <c r="K481" s="27">
        <f>IFERROR((TA[[#This Row],[Sunset Time (POA&lt;20 W/m2)]]-TA[[#This Row],[Sunrise Time (POA&gt;20 W/m2)]])*24,"")</f>
        <v>12.400000000000002</v>
      </c>
      <c r="L481" s="2" t="s">
        <v>287</v>
      </c>
      <c r="M481" s="33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321</v>
      </c>
      <c r="Q481" s="2" t="s">
        <v>314</v>
      </c>
      <c r="R481">
        <v>30</v>
      </c>
      <c r="S481" s="2">
        <v>57</v>
      </c>
      <c r="T481" t="s">
        <v>288</v>
      </c>
      <c r="U481" t="s">
        <v>317</v>
      </c>
      <c r="V481" t="s">
        <v>292</v>
      </c>
      <c r="W481" s="32"/>
      <c r="X481" s="32"/>
      <c r="Y481" s="26"/>
      <c r="Z481" s="26"/>
      <c r="AA481" s="27">
        <f>IF(TA[[#This Row],[Work Start time on Fault]]="NA","",(TA[[#This Row],[Fault Acknowledgement Time ]]-TA[[#This Row],[Fault Time]])*24)</f>
        <v>0</v>
      </c>
      <c r="AB481" s="27">
        <f>(TA[[#This Row],[Work Start time on Fault]]-TA[[#This Row],[Fault Time]])*24</f>
        <v>0</v>
      </c>
      <c r="AC481" s="26">
        <f>(TA[[#This Row],[Work Completion time on fault]]-TA[[#This Row],[Fault Time]])*24</f>
        <v>0</v>
      </c>
      <c r="AD481" s="27">
        <f>IFERROR((TA[[#This Row],[Work Completion time on fault]]-TA[[#This Row],[Fault Time]])*24,"")</f>
        <v>0</v>
      </c>
      <c r="AE481" t="s">
        <v>319</v>
      </c>
      <c r="AF481" t="s">
        <v>247</v>
      </c>
      <c r="AG481" s="2"/>
      <c r="AH481" s="35">
        <f>1-COS(RADIANS(TA[[#This Row],[Avg. Target Angle during Fault Time (Radians)]]-TA[[#This Row],[Angle of affected equipment ]]))</f>
        <v>0.11705240714107301</v>
      </c>
      <c r="AI481" s="27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43">
        <f t="shared" si="24"/>
        <v>2026</v>
      </c>
      <c r="C482" s="116">
        <f t="shared" si="25"/>
        <v>2025</v>
      </c>
      <c r="D482" s="2" t="s">
        <v>155</v>
      </c>
      <c r="E482" s="2" t="s">
        <v>155</v>
      </c>
      <c r="F482" s="30">
        <v>45748</v>
      </c>
      <c r="G482" s="2">
        <f>DAY(EOMONTH(TA[[#This Row],[Month Year]],0))</f>
        <v>30</v>
      </c>
      <c r="H482" s="21">
        <v>45777</v>
      </c>
      <c r="I482" s="32">
        <f>IFERROR(VLOOKUP(TA[[#This Row],[Date]],Raw_Data[[Date]:[Sunset Time (POA&lt;20 W/m2)]],3,0),"")</f>
        <v>0.25277777777777777</v>
      </c>
      <c r="J482" s="32">
        <f>IFERROR(VLOOKUP(TA[[#This Row],[Date]],Raw_Data[[Date]:[Sunset Time (POA&lt;20 W/m2)]],4,0),"")</f>
        <v>0.76944444444444449</v>
      </c>
      <c r="K482" s="27">
        <f>IFERROR((TA[[#This Row],[Sunset Time (POA&lt;20 W/m2)]]-TA[[#This Row],[Sunrise Time (POA&gt;20 W/m2)]])*24,"")</f>
        <v>12.400000000000002</v>
      </c>
      <c r="L482" s="2" t="s">
        <v>287</v>
      </c>
      <c r="M482" s="33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321</v>
      </c>
      <c r="Q482" s="2" t="s">
        <v>314</v>
      </c>
      <c r="R482">
        <v>31</v>
      </c>
      <c r="S482" s="2">
        <v>61</v>
      </c>
      <c r="T482" t="s">
        <v>288</v>
      </c>
      <c r="U482" t="s">
        <v>317</v>
      </c>
      <c r="V482" t="s">
        <v>292</v>
      </c>
      <c r="W482" s="32"/>
      <c r="X482" s="32"/>
      <c r="Y482" s="26"/>
      <c r="Z482" s="26"/>
      <c r="AA482" s="27">
        <f>IF(TA[[#This Row],[Work Start time on Fault]]="NA","",(TA[[#This Row],[Fault Acknowledgement Time ]]-TA[[#This Row],[Fault Time]])*24)</f>
        <v>0</v>
      </c>
      <c r="AB482" s="27">
        <f>(TA[[#This Row],[Work Start time on Fault]]-TA[[#This Row],[Fault Time]])*24</f>
        <v>0</v>
      </c>
      <c r="AC482" s="26">
        <f>(TA[[#This Row],[Work Completion time on fault]]-TA[[#This Row],[Fault Time]])*24</f>
        <v>0</v>
      </c>
      <c r="AD482" s="27">
        <f>IFERROR((TA[[#This Row],[Work Completion time on fault]]-TA[[#This Row],[Fault Time]])*24,"")</f>
        <v>0</v>
      </c>
      <c r="AE482" t="s">
        <v>319</v>
      </c>
      <c r="AF482" t="s">
        <v>247</v>
      </c>
      <c r="AG482" s="2"/>
      <c r="AH482" s="35">
        <f>1-COS(RADIANS(TA[[#This Row],[Avg. Target Angle during Fault Time (Radians)]]-TA[[#This Row],[Angle of affected equipment ]]))</f>
        <v>0.11705240714107301</v>
      </c>
      <c r="AI482" s="27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43">
        <f t="shared" si="24"/>
        <v>2026</v>
      </c>
      <c r="C483" s="116">
        <f t="shared" si="25"/>
        <v>2025</v>
      </c>
      <c r="D483" s="2" t="s">
        <v>155</v>
      </c>
      <c r="E483" s="2" t="s">
        <v>155</v>
      </c>
      <c r="F483" s="30">
        <v>45748</v>
      </c>
      <c r="G483" s="2">
        <f>DAY(EOMONTH(TA[[#This Row],[Month Year]],0))</f>
        <v>30</v>
      </c>
      <c r="H483" s="21">
        <v>45777</v>
      </c>
      <c r="I483" s="32">
        <f>IFERROR(VLOOKUP(TA[[#This Row],[Date]],Raw_Data[[Date]:[Sunset Time (POA&lt;20 W/m2)]],3,0),"")</f>
        <v>0.25277777777777777</v>
      </c>
      <c r="J483" s="32">
        <f>IFERROR(VLOOKUP(TA[[#This Row],[Date]],Raw_Data[[Date]:[Sunset Time (POA&lt;20 W/m2)]],4,0),"")</f>
        <v>0.76944444444444449</v>
      </c>
      <c r="K483" s="27">
        <f>IFERROR((TA[[#This Row],[Sunset Time (POA&lt;20 W/m2)]]-TA[[#This Row],[Sunrise Time (POA&gt;20 W/m2)]])*24,"")</f>
        <v>12.400000000000002</v>
      </c>
      <c r="L483" s="2" t="s">
        <v>303</v>
      </c>
      <c r="M483" s="33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321</v>
      </c>
      <c r="Q483" s="2" t="s">
        <v>314</v>
      </c>
      <c r="R483">
        <v>26</v>
      </c>
      <c r="S483" s="2">
        <v>37</v>
      </c>
      <c r="T483" t="s">
        <v>288</v>
      </c>
      <c r="U483" t="s">
        <v>317</v>
      </c>
      <c r="V483" t="s">
        <v>292</v>
      </c>
      <c r="W483" s="32"/>
      <c r="X483" s="32"/>
      <c r="Y483" s="26"/>
      <c r="Z483" s="26"/>
      <c r="AA483" s="27">
        <f>IF(TA[[#This Row],[Work Start time on Fault]]="NA","",(TA[[#This Row],[Fault Acknowledgement Time ]]-TA[[#This Row],[Fault Time]])*24)</f>
        <v>0</v>
      </c>
      <c r="AB483" s="27">
        <f>(TA[[#This Row],[Work Start time on Fault]]-TA[[#This Row],[Fault Time]])*24</f>
        <v>0</v>
      </c>
      <c r="AC483" s="26">
        <f>(TA[[#This Row],[Work Completion time on fault]]-TA[[#This Row],[Fault Time]])*24</f>
        <v>0</v>
      </c>
      <c r="AD483" s="27">
        <f>IFERROR((TA[[#This Row],[Work Completion time on fault]]-TA[[#This Row],[Fault Time]])*24,"")</f>
        <v>0</v>
      </c>
      <c r="AE483" t="s">
        <v>319</v>
      </c>
      <c r="AF483" t="s">
        <v>247</v>
      </c>
      <c r="AG483" s="2"/>
      <c r="AH483" s="35">
        <f>1-COS(RADIANS(TA[[#This Row],[Avg. Target Angle during Fault Time (Radians)]]-TA[[#This Row],[Angle of affected equipment ]]))</f>
        <v>0.11705240714107301</v>
      </c>
      <c r="AI483" s="27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43">
        <f t="shared" si="24"/>
        <v>2026</v>
      </c>
      <c r="C484" s="116">
        <f t="shared" si="25"/>
        <v>2025</v>
      </c>
      <c r="D484" s="2" t="s">
        <v>155</v>
      </c>
      <c r="E484" s="2" t="s">
        <v>155</v>
      </c>
      <c r="F484" s="30">
        <v>45748</v>
      </c>
      <c r="G484" s="2">
        <f>DAY(EOMONTH(TA[[#This Row],[Month Year]],0))</f>
        <v>30</v>
      </c>
      <c r="H484" s="21">
        <v>45777</v>
      </c>
      <c r="I484" s="32">
        <f>IFERROR(VLOOKUP(TA[[#This Row],[Date]],Raw_Data[[Date]:[Sunset Time (POA&lt;20 W/m2)]],3,0),"")</f>
        <v>0.25277777777777777</v>
      </c>
      <c r="J484" s="32">
        <f>IFERROR(VLOOKUP(TA[[#This Row],[Date]],Raw_Data[[Date]:[Sunset Time (POA&lt;20 W/m2)]],4,0),"")</f>
        <v>0.76944444444444449</v>
      </c>
      <c r="K484" s="27">
        <f>IFERROR((TA[[#This Row],[Sunset Time (POA&lt;20 W/m2)]]-TA[[#This Row],[Sunrise Time (POA&gt;20 W/m2)]])*24,"")</f>
        <v>12.400000000000002</v>
      </c>
      <c r="L484" s="2" t="s">
        <v>303</v>
      </c>
      <c r="M484" s="33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321</v>
      </c>
      <c r="Q484" s="2" t="s">
        <v>314</v>
      </c>
      <c r="R484">
        <v>27</v>
      </c>
      <c r="S484" s="2">
        <v>42</v>
      </c>
      <c r="T484" t="s">
        <v>288</v>
      </c>
      <c r="U484" t="s">
        <v>317</v>
      </c>
      <c r="V484" t="s">
        <v>292</v>
      </c>
      <c r="W484" s="32">
        <f>IFERROR(VLOOKUP(TA[[#This Row],[Date]],Raw_Data[[Date]:[Sunset Time (POA&lt;20 W/m2)]],3,0),"")</f>
        <v>0.25277777777777777</v>
      </c>
      <c r="X484" s="32">
        <f>IFERROR(VLOOKUP(TA[[#This Row],[Date]],Raw_Data[[Date]:[Sunset Time (POA&lt;20 W/m2)]],3,0),"")</f>
        <v>0.25277777777777777</v>
      </c>
      <c r="Y484" s="26"/>
      <c r="Z484" s="26">
        <v>0.76041666666666663</v>
      </c>
      <c r="AA484" s="27">
        <f>IF(TA[[#This Row],[Work Start time on Fault]]="NA","",(TA[[#This Row],[Fault Acknowledgement Time ]]-TA[[#This Row],[Fault Time]])*24)</f>
        <v>0</v>
      </c>
      <c r="AB484" s="27">
        <f>(TA[[#This Row],[Work Start time on Fault]]-TA[[#This Row],[Fault Time]])*24</f>
        <v>-6.0666666666666664</v>
      </c>
      <c r="AC484" s="26">
        <f>(TA[[#This Row],[Work Completion time on fault]]-TA[[#This Row],[Fault Time]])*24</f>
        <v>12.183333333333334</v>
      </c>
      <c r="AD484" s="27">
        <f>IFERROR((TA[[#This Row],[Work Completion time on fault]]-TA[[#This Row],[Fault Time]])*24,"")</f>
        <v>12.183333333333334</v>
      </c>
      <c r="AE484" t="s">
        <v>300</v>
      </c>
      <c r="AF484" t="s">
        <v>247</v>
      </c>
      <c r="AG484" s="2"/>
      <c r="AH484" s="35">
        <f>1-COS(RADIANS(TA[[#This Row],[Avg. Target Angle during Fault Time (Radians)]]-TA[[#This Row],[Angle of affected equipment ]]))</f>
        <v>0.11705240714107301</v>
      </c>
      <c r="AI484" s="27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43">
        <f t="shared" si="24"/>
        <v>2026</v>
      </c>
      <c r="C485" s="116">
        <f t="shared" si="25"/>
        <v>2025</v>
      </c>
      <c r="D485" s="2" t="s">
        <v>155</v>
      </c>
      <c r="E485" s="2" t="s">
        <v>155</v>
      </c>
      <c r="F485" s="30">
        <v>45778</v>
      </c>
      <c r="G485" s="2">
        <f>DAY(EOMONTH(TA[[#This Row],[Month Year]],0))</f>
        <v>31</v>
      </c>
      <c r="H485" s="21">
        <v>45778</v>
      </c>
      <c r="I485" s="32">
        <f>IFERROR(VLOOKUP(TA[[#This Row],[Date]],Raw_Data[[Date]:[Sunset Time (POA&lt;20 W/m2)]],3,0),"")</f>
        <v>0.25486111111111109</v>
      </c>
      <c r="J485" s="32">
        <f>IFERROR(VLOOKUP(TA[[#This Row],[Date]],Raw_Data[[Date]:[Sunset Time (POA&lt;20 W/m2)]],4,0),"")</f>
        <v>0.76944444444444449</v>
      </c>
      <c r="K485" s="27">
        <f>IFERROR((TA[[#This Row],[Sunset Time (POA&lt;20 W/m2)]]-TA[[#This Row],[Sunrise Time (POA&gt;20 W/m2)]])*24,"")</f>
        <v>12.350000000000001</v>
      </c>
      <c r="L485" s="2" t="s">
        <v>303</v>
      </c>
      <c r="M485" s="33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321</v>
      </c>
      <c r="Q485" s="2" t="s">
        <v>314</v>
      </c>
      <c r="R485">
        <v>27</v>
      </c>
      <c r="S485" s="2">
        <v>42</v>
      </c>
      <c r="T485" t="s">
        <v>288</v>
      </c>
      <c r="U485" t="s">
        <v>317</v>
      </c>
      <c r="V485" t="s">
        <v>292</v>
      </c>
      <c r="W485" s="32">
        <f>IFERROR(VLOOKUP(TA[[#This Row],[Date]],Raw_Data[[Date]:[Sunset Time (POA&lt;20 W/m2)]],3,0),"")</f>
        <v>0.25486111111111109</v>
      </c>
      <c r="X485" s="32">
        <f>IFERROR(VLOOKUP(TA[[#This Row],[Date]],Raw_Data[[Date]:[Sunset Time (POA&lt;20 W/m2)]],3,0),"")</f>
        <v>0.25486111111111109</v>
      </c>
      <c r="Y485" s="26"/>
      <c r="Z485" s="26">
        <v>0.76041666666666663</v>
      </c>
      <c r="AA485" s="27">
        <f>IF(TA[[#This Row],[Work Start time on Fault]]="NA","",(TA[[#This Row],[Fault Acknowledgement Time ]]-TA[[#This Row],[Fault Time]])*24)</f>
        <v>0</v>
      </c>
      <c r="AB485" s="27">
        <f>(TA[[#This Row],[Work Start time on Fault]]-TA[[#This Row],[Fault Time]])*24</f>
        <v>-6.1166666666666663</v>
      </c>
      <c r="AC485" s="26">
        <f>(TA[[#This Row],[Work Completion time on fault]]-TA[[#This Row],[Fault Time]])*24</f>
        <v>12.133333333333333</v>
      </c>
      <c r="AD485" s="27">
        <f>IFERROR((TA[[#This Row],[Work Completion time on fault]]-TA[[#This Row],[Fault Time]])*24,"")</f>
        <v>12.133333333333333</v>
      </c>
      <c r="AE485" t="s">
        <v>300</v>
      </c>
      <c r="AF485" t="s">
        <v>247</v>
      </c>
      <c r="AG485" s="2"/>
      <c r="AH485" s="35">
        <f>1-COS(RADIANS(TA[[#This Row],[Avg. Target Angle during Fault Time (Radians)]]-TA[[#This Row],[Angle of affected equipment ]]))</f>
        <v>0.11705240714107301</v>
      </c>
      <c r="AI485" s="27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43">
        <f t="shared" si="24"/>
        <v>2026</v>
      </c>
      <c r="C486" s="116">
        <f t="shared" si="25"/>
        <v>2025</v>
      </c>
      <c r="D486" s="2" t="s">
        <v>155</v>
      </c>
      <c r="E486" s="2" t="s">
        <v>155</v>
      </c>
      <c r="F486" s="30">
        <v>45778</v>
      </c>
      <c r="G486" s="2">
        <f>DAY(EOMONTH(TA[[#This Row],[Month Year]],0))</f>
        <v>31</v>
      </c>
      <c r="H486" s="21">
        <v>45778</v>
      </c>
      <c r="I486" s="32">
        <f>IFERROR(VLOOKUP(TA[[#This Row],[Date]],Raw_Data[[Date]:[Sunset Time (POA&lt;20 W/m2)]],3,0),"")</f>
        <v>0.25486111111111109</v>
      </c>
      <c r="J486" s="32">
        <f>IFERROR(VLOOKUP(TA[[#This Row],[Date]],Raw_Data[[Date]:[Sunset Time (POA&lt;20 W/m2)]],4,0),"")</f>
        <v>0.76944444444444449</v>
      </c>
      <c r="K486" s="27">
        <f>IFERROR((TA[[#This Row],[Sunset Time (POA&lt;20 W/m2)]]-TA[[#This Row],[Sunrise Time (POA&gt;20 W/m2)]])*24,"")</f>
        <v>12.350000000000001</v>
      </c>
      <c r="L486" s="2" t="s">
        <v>285</v>
      </c>
      <c r="M486" s="33">
        <f>IFERROR(VLOOKUP(TA[[#This Row],[Affected Equipment]],'Basic Data'!$I$2:$K$40,3,0),"")</f>
        <v>1.7241379310344799E-3</v>
      </c>
      <c r="N486">
        <v>-28</v>
      </c>
      <c r="O486" t="s">
        <v>135</v>
      </c>
      <c r="P486" s="114" t="s">
        <v>309</v>
      </c>
      <c r="Q486" s="113" t="s">
        <v>309</v>
      </c>
      <c r="R486">
        <v>130</v>
      </c>
      <c r="S486" s="2">
        <v>37</v>
      </c>
      <c r="T486" t="s">
        <v>286</v>
      </c>
      <c r="U486" t="s">
        <v>291</v>
      </c>
      <c r="V486" t="s">
        <v>289</v>
      </c>
      <c r="W486" s="32"/>
      <c r="X486" s="32"/>
      <c r="Y486" s="26"/>
      <c r="Z486" s="26"/>
      <c r="AA486" s="27">
        <f>IF(TA[[#This Row],[Work Start time on Fault]]="NA","",(TA[[#This Row],[Fault Acknowledgement Time ]]-TA[[#This Row],[Fault Time]])*24)</f>
        <v>0</v>
      </c>
      <c r="AB486" s="27">
        <f>(TA[[#This Row],[Work Start time on Fault]]-TA[[#This Row],[Fault Time]])*24</f>
        <v>0</v>
      </c>
      <c r="AC486" s="26">
        <f>(TA[[#This Row],[Work Completion time on fault]]-TA[[#This Row],[Fault Time]])*24</f>
        <v>0</v>
      </c>
      <c r="AD486" s="27">
        <f>IFERROR((TA[[#This Row],[Work Completion time on fault]]-TA[[#This Row],[Fault Time]])*24,"")</f>
        <v>0</v>
      </c>
      <c r="AE486" t="s">
        <v>319</v>
      </c>
      <c r="AF486" t="s">
        <v>247</v>
      </c>
      <c r="AG486" s="2"/>
      <c r="AH486" s="35">
        <f>1-COS(RADIANS(TA[[#This Row],[Avg. Target Angle during Fault Time (Radians)]]-TA[[#This Row],[Angle of affected equipment ]]))</f>
        <v>0.11705240714107301</v>
      </c>
      <c r="AI486" s="27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43">
        <f t="shared" si="24"/>
        <v>2026</v>
      </c>
      <c r="C487" s="116">
        <f t="shared" si="25"/>
        <v>2025</v>
      </c>
      <c r="D487" s="2" t="s">
        <v>155</v>
      </c>
      <c r="E487" s="2" t="s">
        <v>155</v>
      </c>
      <c r="F487" s="30">
        <v>45778</v>
      </c>
      <c r="G487" s="2">
        <f>DAY(EOMONTH(TA[[#This Row],[Month Year]],0))</f>
        <v>31</v>
      </c>
      <c r="H487" s="21">
        <v>45778</v>
      </c>
      <c r="I487" s="32">
        <f>IFERROR(VLOOKUP(TA[[#This Row],[Date]],Raw_Data[[Date]:[Sunset Time (POA&lt;20 W/m2)]],3,0),"")</f>
        <v>0.25486111111111109</v>
      </c>
      <c r="J487" s="32">
        <f>IFERROR(VLOOKUP(TA[[#This Row],[Date]],Raw_Data[[Date]:[Sunset Time (POA&lt;20 W/m2)]],4,0),"")</f>
        <v>0.76944444444444449</v>
      </c>
      <c r="K487" s="27">
        <f>IFERROR((TA[[#This Row],[Sunset Time (POA&lt;20 W/m2)]]-TA[[#This Row],[Sunrise Time (POA&gt;20 W/m2)]])*24,"")</f>
        <v>12.350000000000001</v>
      </c>
      <c r="L487" s="2" t="s">
        <v>285</v>
      </c>
      <c r="M487" s="33">
        <f>IFERROR(VLOOKUP(TA[[#This Row],[Affected Equipment]],'Basic Data'!$I$2:$K$40,3,0),"")</f>
        <v>1.7241379310344799E-3</v>
      </c>
      <c r="N487">
        <v>-28</v>
      </c>
      <c r="O487" t="s">
        <v>135</v>
      </c>
      <c r="P487" s="114" t="s">
        <v>309</v>
      </c>
      <c r="Q487" s="113" t="s">
        <v>309</v>
      </c>
      <c r="R487">
        <v>131</v>
      </c>
      <c r="S487" s="2">
        <v>38</v>
      </c>
      <c r="T487" t="s">
        <v>286</v>
      </c>
      <c r="U487" t="s">
        <v>291</v>
      </c>
      <c r="V487" t="s">
        <v>289</v>
      </c>
      <c r="W487" s="32"/>
      <c r="X487" s="32"/>
      <c r="Y487" s="26"/>
      <c r="Z487" s="26"/>
      <c r="AA487" s="27">
        <f>IF(TA[[#This Row],[Work Start time on Fault]]="NA","",(TA[[#This Row],[Fault Acknowledgement Time ]]-TA[[#This Row],[Fault Time]])*24)</f>
        <v>0</v>
      </c>
      <c r="AB487" s="27">
        <f>(TA[[#This Row],[Work Start time on Fault]]-TA[[#This Row],[Fault Time]])*24</f>
        <v>0</v>
      </c>
      <c r="AC487" s="26">
        <f>(TA[[#This Row],[Work Completion time on fault]]-TA[[#This Row],[Fault Time]])*24</f>
        <v>0</v>
      </c>
      <c r="AD487" s="27">
        <f>IFERROR((TA[[#This Row],[Work Completion time on fault]]-TA[[#This Row],[Fault Time]])*24,"")</f>
        <v>0</v>
      </c>
      <c r="AE487" t="s">
        <v>319</v>
      </c>
      <c r="AF487" t="s">
        <v>247</v>
      </c>
      <c r="AG487" s="2"/>
      <c r="AH487" s="35">
        <f>1-COS(RADIANS(TA[[#This Row],[Avg. Target Angle during Fault Time (Radians)]]-TA[[#This Row],[Angle of affected equipment ]]))</f>
        <v>0.11705240714107301</v>
      </c>
      <c r="AI487" s="27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43">
        <f t="shared" si="24"/>
        <v>2026</v>
      </c>
      <c r="C488" s="116">
        <f t="shared" si="25"/>
        <v>2025</v>
      </c>
      <c r="D488" s="2" t="s">
        <v>155</v>
      </c>
      <c r="E488" s="2" t="s">
        <v>155</v>
      </c>
      <c r="F488" s="30">
        <v>45778</v>
      </c>
      <c r="G488" s="2">
        <f>DAY(EOMONTH(TA[[#This Row],[Month Year]],0))</f>
        <v>31</v>
      </c>
      <c r="H488" s="21">
        <v>45778</v>
      </c>
      <c r="I488" s="32">
        <f>IFERROR(VLOOKUP(TA[[#This Row],[Date]],Raw_Data[[Date]:[Sunset Time (POA&lt;20 W/m2)]],3,0),"")</f>
        <v>0.25486111111111109</v>
      </c>
      <c r="J488" s="32">
        <f>IFERROR(VLOOKUP(TA[[#This Row],[Date]],Raw_Data[[Date]:[Sunset Time (POA&lt;20 W/m2)]],4,0),"")</f>
        <v>0.76944444444444449</v>
      </c>
      <c r="K488" s="27">
        <f>IFERROR((TA[[#This Row],[Sunset Time (POA&lt;20 W/m2)]]-TA[[#This Row],[Sunrise Time (POA&gt;20 W/m2)]])*24,"")</f>
        <v>12.350000000000001</v>
      </c>
      <c r="L488" s="2" t="s">
        <v>285</v>
      </c>
      <c r="M488" s="33">
        <f>IFERROR(VLOOKUP(TA[[#This Row],[Affected Equipment]],'Basic Data'!$I$2:$K$40,3,0),"")</f>
        <v>1.7241379310344799E-3</v>
      </c>
      <c r="N488">
        <v>-28</v>
      </c>
      <c r="O488" t="s">
        <v>135</v>
      </c>
      <c r="P488" s="114" t="s">
        <v>309</v>
      </c>
      <c r="Q488" s="113" t="s">
        <v>309</v>
      </c>
      <c r="R488">
        <v>131</v>
      </c>
      <c r="S488" s="2">
        <v>39</v>
      </c>
      <c r="T488" t="s">
        <v>286</v>
      </c>
      <c r="U488" t="s">
        <v>291</v>
      </c>
      <c r="V488" t="s">
        <v>289</v>
      </c>
      <c r="W488" s="32"/>
      <c r="X488" s="32"/>
      <c r="Y488" s="26"/>
      <c r="Z488" s="26"/>
      <c r="AA488" s="27">
        <f>IF(TA[[#This Row],[Work Start time on Fault]]="NA","",(TA[[#This Row],[Fault Acknowledgement Time ]]-TA[[#This Row],[Fault Time]])*24)</f>
        <v>0</v>
      </c>
      <c r="AB488" s="27">
        <f>(TA[[#This Row],[Work Start time on Fault]]-TA[[#This Row],[Fault Time]])*24</f>
        <v>0</v>
      </c>
      <c r="AC488" s="26">
        <f>(TA[[#This Row],[Work Completion time on fault]]-TA[[#This Row],[Fault Time]])*24</f>
        <v>0</v>
      </c>
      <c r="AD488" s="27">
        <f>IFERROR((TA[[#This Row],[Work Completion time on fault]]-TA[[#This Row],[Fault Time]])*24,"")</f>
        <v>0</v>
      </c>
      <c r="AE488" t="s">
        <v>319</v>
      </c>
      <c r="AF488" t="s">
        <v>247</v>
      </c>
      <c r="AG488" s="2"/>
      <c r="AH488" s="35">
        <f>1-COS(RADIANS(TA[[#This Row],[Avg. Target Angle during Fault Time (Radians)]]-TA[[#This Row],[Angle of affected equipment ]]))</f>
        <v>0.11705240714107301</v>
      </c>
      <c r="AI488" s="27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43">
        <f t="shared" si="24"/>
        <v>2026</v>
      </c>
      <c r="C489" s="116">
        <f t="shared" si="25"/>
        <v>2025</v>
      </c>
      <c r="D489" s="2" t="s">
        <v>155</v>
      </c>
      <c r="E489" s="2" t="s">
        <v>155</v>
      </c>
      <c r="F489" s="30">
        <v>45778</v>
      </c>
      <c r="G489" s="2">
        <f>DAY(EOMONTH(TA[[#This Row],[Month Year]],0))</f>
        <v>31</v>
      </c>
      <c r="H489" s="21">
        <v>45778</v>
      </c>
      <c r="I489" s="32">
        <f>IFERROR(VLOOKUP(TA[[#This Row],[Date]],Raw_Data[[Date]:[Sunset Time (POA&lt;20 W/m2)]],3,0),"")</f>
        <v>0.25486111111111109</v>
      </c>
      <c r="J489" s="32">
        <f>IFERROR(VLOOKUP(TA[[#This Row],[Date]],Raw_Data[[Date]:[Sunset Time (POA&lt;20 W/m2)]],4,0),"")</f>
        <v>0.76944444444444449</v>
      </c>
      <c r="K489" s="27">
        <f>IFERROR((TA[[#This Row],[Sunset Time (POA&lt;20 W/m2)]]-TA[[#This Row],[Sunrise Time (POA&gt;20 W/m2)]])*24,"")</f>
        <v>12.350000000000001</v>
      </c>
      <c r="L489" s="2" t="s">
        <v>287</v>
      </c>
      <c r="M489" s="33">
        <f>IFERROR(VLOOKUP(TA[[#This Row],[Affected Equipment]],'Basic Data'!$I$2:$K$40,3,0),"")</f>
        <v>8.6206896551724102E-3</v>
      </c>
      <c r="N489">
        <v>-28</v>
      </c>
      <c r="O489" t="s">
        <v>135</v>
      </c>
      <c r="P489" s="114" t="s">
        <v>309</v>
      </c>
      <c r="Q489" s="2" t="s">
        <v>312</v>
      </c>
      <c r="R489">
        <v>133</v>
      </c>
      <c r="S489" s="2">
        <v>26</v>
      </c>
      <c r="T489" t="s">
        <v>288</v>
      </c>
      <c r="U489" t="s">
        <v>291</v>
      </c>
      <c r="V489" t="s">
        <v>305</v>
      </c>
      <c r="W489" s="32">
        <f>IFERROR(VLOOKUP(TA[[#This Row],[Date]],Raw_Data[[Date]:[Sunset Time (POA&lt;20 W/m2)]],3,0),"")</f>
        <v>0.25486111111111109</v>
      </c>
      <c r="X489" s="32">
        <f>IFERROR(VLOOKUP(TA[[#This Row],[Date]],Raw_Data[[Date]:[Sunset Time (POA&lt;20 W/m2)]],3,0),"")</f>
        <v>0.25486111111111109</v>
      </c>
      <c r="Y489" s="26"/>
      <c r="Z489" s="26">
        <v>0.76041666666666663</v>
      </c>
      <c r="AA489" s="27">
        <f>IF(TA[[#This Row],[Work Start time on Fault]]="NA","",(TA[[#This Row],[Fault Acknowledgement Time ]]-TA[[#This Row],[Fault Time]])*24)</f>
        <v>0</v>
      </c>
      <c r="AB489" s="27">
        <f>(TA[[#This Row],[Work Start time on Fault]]-TA[[#This Row],[Fault Time]])*24</f>
        <v>-6.1166666666666663</v>
      </c>
      <c r="AC489" s="26">
        <f>(TA[[#This Row],[Work Completion time on fault]]-TA[[#This Row],[Fault Time]])*24</f>
        <v>12.133333333333333</v>
      </c>
      <c r="AD489" s="27">
        <f>IFERROR((TA[[#This Row],[Work Completion time on fault]]-TA[[#This Row],[Fault Time]])*24,"")</f>
        <v>12.133333333333333</v>
      </c>
      <c r="AE489" t="s">
        <v>319</v>
      </c>
      <c r="AF489" t="s">
        <v>247</v>
      </c>
      <c r="AG489" s="2"/>
      <c r="AH489" s="35">
        <f>1-COS(RADIANS(TA[[#This Row],[Avg. Target Angle during Fault Time (Radians)]]-TA[[#This Row],[Angle of affected equipment ]]))</f>
        <v>0.11705240714107301</v>
      </c>
      <c r="AI489" s="27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43">
        <f t="shared" si="24"/>
        <v>2026</v>
      </c>
      <c r="C490" s="116">
        <f t="shared" si="25"/>
        <v>2025</v>
      </c>
      <c r="D490" s="2" t="s">
        <v>155</v>
      </c>
      <c r="E490" s="2" t="s">
        <v>155</v>
      </c>
      <c r="F490" s="30">
        <v>45778</v>
      </c>
      <c r="G490" s="2">
        <f>DAY(EOMONTH(TA[[#This Row],[Month Year]],0))</f>
        <v>31</v>
      </c>
      <c r="H490" s="21">
        <v>45778</v>
      </c>
      <c r="I490" s="32">
        <f>IFERROR(VLOOKUP(TA[[#This Row],[Date]],Raw_Data[[Date]:[Sunset Time (POA&lt;20 W/m2)]],3,0),"")</f>
        <v>0.25486111111111109</v>
      </c>
      <c r="J490" s="32">
        <f>IFERROR(VLOOKUP(TA[[#This Row],[Date]],Raw_Data[[Date]:[Sunset Time (POA&lt;20 W/m2)]],4,0),"")</f>
        <v>0.76944444444444449</v>
      </c>
      <c r="K490" s="27">
        <f>IFERROR((TA[[#This Row],[Sunset Time (POA&lt;20 W/m2)]]-TA[[#This Row],[Sunrise Time (POA&gt;20 W/m2)]])*24,"")</f>
        <v>12.350000000000001</v>
      </c>
      <c r="L490" s="2" t="s">
        <v>285</v>
      </c>
      <c r="M490" s="33">
        <f>IFERROR(VLOOKUP(TA[[#This Row],[Affected Equipment]],'Basic Data'!$I$2:$K$40,3,0),"")</f>
        <v>1.7241379310344799E-3</v>
      </c>
      <c r="N490">
        <v>-28</v>
      </c>
      <c r="O490" t="s">
        <v>133</v>
      </c>
      <c r="P490" s="114" t="s">
        <v>307</v>
      </c>
      <c r="Q490" s="113" t="s">
        <v>308</v>
      </c>
      <c r="R490">
        <v>7</v>
      </c>
      <c r="S490" s="2">
        <v>32</v>
      </c>
      <c r="T490" t="s">
        <v>286</v>
      </c>
      <c r="U490" t="s">
        <v>291</v>
      </c>
      <c r="V490" t="s">
        <v>289</v>
      </c>
      <c r="W490" s="32"/>
      <c r="X490" s="32"/>
      <c r="Y490" s="26"/>
      <c r="Z490" s="26"/>
      <c r="AA490" s="27">
        <f>IF(TA[[#This Row],[Work Start time on Fault]]="NA","",(TA[[#This Row],[Fault Acknowledgement Time ]]-TA[[#This Row],[Fault Time]])*24)</f>
        <v>0</v>
      </c>
      <c r="AB490" s="27">
        <f>(TA[[#This Row],[Work Start time on Fault]]-TA[[#This Row],[Fault Time]])*24</f>
        <v>0</v>
      </c>
      <c r="AC490" s="26">
        <f>(TA[[#This Row],[Work Completion time on fault]]-TA[[#This Row],[Fault Time]])*24</f>
        <v>0</v>
      </c>
      <c r="AD490" s="27">
        <f>IFERROR((TA[[#This Row],[Work Completion time on fault]]-TA[[#This Row],[Fault Time]])*24,"")</f>
        <v>0</v>
      </c>
      <c r="AE490" t="s">
        <v>319</v>
      </c>
      <c r="AF490" t="s">
        <v>247</v>
      </c>
      <c r="AG490" s="2"/>
      <c r="AH490" s="35">
        <f>1-COS(RADIANS(TA[[#This Row],[Avg. Target Angle during Fault Time (Radians)]]-TA[[#This Row],[Angle of affected equipment ]]))</f>
        <v>0.11705240714107301</v>
      </c>
      <c r="AI490" s="27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43">
        <f t="shared" si="24"/>
        <v>2026</v>
      </c>
      <c r="C491" s="116">
        <f t="shared" si="25"/>
        <v>2025</v>
      </c>
      <c r="D491" s="2" t="s">
        <v>155</v>
      </c>
      <c r="E491" s="2" t="s">
        <v>155</v>
      </c>
      <c r="F491" s="30">
        <v>45778</v>
      </c>
      <c r="G491" s="2">
        <f>DAY(EOMONTH(TA[[#This Row],[Month Year]],0))</f>
        <v>31</v>
      </c>
      <c r="H491" s="21">
        <v>45778</v>
      </c>
      <c r="I491" s="32">
        <f>IFERROR(VLOOKUP(TA[[#This Row],[Date]],Raw_Data[[Date]:[Sunset Time (POA&lt;20 W/m2)]],3,0),"")</f>
        <v>0.25486111111111109</v>
      </c>
      <c r="J491" s="32">
        <f>IFERROR(VLOOKUP(TA[[#This Row],[Date]],Raw_Data[[Date]:[Sunset Time (POA&lt;20 W/m2)]],4,0),"")</f>
        <v>0.76944444444444449</v>
      </c>
      <c r="K491" s="27">
        <f>IFERROR((TA[[#This Row],[Sunset Time (POA&lt;20 W/m2)]]-TA[[#This Row],[Sunrise Time (POA&gt;20 W/m2)]])*24,"")</f>
        <v>12.350000000000001</v>
      </c>
      <c r="L491" s="2" t="s">
        <v>285</v>
      </c>
      <c r="M491" s="33">
        <f>IFERROR(VLOOKUP(TA[[#This Row],[Affected Equipment]],'Basic Data'!$I$2:$K$40,3,0),"")</f>
        <v>1.7241379310344799E-3</v>
      </c>
      <c r="N491">
        <v>-28</v>
      </c>
      <c r="O491" t="s">
        <v>137</v>
      </c>
      <c r="P491" s="114" t="s">
        <v>306</v>
      </c>
      <c r="Q491" s="113" t="s">
        <v>310</v>
      </c>
      <c r="R491">
        <v>166</v>
      </c>
      <c r="S491" s="2">
        <v>91</v>
      </c>
      <c r="T491" t="s">
        <v>286</v>
      </c>
      <c r="U491" t="s">
        <v>291</v>
      </c>
      <c r="V491" t="s">
        <v>289</v>
      </c>
      <c r="W491" s="32"/>
      <c r="X491" s="32"/>
      <c r="Y491" s="26"/>
      <c r="Z491" s="26"/>
      <c r="AA491" s="27">
        <f>IF(TA[[#This Row],[Work Start time on Fault]]="NA","",(TA[[#This Row],[Fault Acknowledgement Time ]]-TA[[#This Row],[Fault Time]])*24)</f>
        <v>0</v>
      </c>
      <c r="AB491" s="27">
        <f>(TA[[#This Row],[Work Start time on Fault]]-TA[[#This Row],[Fault Time]])*24</f>
        <v>0</v>
      </c>
      <c r="AC491" s="26">
        <f>(TA[[#This Row],[Work Completion time on fault]]-TA[[#This Row],[Fault Time]])*24</f>
        <v>0</v>
      </c>
      <c r="AD491" s="27">
        <f>IFERROR((TA[[#This Row],[Work Completion time on fault]]-TA[[#This Row],[Fault Time]])*24,"")</f>
        <v>0</v>
      </c>
      <c r="AE491" t="s">
        <v>319</v>
      </c>
      <c r="AF491" t="s">
        <v>247</v>
      </c>
      <c r="AG491" s="2"/>
      <c r="AH491" s="35">
        <f>1-COS(RADIANS(TA[[#This Row],[Avg. Target Angle during Fault Time (Radians)]]-TA[[#This Row],[Angle of affected equipment ]]))</f>
        <v>0.11705240714107301</v>
      </c>
      <c r="AI491" s="27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43">
        <f t="shared" si="24"/>
        <v>2026</v>
      </c>
      <c r="C492" s="116">
        <f t="shared" si="25"/>
        <v>2025</v>
      </c>
      <c r="D492" s="2" t="s">
        <v>155</v>
      </c>
      <c r="E492" s="2" t="s">
        <v>155</v>
      </c>
      <c r="F492" s="30">
        <v>45778</v>
      </c>
      <c r="G492" s="2">
        <f>DAY(EOMONTH(TA[[#This Row],[Month Year]],0))</f>
        <v>31</v>
      </c>
      <c r="H492" s="21">
        <v>45778</v>
      </c>
      <c r="I492" s="32">
        <f>IFERROR(VLOOKUP(TA[[#This Row],[Date]],Raw_Data[[Date]:[Sunset Time (POA&lt;20 W/m2)]],3,0),"")</f>
        <v>0.25486111111111109</v>
      </c>
      <c r="J492" s="32">
        <f>IFERROR(VLOOKUP(TA[[#This Row],[Date]],Raw_Data[[Date]:[Sunset Time (POA&lt;20 W/m2)]],4,0),"")</f>
        <v>0.76944444444444449</v>
      </c>
      <c r="K492" s="27">
        <f>IFERROR((TA[[#This Row],[Sunset Time (POA&lt;20 W/m2)]]-TA[[#This Row],[Sunrise Time (POA&gt;20 W/m2)]])*24,"")</f>
        <v>12.350000000000001</v>
      </c>
      <c r="L492" s="2" t="s">
        <v>285</v>
      </c>
      <c r="M492" s="33">
        <f>IFERROR(VLOOKUP(TA[[#This Row],[Affected Equipment]],'Basic Data'!$I$2:$K$40,3,0),"")</f>
        <v>1.7241379310344799E-3</v>
      </c>
      <c r="N492">
        <v>-28</v>
      </c>
      <c r="O492" t="s">
        <v>133</v>
      </c>
      <c r="P492" s="114" t="s">
        <v>307</v>
      </c>
      <c r="Q492" s="113" t="s">
        <v>307</v>
      </c>
      <c r="R492">
        <v>117</v>
      </c>
      <c r="S492" s="2">
        <v>20</v>
      </c>
      <c r="T492" t="s">
        <v>286</v>
      </c>
      <c r="U492" t="s">
        <v>291</v>
      </c>
      <c r="V492" t="s">
        <v>289</v>
      </c>
      <c r="W492" s="32"/>
      <c r="X492" s="32"/>
      <c r="Y492" s="26"/>
      <c r="Z492" s="26"/>
      <c r="AA492" s="27">
        <f>IF(TA[[#This Row],[Work Start time on Fault]]="NA","",(TA[[#This Row],[Fault Acknowledgement Time ]]-TA[[#This Row],[Fault Time]])*24)</f>
        <v>0</v>
      </c>
      <c r="AB492" s="27">
        <f>(TA[[#This Row],[Work Start time on Fault]]-TA[[#This Row],[Fault Time]])*24</f>
        <v>0</v>
      </c>
      <c r="AC492" s="26">
        <f>(TA[[#This Row],[Work Completion time on fault]]-TA[[#This Row],[Fault Time]])*24</f>
        <v>0</v>
      </c>
      <c r="AD492" s="27">
        <f>IFERROR((TA[[#This Row],[Work Completion time on fault]]-TA[[#This Row],[Fault Time]])*24,"")</f>
        <v>0</v>
      </c>
      <c r="AE492" t="s">
        <v>319</v>
      </c>
      <c r="AF492" t="s">
        <v>247</v>
      </c>
      <c r="AG492" s="2"/>
      <c r="AH492" s="35">
        <f>1-COS(RADIANS(TA[[#This Row],[Avg. Target Angle during Fault Time (Radians)]]-TA[[#This Row],[Angle of affected equipment ]]))</f>
        <v>0.11705240714107301</v>
      </c>
      <c r="AI492" s="27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43">
        <f t="shared" si="24"/>
        <v>2026</v>
      </c>
      <c r="C493" s="116">
        <f t="shared" si="25"/>
        <v>2025</v>
      </c>
      <c r="D493" s="2" t="s">
        <v>155</v>
      </c>
      <c r="E493" s="2" t="s">
        <v>155</v>
      </c>
      <c r="F493" s="30">
        <v>45778</v>
      </c>
      <c r="G493" s="2">
        <f>DAY(EOMONTH(TA[[#This Row],[Month Year]],0))</f>
        <v>31</v>
      </c>
      <c r="H493" s="21">
        <v>45778</v>
      </c>
      <c r="I493" s="32">
        <f>IFERROR(VLOOKUP(TA[[#This Row],[Date]],Raw_Data[[Date]:[Sunset Time (POA&lt;20 W/m2)]],3,0),"")</f>
        <v>0.25486111111111109</v>
      </c>
      <c r="J493" s="32">
        <f>IFERROR(VLOOKUP(TA[[#This Row],[Date]],Raw_Data[[Date]:[Sunset Time (POA&lt;20 W/m2)]],4,0),"")</f>
        <v>0.76944444444444449</v>
      </c>
      <c r="K493" s="27">
        <f>IFERROR((TA[[#This Row],[Sunset Time (POA&lt;20 W/m2)]]-TA[[#This Row],[Sunrise Time (POA&gt;20 W/m2)]])*24,"")</f>
        <v>12.350000000000001</v>
      </c>
      <c r="L493" s="2" t="s">
        <v>285</v>
      </c>
      <c r="M493" s="33">
        <f>IFERROR(VLOOKUP(TA[[#This Row],[Affected Equipment]],'Basic Data'!$I$2:$K$40,3,0),"")</f>
        <v>1.7241379310344799E-3</v>
      </c>
      <c r="N493">
        <v>-28</v>
      </c>
      <c r="O493" t="s">
        <v>133</v>
      </c>
      <c r="P493" s="114" t="s">
        <v>307</v>
      </c>
      <c r="Q493" s="113" t="s">
        <v>307</v>
      </c>
      <c r="R493">
        <v>118</v>
      </c>
      <c r="S493" s="2">
        <v>22</v>
      </c>
      <c r="T493" t="s">
        <v>286</v>
      </c>
      <c r="U493" t="s">
        <v>291</v>
      </c>
      <c r="V493" t="s">
        <v>289</v>
      </c>
      <c r="W493" s="32"/>
      <c r="X493" s="32"/>
      <c r="Y493" s="26"/>
      <c r="Z493" s="26"/>
      <c r="AA493" s="27">
        <f>IF(TA[[#This Row],[Work Start time on Fault]]="NA","",(TA[[#This Row],[Fault Acknowledgement Time ]]-TA[[#This Row],[Fault Time]])*24)</f>
        <v>0</v>
      </c>
      <c r="AB493" s="27">
        <f>(TA[[#This Row],[Work Start time on Fault]]-TA[[#This Row],[Fault Time]])*24</f>
        <v>0</v>
      </c>
      <c r="AC493" s="26">
        <f>(TA[[#This Row],[Work Completion time on fault]]-TA[[#This Row],[Fault Time]])*24</f>
        <v>0</v>
      </c>
      <c r="AD493" s="27">
        <f>IFERROR((TA[[#This Row],[Work Completion time on fault]]-TA[[#This Row],[Fault Time]])*24,"")</f>
        <v>0</v>
      </c>
      <c r="AE493" t="s">
        <v>319</v>
      </c>
      <c r="AF493" t="s">
        <v>247</v>
      </c>
      <c r="AG493" s="2"/>
      <c r="AH493" s="35">
        <f>1-COS(RADIANS(TA[[#This Row],[Avg. Target Angle during Fault Time (Radians)]]-TA[[#This Row],[Angle of affected equipment ]]))</f>
        <v>0.11705240714107301</v>
      </c>
      <c r="AI493" s="27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43">
        <f t="shared" si="24"/>
        <v>2026</v>
      </c>
      <c r="C494" s="116">
        <f t="shared" si="25"/>
        <v>2025</v>
      </c>
      <c r="D494" s="2" t="s">
        <v>155</v>
      </c>
      <c r="E494" s="2" t="s">
        <v>155</v>
      </c>
      <c r="F494" s="30">
        <v>45778</v>
      </c>
      <c r="G494" s="2">
        <f>DAY(EOMONTH(TA[[#This Row],[Month Year]],0))</f>
        <v>31</v>
      </c>
      <c r="H494" s="21">
        <v>45778</v>
      </c>
      <c r="I494" s="32">
        <f>IFERROR(VLOOKUP(TA[[#This Row],[Date]],Raw_Data[[Date]:[Sunset Time (POA&lt;20 W/m2)]],3,0),"")</f>
        <v>0.25486111111111109</v>
      </c>
      <c r="J494" s="32">
        <f>IFERROR(VLOOKUP(TA[[#This Row],[Date]],Raw_Data[[Date]:[Sunset Time (POA&lt;20 W/m2)]],4,0),"")</f>
        <v>0.76944444444444449</v>
      </c>
      <c r="K494" s="27">
        <f>IFERROR((TA[[#This Row],[Sunset Time (POA&lt;20 W/m2)]]-TA[[#This Row],[Sunrise Time (POA&gt;20 W/m2)]])*24,"")</f>
        <v>12.350000000000001</v>
      </c>
      <c r="L494" s="2" t="s">
        <v>287</v>
      </c>
      <c r="M494" s="33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314</v>
      </c>
      <c r="Q494" s="2" t="s">
        <v>320</v>
      </c>
      <c r="R494">
        <v>45</v>
      </c>
      <c r="S494" s="2">
        <v>8</v>
      </c>
      <c r="T494" t="s">
        <v>288</v>
      </c>
      <c r="U494" t="s">
        <v>317</v>
      </c>
      <c r="V494" t="s">
        <v>292</v>
      </c>
      <c r="W494" s="32"/>
      <c r="X494" s="32"/>
      <c r="Y494" s="26"/>
      <c r="Z494" s="26"/>
      <c r="AA494" s="27">
        <f>IF(TA[[#This Row],[Work Start time on Fault]]="NA","",(TA[[#This Row],[Fault Acknowledgement Time ]]-TA[[#This Row],[Fault Time]])*24)</f>
        <v>0</v>
      </c>
      <c r="AB494" s="27">
        <f>(TA[[#This Row],[Work Start time on Fault]]-TA[[#This Row],[Fault Time]])*24</f>
        <v>0</v>
      </c>
      <c r="AC494" s="26">
        <f>(TA[[#This Row],[Work Completion time on fault]]-TA[[#This Row],[Fault Time]])*24</f>
        <v>0</v>
      </c>
      <c r="AD494" s="27">
        <f>IFERROR((TA[[#This Row],[Work Completion time on fault]]-TA[[#This Row],[Fault Time]])*24,"")</f>
        <v>0</v>
      </c>
      <c r="AE494" t="s">
        <v>319</v>
      </c>
      <c r="AF494" t="s">
        <v>247</v>
      </c>
      <c r="AG494" s="2"/>
      <c r="AH494" s="35">
        <f>1-COS(RADIANS(TA[[#This Row],[Avg. Target Angle during Fault Time (Radians)]]-TA[[#This Row],[Angle of affected equipment ]]))</f>
        <v>0.11705240714107301</v>
      </c>
      <c r="AI494" s="27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43">
        <f t="shared" si="24"/>
        <v>2026</v>
      </c>
      <c r="C495" s="116">
        <f t="shared" si="25"/>
        <v>2025</v>
      </c>
      <c r="D495" s="2" t="s">
        <v>155</v>
      </c>
      <c r="E495" s="2" t="s">
        <v>155</v>
      </c>
      <c r="F495" s="30">
        <v>45778</v>
      </c>
      <c r="G495" s="2">
        <f>DAY(EOMONTH(TA[[#This Row],[Month Year]],0))</f>
        <v>31</v>
      </c>
      <c r="H495" s="21">
        <v>45778</v>
      </c>
      <c r="I495" s="32">
        <f>IFERROR(VLOOKUP(TA[[#This Row],[Date]],Raw_Data[[Date]:[Sunset Time (POA&lt;20 W/m2)]],3,0),"")</f>
        <v>0.25486111111111109</v>
      </c>
      <c r="J495" s="32">
        <f>IFERROR(VLOOKUP(TA[[#This Row],[Date]],Raw_Data[[Date]:[Sunset Time (POA&lt;20 W/m2)]],4,0),"")</f>
        <v>0.76944444444444449</v>
      </c>
      <c r="K495" s="27">
        <f>IFERROR((TA[[#This Row],[Sunset Time (POA&lt;20 W/m2)]]-TA[[#This Row],[Sunrise Time (POA&gt;20 W/m2)]])*24,"")</f>
        <v>12.350000000000001</v>
      </c>
      <c r="L495" s="2" t="s">
        <v>287</v>
      </c>
      <c r="M495" s="33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314</v>
      </c>
      <c r="Q495" s="2" t="s">
        <v>320</v>
      </c>
      <c r="R495">
        <v>47</v>
      </c>
      <c r="S495" s="2">
        <v>18</v>
      </c>
      <c r="T495" t="s">
        <v>288</v>
      </c>
      <c r="U495" t="s">
        <v>317</v>
      </c>
      <c r="V495" t="s">
        <v>292</v>
      </c>
      <c r="W495" s="32"/>
      <c r="X495" s="32"/>
      <c r="Y495" s="26"/>
      <c r="Z495" s="26"/>
      <c r="AA495" s="27">
        <f>IF(TA[[#This Row],[Work Start time on Fault]]="NA","",(TA[[#This Row],[Fault Acknowledgement Time ]]-TA[[#This Row],[Fault Time]])*24)</f>
        <v>0</v>
      </c>
      <c r="AB495" s="27">
        <f>(TA[[#This Row],[Work Start time on Fault]]-TA[[#This Row],[Fault Time]])*24</f>
        <v>0</v>
      </c>
      <c r="AC495" s="26">
        <f>(TA[[#This Row],[Work Completion time on fault]]-TA[[#This Row],[Fault Time]])*24</f>
        <v>0</v>
      </c>
      <c r="AD495" s="27">
        <f>IFERROR((TA[[#This Row],[Work Completion time on fault]]-TA[[#This Row],[Fault Time]])*24,"")</f>
        <v>0</v>
      </c>
      <c r="AE495" t="s">
        <v>319</v>
      </c>
      <c r="AF495" t="s">
        <v>247</v>
      </c>
      <c r="AG495" s="2"/>
      <c r="AH495" s="35">
        <f>1-COS(RADIANS(TA[[#This Row],[Avg. Target Angle during Fault Time (Radians)]]-TA[[#This Row],[Angle of affected equipment ]]))</f>
        <v>0.11705240714107301</v>
      </c>
      <c r="AI495" s="27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43">
        <f t="shared" si="24"/>
        <v>2026</v>
      </c>
      <c r="C496" s="116">
        <f t="shared" si="25"/>
        <v>2025</v>
      </c>
      <c r="D496" s="2" t="s">
        <v>155</v>
      </c>
      <c r="E496" s="2" t="s">
        <v>155</v>
      </c>
      <c r="F496" s="30">
        <v>45778</v>
      </c>
      <c r="G496" s="2">
        <f>DAY(EOMONTH(TA[[#This Row],[Month Year]],0))</f>
        <v>31</v>
      </c>
      <c r="H496" s="21">
        <v>45778</v>
      </c>
      <c r="I496" s="32">
        <f>IFERROR(VLOOKUP(TA[[#This Row],[Date]],Raw_Data[[Date]:[Sunset Time (POA&lt;20 W/m2)]],3,0),"")</f>
        <v>0.25486111111111109</v>
      </c>
      <c r="J496" s="32">
        <f>IFERROR(VLOOKUP(TA[[#This Row],[Date]],Raw_Data[[Date]:[Sunset Time (POA&lt;20 W/m2)]],4,0),"")</f>
        <v>0.76944444444444449</v>
      </c>
      <c r="K496" s="27">
        <f>IFERROR((TA[[#This Row],[Sunset Time (POA&lt;20 W/m2)]]-TA[[#This Row],[Sunrise Time (POA&gt;20 W/m2)]])*24,"")</f>
        <v>12.350000000000001</v>
      </c>
      <c r="L496" s="2" t="s">
        <v>287</v>
      </c>
      <c r="M496" s="33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321</v>
      </c>
      <c r="Q496" s="2" t="s">
        <v>314</v>
      </c>
      <c r="R496">
        <v>30</v>
      </c>
      <c r="S496" s="2">
        <v>57</v>
      </c>
      <c r="T496" t="s">
        <v>288</v>
      </c>
      <c r="U496" t="s">
        <v>317</v>
      </c>
      <c r="V496" t="s">
        <v>292</v>
      </c>
      <c r="W496" s="32"/>
      <c r="X496" s="32"/>
      <c r="Y496" s="26"/>
      <c r="Z496" s="26"/>
      <c r="AA496" s="27">
        <f>IF(TA[[#This Row],[Work Start time on Fault]]="NA","",(TA[[#This Row],[Fault Acknowledgement Time ]]-TA[[#This Row],[Fault Time]])*24)</f>
        <v>0</v>
      </c>
      <c r="AB496" s="27">
        <f>(TA[[#This Row],[Work Start time on Fault]]-TA[[#This Row],[Fault Time]])*24</f>
        <v>0</v>
      </c>
      <c r="AC496" s="26">
        <f>(TA[[#This Row],[Work Completion time on fault]]-TA[[#This Row],[Fault Time]])*24</f>
        <v>0</v>
      </c>
      <c r="AD496" s="27">
        <f>IFERROR((TA[[#This Row],[Work Completion time on fault]]-TA[[#This Row],[Fault Time]])*24,"")</f>
        <v>0</v>
      </c>
      <c r="AE496" t="s">
        <v>319</v>
      </c>
      <c r="AF496" t="s">
        <v>247</v>
      </c>
      <c r="AG496" s="2"/>
      <c r="AH496" s="35">
        <f>1-COS(RADIANS(TA[[#This Row],[Avg. Target Angle during Fault Time (Radians)]]-TA[[#This Row],[Angle of affected equipment ]]))</f>
        <v>0.11705240714107301</v>
      </c>
      <c r="AI496" s="27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43">
        <f t="shared" si="24"/>
        <v>2026</v>
      </c>
      <c r="C497" s="116">
        <f t="shared" si="25"/>
        <v>2025</v>
      </c>
      <c r="D497" s="2" t="s">
        <v>155</v>
      </c>
      <c r="E497" s="2" t="s">
        <v>155</v>
      </c>
      <c r="F497" s="30">
        <v>45778</v>
      </c>
      <c r="G497" s="2">
        <f>DAY(EOMONTH(TA[[#This Row],[Month Year]],0))</f>
        <v>31</v>
      </c>
      <c r="H497" s="21">
        <v>45778</v>
      </c>
      <c r="I497" s="32">
        <f>IFERROR(VLOOKUP(TA[[#This Row],[Date]],Raw_Data[[Date]:[Sunset Time (POA&lt;20 W/m2)]],3,0),"")</f>
        <v>0.25486111111111109</v>
      </c>
      <c r="J497" s="32">
        <f>IFERROR(VLOOKUP(TA[[#This Row],[Date]],Raw_Data[[Date]:[Sunset Time (POA&lt;20 W/m2)]],4,0),"")</f>
        <v>0.76944444444444449</v>
      </c>
      <c r="K497" s="27">
        <f>IFERROR((TA[[#This Row],[Sunset Time (POA&lt;20 W/m2)]]-TA[[#This Row],[Sunrise Time (POA&gt;20 W/m2)]])*24,"")</f>
        <v>12.350000000000001</v>
      </c>
      <c r="L497" s="2" t="s">
        <v>287</v>
      </c>
      <c r="M497" s="33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321</v>
      </c>
      <c r="Q497" s="2" t="s">
        <v>314</v>
      </c>
      <c r="R497">
        <v>31</v>
      </c>
      <c r="S497" s="2">
        <v>61</v>
      </c>
      <c r="T497" t="s">
        <v>288</v>
      </c>
      <c r="U497" t="s">
        <v>317</v>
      </c>
      <c r="V497" t="s">
        <v>292</v>
      </c>
      <c r="W497" s="32"/>
      <c r="X497" s="32"/>
      <c r="Y497" s="26"/>
      <c r="Z497" s="26"/>
      <c r="AA497" s="27">
        <f>IF(TA[[#This Row],[Work Start time on Fault]]="NA","",(TA[[#This Row],[Fault Acknowledgement Time ]]-TA[[#This Row],[Fault Time]])*24)</f>
        <v>0</v>
      </c>
      <c r="AB497" s="27">
        <f>(TA[[#This Row],[Work Start time on Fault]]-TA[[#This Row],[Fault Time]])*24</f>
        <v>0</v>
      </c>
      <c r="AC497" s="26">
        <f>(TA[[#This Row],[Work Completion time on fault]]-TA[[#This Row],[Fault Time]])*24</f>
        <v>0</v>
      </c>
      <c r="AD497" s="27">
        <f>IFERROR((TA[[#This Row],[Work Completion time on fault]]-TA[[#This Row],[Fault Time]])*24,"")</f>
        <v>0</v>
      </c>
      <c r="AE497" t="s">
        <v>319</v>
      </c>
      <c r="AF497" t="s">
        <v>247</v>
      </c>
      <c r="AG497" s="2"/>
      <c r="AH497" s="35">
        <f>1-COS(RADIANS(TA[[#This Row],[Avg. Target Angle during Fault Time (Radians)]]-TA[[#This Row],[Angle of affected equipment ]]))</f>
        <v>0.11705240714107301</v>
      </c>
      <c r="AI497" s="27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43">
        <f t="shared" si="24"/>
        <v>2026</v>
      </c>
      <c r="C498" s="116">
        <f t="shared" si="25"/>
        <v>2025</v>
      </c>
      <c r="D498" s="2" t="s">
        <v>155</v>
      </c>
      <c r="E498" s="2" t="s">
        <v>155</v>
      </c>
      <c r="F498" s="30">
        <v>45778</v>
      </c>
      <c r="G498" s="2">
        <f>DAY(EOMONTH(TA[[#This Row],[Month Year]],0))</f>
        <v>31</v>
      </c>
      <c r="H498" s="21">
        <v>45778</v>
      </c>
      <c r="I498" s="32">
        <f>IFERROR(VLOOKUP(TA[[#This Row],[Date]],Raw_Data[[Date]:[Sunset Time (POA&lt;20 W/m2)]],3,0),"")</f>
        <v>0.25486111111111109</v>
      </c>
      <c r="J498" s="32">
        <f>IFERROR(VLOOKUP(TA[[#This Row],[Date]],Raw_Data[[Date]:[Sunset Time (POA&lt;20 W/m2)]],4,0),"")</f>
        <v>0.76944444444444449</v>
      </c>
      <c r="K498" s="27">
        <f>IFERROR((TA[[#This Row],[Sunset Time (POA&lt;20 W/m2)]]-TA[[#This Row],[Sunrise Time (POA&gt;20 W/m2)]])*24,"")</f>
        <v>12.350000000000001</v>
      </c>
      <c r="L498" s="2" t="s">
        <v>303</v>
      </c>
      <c r="M498" s="33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321</v>
      </c>
      <c r="Q498" s="2" t="s">
        <v>314</v>
      </c>
      <c r="R498">
        <v>26</v>
      </c>
      <c r="S498" s="2">
        <v>37</v>
      </c>
      <c r="T498" t="s">
        <v>288</v>
      </c>
      <c r="U498" t="s">
        <v>317</v>
      </c>
      <c r="V498" t="s">
        <v>292</v>
      </c>
      <c r="W498" s="32"/>
      <c r="X498" s="32"/>
      <c r="Y498" s="26"/>
      <c r="Z498" s="26"/>
      <c r="AA498" s="27">
        <f>IF(TA[[#This Row],[Work Start time on Fault]]="NA","",(TA[[#This Row],[Fault Acknowledgement Time ]]-TA[[#This Row],[Fault Time]])*24)</f>
        <v>0</v>
      </c>
      <c r="AB498" s="27">
        <f>(TA[[#This Row],[Work Start time on Fault]]-TA[[#This Row],[Fault Time]])*24</f>
        <v>0</v>
      </c>
      <c r="AC498" s="26">
        <f>(TA[[#This Row],[Work Completion time on fault]]-TA[[#This Row],[Fault Time]])*24</f>
        <v>0</v>
      </c>
      <c r="AD498" s="27">
        <f>IFERROR((TA[[#This Row],[Work Completion time on fault]]-TA[[#This Row],[Fault Time]])*24,"")</f>
        <v>0</v>
      </c>
      <c r="AE498" t="s">
        <v>319</v>
      </c>
      <c r="AF498" t="s">
        <v>247</v>
      </c>
      <c r="AG498" s="2"/>
      <c r="AH498" s="35">
        <f>1-COS(RADIANS(TA[[#This Row],[Avg. Target Angle during Fault Time (Radians)]]-TA[[#This Row],[Angle of affected equipment ]]))</f>
        <v>0.11705240714107301</v>
      </c>
      <c r="AI498" s="27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43">
        <f t="shared" si="24"/>
        <v>2026</v>
      </c>
      <c r="C499" s="116">
        <f t="shared" si="25"/>
        <v>2025</v>
      </c>
      <c r="D499" s="2" t="s">
        <v>155</v>
      </c>
      <c r="E499" s="2" t="s">
        <v>155</v>
      </c>
      <c r="F499" s="30">
        <v>45778</v>
      </c>
      <c r="G499" s="2">
        <f>DAY(EOMONTH(TA[[#This Row],[Month Year]],0))</f>
        <v>31</v>
      </c>
      <c r="H499" s="21">
        <v>45778</v>
      </c>
      <c r="I499" s="32">
        <f>IFERROR(VLOOKUP(TA[[#This Row],[Date]],Raw_Data[[Date]:[Sunset Time (POA&lt;20 W/m2)]],3,0),"")</f>
        <v>0.25486111111111109</v>
      </c>
      <c r="J499" s="32">
        <f>IFERROR(VLOOKUP(TA[[#This Row],[Date]],Raw_Data[[Date]:[Sunset Time (POA&lt;20 W/m2)]],4,0),"")</f>
        <v>0.76944444444444449</v>
      </c>
      <c r="K499" s="27">
        <f>IFERROR((TA[[#This Row],[Sunset Time (POA&lt;20 W/m2)]]-TA[[#This Row],[Sunrise Time (POA&gt;20 W/m2)]])*24,"")</f>
        <v>12.350000000000001</v>
      </c>
      <c r="L499" s="2" t="s">
        <v>303</v>
      </c>
      <c r="M499" s="33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321</v>
      </c>
      <c r="Q499" s="2" t="s">
        <v>314</v>
      </c>
      <c r="R499">
        <v>27</v>
      </c>
      <c r="S499" s="2">
        <v>42</v>
      </c>
      <c r="T499" t="s">
        <v>288</v>
      </c>
      <c r="U499" t="s">
        <v>317</v>
      </c>
      <c r="V499" t="s">
        <v>292</v>
      </c>
      <c r="W499" s="32">
        <f>IFERROR(VLOOKUP(TA[[#This Row],[Date]],Raw_Data[[Date]:[Sunset Time (POA&lt;20 W/m2)]],3,0),"")</f>
        <v>0.25486111111111109</v>
      </c>
      <c r="X499" s="32">
        <f>IFERROR(VLOOKUP(TA[[#This Row],[Date]],Raw_Data[[Date]:[Sunset Time (POA&lt;20 W/m2)]],3,0),"")</f>
        <v>0.25486111111111109</v>
      </c>
      <c r="Y499" s="26"/>
      <c r="Z499" s="26">
        <v>0.76041666666666663</v>
      </c>
      <c r="AA499" s="27">
        <f>IF(TA[[#This Row],[Work Start time on Fault]]="NA","",(TA[[#This Row],[Fault Acknowledgement Time ]]-TA[[#This Row],[Fault Time]])*24)</f>
        <v>0</v>
      </c>
      <c r="AB499" s="27">
        <f>(TA[[#This Row],[Work Start time on Fault]]-TA[[#This Row],[Fault Time]])*24</f>
        <v>-6.1166666666666663</v>
      </c>
      <c r="AC499" s="26">
        <f>(TA[[#This Row],[Work Completion time on fault]]-TA[[#This Row],[Fault Time]])*24</f>
        <v>12.133333333333333</v>
      </c>
      <c r="AD499" s="27">
        <f>IFERROR((TA[[#This Row],[Work Completion time on fault]]-TA[[#This Row],[Fault Time]])*24,"")</f>
        <v>12.133333333333333</v>
      </c>
      <c r="AE499" t="s">
        <v>300</v>
      </c>
      <c r="AF499" t="s">
        <v>247</v>
      </c>
      <c r="AG499" s="2"/>
      <c r="AH499" s="35">
        <f>1-COS(RADIANS(TA[[#This Row],[Avg. Target Angle during Fault Time (Radians)]]-TA[[#This Row],[Angle of affected equipment ]]))</f>
        <v>0.11705240714107301</v>
      </c>
      <c r="AI499" s="27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43">
        <f t="shared" si="24"/>
        <v>2026</v>
      </c>
      <c r="C500" s="116">
        <f t="shared" si="25"/>
        <v>2025</v>
      </c>
      <c r="D500" s="2" t="s">
        <v>155</v>
      </c>
      <c r="E500" s="2" t="s">
        <v>155</v>
      </c>
      <c r="F500" s="30">
        <v>45778</v>
      </c>
      <c r="G500" s="2">
        <f>DAY(EOMONTH(TA[[#This Row],[Month Year]],0))</f>
        <v>31</v>
      </c>
      <c r="H500" s="21">
        <v>45779</v>
      </c>
      <c r="I500" s="32">
        <f>IFERROR(VLOOKUP(TA[[#This Row],[Date]],Raw_Data[[Date]:[Sunset Time (POA&lt;20 W/m2)]],3,0),"")</f>
        <v>0.26319444444444445</v>
      </c>
      <c r="J500" s="32">
        <f>IFERROR(VLOOKUP(TA[[#This Row],[Date]],Raw_Data[[Date]:[Sunset Time (POA&lt;20 W/m2)]],4,0),"")</f>
        <v>0.76875000000000004</v>
      </c>
      <c r="K500" s="27">
        <f>IFERROR((TA[[#This Row],[Sunset Time (POA&lt;20 W/m2)]]-TA[[#This Row],[Sunrise Time (POA&gt;20 W/m2)]])*24,"")</f>
        <v>12.133333333333333</v>
      </c>
      <c r="L500" s="2" t="s">
        <v>285</v>
      </c>
      <c r="M500" s="33">
        <f>IFERROR(VLOOKUP(TA[[#This Row],[Affected Equipment]],'Basic Data'!$I$2:$K$40,3,0),"")</f>
        <v>1.7241379310344799E-3</v>
      </c>
      <c r="N500">
        <v>-28</v>
      </c>
      <c r="O500" t="s">
        <v>135</v>
      </c>
      <c r="P500" s="114" t="s">
        <v>309</v>
      </c>
      <c r="Q500" s="113" t="s">
        <v>309</v>
      </c>
      <c r="R500">
        <v>130</v>
      </c>
      <c r="S500" s="2">
        <v>37</v>
      </c>
      <c r="T500" t="s">
        <v>286</v>
      </c>
      <c r="U500" t="s">
        <v>291</v>
      </c>
      <c r="V500" t="s">
        <v>289</v>
      </c>
      <c r="W500" s="32"/>
      <c r="X500" s="32"/>
      <c r="Y500" s="26"/>
      <c r="Z500" s="26"/>
      <c r="AA500" s="27">
        <f>IF(TA[[#This Row],[Work Start time on Fault]]="NA","",(TA[[#This Row],[Fault Acknowledgement Time ]]-TA[[#This Row],[Fault Time]])*24)</f>
        <v>0</v>
      </c>
      <c r="AB500" s="27">
        <f>(TA[[#This Row],[Work Start time on Fault]]-TA[[#This Row],[Fault Time]])*24</f>
        <v>0</v>
      </c>
      <c r="AC500" s="26">
        <f>(TA[[#This Row],[Work Completion time on fault]]-TA[[#This Row],[Fault Time]])*24</f>
        <v>0</v>
      </c>
      <c r="AD500" s="27">
        <f>IFERROR((TA[[#This Row],[Work Completion time on fault]]-TA[[#This Row],[Fault Time]])*24,"")</f>
        <v>0</v>
      </c>
      <c r="AE500" t="s">
        <v>319</v>
      </c>
      <c r="AF500" t="s">
        <v>247</v>
      </c>
      <c r="AG500" s="2"/>
      <c r="AH500" s="35">
        <f>1-COS(RADIANS(TA[[#This Row],[Avg. Target Angle during Fault Time (Radians)]]-TA[[#This Row],[Angle of affected equipment ]]))</f>
        <v>0.11705240714107301</v>
      </c>
      <c r="AI500" s="27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43">
        <f t="shared" si="24"/>
        <v>2026</v>
      </c>
      <c r="C501" s="116">
        <f t="shared" si="25"/>
        <v>2025</v>
      </c>
      <c r="D501" s="2" t="s">
        <v>155</v>
      </c>
      <c r="E501" s="2" t="s">
        <v>155</v>
      </c>
      <c r="F501" s="30">
        <v>45778</v>
      </c>
      <c r="G501" s="2">
        <f>DAY(EOMONTH(TA[[#This Row],[Month Year]],0))</f>
        <v>31</v>
      </c>
      <c r="H501" s="21">
        <v>45779</v>
      </c>
      <c r="I501" s="32">
        <f>IFERROR(VLOOKUP(TA[[#This Row],[Date]],Raw_Data[[Date]:[Sunset Time (POA&lt;20 W/m2)]],3,0),"")</f>
        <v>0.26319444444444445</v>
      </c>
      <c r="J501" s="32">
        <f>IFERROR(VLOOKUP(TA[[#This Row],[Date]],Raw_Data[[Date]:[Sunset Time (POA&lt;20 W/m2)]],4,0),"")</f>
        <v>0.76875000000000004</v>
      </c>
      <c r="K501" s="27">
        <f>IFERROR((TA[[#This Row],[Sunset Time (POA&lt;20 W/m2)]]-TA[[#This Row],[Sunrise Time (POA&gt;20 W/m2)]])*24,"")</f>
        <v>12.133333333333333</v>
      </c>
      <c r="L501" s="2" t="s">
        <v>285</v>
      </c>
      <c r="M501" s="33">
        <f>IFERROR(VLOOKUP(TA[[#This Row],[Affected Equipment]],'Basic Data'!$I$2:$K$40,3,0),"")</f>
        <v>1.7241379310344799E-3</v>
      </c>
      <c r="N501">
        <v>-28</v>
      </c>
      <c r="O501" t="s">
        <v>135</v>
      </c>
      <c r="P501" s="114" t="s">
        <v>309</v>
      </c>
      <c r="Q501" s="113" t="s">
        <v>309</v>
      </c>
      <c r="R501">
        <v>131</v>
      </c>
      <c r="S501" s="2">
        <v>38</v>
      </c>
      <c r="T501" t="s">
        <v>286</v>
      </c>
      <c r="U501" t="s">
        <v>291</v>
      </c>
      <c r="V501" t="s">
        <v>289</v>
      </c>
      <c r="W501" s="32"/>
      <c r="X501" s="32"/>
      <c r="Y501" s="26"/>
      <c r="Z501" s="26"/>
      <c r="AA501" s="27">
        <f>IF(TA[[#This Row],[Work Start time on Fault]]="NA","",(TA[[#This Row],[Fault Acknowledgement Time ]]-TA[[#This Row],[Fault Time]])*24)</f>
        <v>0</v>
      </c>
      <c r="AB501" s="27">
        <f>(TA[[#This Row],[Work Start time on Fault]]-TA[[#This Row],[Fault Time]])*24</f>
        <v>0</v>
      </c>
      <c r="AC501" s="26">
        <f>(TA[[#This Row],[Work Completion time on fault]]-TA[[#This Row],[Fault Time]])*24</f>
        <v>0</v>
      </c>
      <c r="AD501" s="27">
        <f>IFERROR((TA[[#This Row],[Work Completion time on fault]]-TA[[#This Row],[Fault Time]])*24,"")</f>
        <v>0</v>
      </c>
      <c r="AE501" t="s">
        <v>319</v>
      </c>
      <c r="AF501" t="s">
        <v>247</v>
      </c>
      <c r="AG501" s="2"/>
      <c r="AH501" s="35">
        <f>1-COS(RADIANS(TA[[#This Row],[Avg. Target Angle during Fault Time (Radians)]]-TA[[#This Row],[Angle of affected equipment ]]))</f>
        <v>0.11705240714107301</v>
      </c>
      <c r="AI501" s="27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43">
        <f t="shared" si="24"/>
        <v>2026</v>
      </c>
      <c r="C502" s="116">
        <f t="shared" si="25"/>
        <v>2025</v>
      </c>
      <c r="D502" s="2" t="s">
        <v>155</v>
      </c>
      <c r="E502" s="2" t="s">
        <v>155</v>
      </c>
      <c r="F502" s="30">
        <v>45778</v>
      </c>
      <c r="G502" s="2">
        <f>DAY(EOMONTH(TA[[#This Row],[Month Year]],0))</f>
        <v>31</v>
      </c>
      <c r="H502" s="21">
        <v>45779</v>
      </c>
      <c r="I502" s="32">
        <f>IFERROR(VLOOKUP(TA[[#This Row],[Date]],Raw_Data[[Date]:[Sunset Time (POA&lt;20 W/m2)]],3,0),"")</f>
        <v>0.26319444444444445</v>
      </c>
      <c r="J502" s="32">
        <f>IFERROR(VLOOKUP(TA[[#This Row],[Date]],Raw_Data[[Date]:[Sunset Time (POA&lt;20 W/m2)]],4,0),"")</f>
        <v>0.76875000000000004</v>
      </c>
      <c r="K502" s="27">
        <f>IFERROR((TA[[#This Row],[Sunset Time (POA&lt;20 W/m2)]]-TA[[#This Row],[Sunrise Time (POA&gt;20 W/m2)]])*24,"")</f>
        <v>12.133333333333333</v>
      </c>
      <c r="L502" s="2" t="s">
        <v>285</v>
      </c>
      <c r="M502" s="33">
        <f>IFERROR(VLOOKUP(TA[[#This Row],[Affected Equipment]],'Basic Data'!$I$2:$K$40,3,0),"")</f>
        <v>1.7241379310344799E-3</v>
      </c>
      <c r="N502">
        <v>-28</v>
      </c>
      <c r="O502" t="s">
        <v>135</v>
      </c>
      <c r="P502" s="114" t="s">
        <v>309</v>
      </c>
      <c r="Q502" s="113" t="s">
        <v>309</v>
      </c>
      <c r="R502">
        <v>131</v>
      </c>
      <c r="S502" s="2">
        <v>39</v>
      </c>
      <c r="T502" t="s">
        <v>286</v>
      </c>
      <c r="U502" t="s">
        <v>291</v>
      </c>
      <c r="V502" t="s">
        <v>289</v>
      </c>
      <c r="W502" s="32"/>
      <c r="X502" s="32"/>
      <c r="Y502" s="26"/>
      <c r="Z502" s="26"/>
      <c r="AA502" s="27">
        <f>IF(TA[[#This Row],[Work Start time on Fault]]="NA","",(TA[[#This Row],[Fault Acknowledgement Time ]]-TA[[#This Row],[Fault Time]])*24)</f>
        <v>0</v>
      </c>
      <c r="AB502" s="27">
        <f>(TA[[#This Row],[Work Start time on Fault]]-TA[[#This Row],[Fault Time]])*24</f>
        <v>0</v>
      </c>
      <c r="AC502" s="26">
        <f>(TA[[#This Row],[Work Completion time on fault]]-TA[[#This Row],[Fault Time]])*24</f>
        <v>0</v>
      </c>
      <c r="AD502" s="27">
        <f>IFERROR((TA[[#This Row],[Work Completion time on fault]]-TA[[#This Row],[Fault Time]])*24,"")</f>
        <v>0</v>
      </c>
      <c r="AE502" t="s">
        <v>319</v>
      </c>
      <c r="AF502" t="s">
        <v>247</v>
      </c>
      <c r="AG502" s="2"/>
      <c r="AH502" s="35">
        <f>1-COS(RADIANS(TA[[#This Row],[Avg. Target Angle during Fault Time (Radians)]]-TA[[#This Row],[Angle of affected equipment ]]))</f>
        <v>0.11705240714107301</v>
      </c>
      <c r="AI502" s="27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43">
        <f t="shared" si="24"/>
        <v>2026</v>
      </c>
      <c r="C503" s="116">
        <f t="shared" si="25"/>
        <v>2025</v>
      </c>
      <c r="D503" s="2" t="s">
        <v>155</v>
      </c>
      <c r="E503" s="2" t="s">
        <v>155</v>
      </c>
      <c r="F503" s="30">
        <v>45778</v>
      </c>
      <c r="G503" s="2">
        <f>DAY(EOMONTH(TA[[#This Row],[Month Year]],0))</f>
        <v>31</v>
      </c>
      <c r="H503" s="21">
        <v>45779</v>
      </c>
      <c r="I503" s="32">
        <f>IFERROR(VLOOKUP(TA[[#This Row],[Date]],Raw_Data[[Date]:[Sunset Time (POA&lt;20 W/m2)]],3,0),"")</f>
        <v>0.26319444444444445</v>
      </c>
      <c r="J503" s="32">
        <f>IFERROR(VLOOKUP(TA[[#This Row],[Date]],Raw_Data[[Date]:[Sunset Time (POA&lt;20 W/m2)]],4,0),"")</f>
        <v>0.76875000000000004</v>
      </c>
      <c r="K503" s="27">
        <f>IFERROR((TA[[#This Row],[Sunset Time (POA&lt;20 W/m2)]]-TA[[#This Row],[Sunrise Time (POA&gt;20 W/m2)]])*24,"")</f>
        <v>12.133333333333333</v>
      </c>
      <c r="L503" s="2" t="s">
        <v>287</v>
      </c>
      <c r="M503" s="33">
        <f>IFERROR(VLOOKUP(TA[[#This Row],[Affected Equipment]],'Basic Data'!$I$2:$K$40,3,0),"")</f>
        <v>8.6206896551724102E-3</v>
      </c>
      <c r="N503">
        <v>-28</v>
      </c>
      <c r="O503" t="s">
        <v>135</v>
      </c>
      <c r="P503" s="114" t="s">
        <v>309</v>
      </c>
      <c r="Q503" s="2" t="s">
        <v>312</v>
      </c>
      <c r="R503">
        <v>133</v>
      </c>
      <c r="S503" s="2">
        <v>26</v>
      </c>
      <c r="T503" t="s">
        <v>288</v>
      </c>
      <c r="U503" t="s">
        <v>291</v>
      </c>
      <c r="V503" t="s">
        <v>305</v>
      </c>
      <c r="W503" s="32">
        <f>IFERROR(VLOOKUP(TA[[#This Row],[Date]],Raw_Data[[Date]:[Sunset Time (POA&lt;20 W/m2)]],3,0),"")</f>
        <v>0.26319444444444445</v>
      </c>
      <c r="X503" s="32">
        <f>IFERROR(VLOOKUP(TA[[#This Row],[Date]],Raw_Data[[Date]:[Sunset Time (POA&lt;20 W/m2)]],3,0),"")</f>
        <v>0.26319444444444445</v>
      </c>
      <c r="Y503" s="26"/>
      <c r="Z503" s="26">
        <v>0.76041666666666663</v>
      </c>
      <c r="AA503" s="27">
        <f>IF(TA[[#This Row],[Work Start time on Fault]]="NA","",(TA[[#This Row],[Fault Acknowledgement Time ]]-TA[[#This Row],[Fault Time]])*24)</f>
        <v>0</v>
      </c>
      <c r="AB503" s="27">
        <f>(TA[[#This Row],[Work Start time on Fault]]-TA[[#This Row],[Fault Time]])*24</f>
        <v>-6.3166666666666664</v>
      </c>
      <c r="AC503" s="26">
        <f>(TA[[#This Row],[Work Completion time on fault]]-TA[[#This Row],[Fault Time]])*24</f>
        <v>11.933333333333332</v>
      </c>
      <c r="AD503" s="27">
        <f>IFERROR((TA[[#This Row],[Work Completion time on fault]]-TA[[#This Row],[Fault Time]])*24,"")</f>
        <v>11.933333333333332</v>
      </c>
      <c r="AE503" t="s">
        <v>319</v>
      </c>
      <c r="AF503" t="s">
        <v>247</v>
      </c>
      <c r="AG503" s="2"/>
      <c r="AH503" s="35">
        <f>1-COS(RADIANS(TA[[#This Row],[Avg. Target Angle during Fault Time (Radians)]]-TA[[#This Row],[Angle of affected equipment ]]))</f>
        <v>0.11705240714107301</v>
      </c>
      <c r="AI503" s="27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43">
        <f t="shared" si="24"/>
        <v>2026</v>
      </c>
      <c r="C504" s="116">
        <f t="shared" si="25"/>
        <v>2025</v>
      </c>
      <c r="D504" s="2" t="s">
        <v>155</v>
      </c>
      <c r="E504" s="2" t="s">
        <v>155</v>
      </c>
      <c r="F504" s="30">
        <v>45778</v>
      </c>
      <c r="G504" s="2">
        <f>DAY(EOMONTH(TA[[#This Row],[Month Year]],0))</f>
        <v>31</v>
      </c>
      <c r="H504" s="21">
        <v>45779</v>
      </c>
      <c r="I504" s="32">
        <f>IFERROR(VLOOKUP(TA[[#This Row],[Date]],Raw_Data[[Date]:[Sunset Time (POA&lt;20 W/m2)]],3,0),"")</f>
        <v>0.26319444444444445</v>
      </c>
      <c r="J504" s="32">
        <f>IFERROR(VLOOKUP(TA[[#This Row],[Date]],Raw_Data[[Date]:[Sunset Time (POA&lt;20 W/m2)]],4,0),"")</f>
        <v>0.76875000000000004</v>
      </c>
      <c r="K504" s="27">
        <f>IFERROR((TA[[#This Row],[Sunset Time (POA&lt;20 W/m2)]]-TA[[#This Row],[Sunrise Time (POA&gt;20 W/m2)]])*24,"")</f>
        <v>12.133333333333333</v>
      </c>
      <c r="L504" s="2" t="s">
        <v>285</v>
      </c>
      <c r="M504" s="33">
        <f>IFERROR(VLOOKUP(TA[[#This Row],[Affected Equipment]],'Basic Data'!$I$2:$K$40,3,0),"")</f>
        <v>1.7241379310344799E-3</v>
      </c>
      <c r="N504">
        <v>-28</v>
      </c>
      <c r="O504" t="s">
        <v>133</v>
      </c>
      <c r="P504" s="114" t="s">
        <v>307</v>
      </c>
      <c r="Q504" s="113" t="s">
        <v>308</v>
      </c>
      <c r="R504">
        <v>7</v>
      </c>
      <c r="S504" s="2">
        <v>32</v>
      </c>
      <c r="T504" t="s">
        <v>286</v>
      </c>
      <c r="U504" t="s">
        <v>291</v>
      </c>
      <c r="V504" t="s">
        <v>289</v>
      </c>
      <c r="W504" s="32"/>
      <c r="X504" s="32"/>
      <c r="Y504" s="26"/>
      <c r="Z504" s="26"/>
      <c r="AA504" s="27">
        <f>IF(TA[[#This Row],[Work Start time on Fault]]="NA","",(TA[[#This Row],[Fault Acknowledgement Time ]]-TA[[#This Row],[Fault Time]])*24)</f>
        <v>0</v>
      </c>
      <c r="AB504" s="27">
        <f>(TA[[#This Row],[Work Start time on Fault]]-TA[[#This Row],[Fault Time]])*24</f>
        <v>0</v>
      </c>
      <c r="AC504" s="26">
        <f>(TA[[#This Row],[Work Completion time on fault]]-TA[[#This Row],[Fault Time]])*24</f>
        <v>0</v>
      </c>
      <c r="AD504" s="27">
        <f>IFERROR((TA[[#This Row],[Work Completion time on fault]]-TA[[#This Row],[Fault Time]])*24,"")</f>
        <v>0</v>
      </c>
      <c r="AE504" t="s">
        <v>319</v>
      </c>
      <c r="AF504" t="s">
        <v>247</v>
      </c>
      <c r="AG504" s="2"/>
      <c r="AH504" s="35">
        <f>1-COS(RADIANS(TA[[#This Row],[Avg. Target Angle during Fault Time (Radians)]]-TA[[#This Row],[Angle of affected equipment ]]))</f>
        <v>0.11705240714107301</v>
      </c>
      <c r="AI504" s="27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43">
        <f t="shared" si="24"/>
        <v>2026</v>
      </c>
      <c r="C505" s="116">
        <f t="shared" si="25"/>
        <v>2025</v>
      </c>
      <c r="D505" s="2" t="s">
        <v>155</v>
      </c>
      <c r="E505" s="2" t="s">
        <v>155</v>
      </c>
      <c r="F505" s="30">
        <v>45778</v>
      </c>
      <c r="G505" s="2">
        <f>DAY(EOMONTH(TA[[#This Row],[Month Year]],0))</f>
        <v>31</v>
      </c>
      <c r="H505" s="21">
        <v>45779</v>
      </c>
      <c r="I505" s="32">
        <f>IFERROR(VLOOKUP(TA[[#This Row],[Date]],Raw_Data[[Date]:[Sunset Time (POA&lt;20 W/m2)]],3,0),"")</f>
        <v>0.26319444444444445</v>
      </c>
      <c r="J505" s="32">
        <f>IFERROR(VLOOKUP(TA[[#This Row],[Date]],Raw_Data[[Date]:[Sunset Time (POA&lt;20 W/m2)]],4,0),"")</f>
        <v>0.76875000000000004</v>
      </c>
      <c r="K505" s="27">
        <f>IFERROR((TA[[#This Row],[Sunset Time (POA&lt;20 W/m2)]]-TA[[#This Row],[Sunrise Time (POA&gt;20 W/m2)]])*24,"")</f>
        <v>12.133333333333333</v>
      </c>
      <c r="L505" s="2" t="s">
        <v>285</v>
      </c>
      <c r="M505" s="33">
        <f>IFERROR(VLOOKUP(TA[[#This Row],[Affected Equipment]],'Basic Data'!$I$2:$K$40,3,0),"")</f>
        <v>1.7241379310344799E-3</v>
      </c>
      <c r="N505">
        <v>-28</v>
      </c>
      <c r="O505" t="s">
        <v>137</v>
      </c>
      <c r="P505" s="114" t="s">
        <v>306</v>
      </c>
      <c r="Q505" s="113" t="s">
        <v>310</v>
      </c>
      <c r="R505">
        <v>166</v>
      </c>
      <c r="S505" s="2">
        <v>91</v>
      </c>
      <c r="T505" t="s">
        <v>286</v>
      </c>
      <c r="U505" t="s">
        <v>291</v>
      </c>
      <c r="V505" t="s">
        <v>289</v>
      </c>
      <c r="W505" s="32"/>
      <c r="X505" s="32"/>
      <c r="Y505" s="26"/>
      <c r="Z505" s="26"/>
      <c r="AA505" s="27">
        <f>IF(TA[[#This Row],[Work Start time on Fault]]="NA","",(TA[[#This Row],[Fault Acknowledgement Time ]]-TA[[#This Row],[Fault Time]])*24)</f>
        <v>0</v>
      </c>
      <c r="AB505" s="27">
        <f>(TA[[#This Row],[Work Start time on Fault]]-TA[[#This Row],[Fault Time]])*24</f>
        <v>0</v>
      </c>
      <c r="AC505" s="26">
        <f>(TA[[#This Row],[Work Completion time on fault]]-TA[[#This Row],[Fault Time]])*24</f>
        <v>0</v>
      </c>
      <c r="AD505" s="27">
        <f>IFERROR((TA[[#This Row],[Work Completion time on fault]]-TA[[#This Row],[Fault Time]])*24,"")</f>
        <v>0</v>
      </c>
      <c r="AE505" t="s">
        <v>319</v>
      </c>
      <c r="AF505" t="s">
        <v>247</v>
      </c>
      <c r="AG505" s="2"/>
      <c r="AH505" s="35">
        <f>1-COS(RADIANS(TA[[#This Row],[Avg. Target Angle during Fault Time (Radians)]]-TA[[#This Row],[Angle of affected equipment ]]))</f>
        <v>0.11705240714107301</v>
      </c>
      <c r="AI505" s="27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43">
        <f t="shared" si="24"/>
        <v>2026</v>
      </c>
      <c r="C506" s="116">
        <f t="shared" si="25"/>
        <v>2025</v>
      </c>
      <c r="D506" s="2" t="s">
        <v>155</v>
      </c>
      <c r="E506" s="2" t="s">
        <v>155</v>
      </c>
      <c r="F506" s="30">
        <v>45778</v>
      </c>
      <c r="G506" s="2">
        <f>DAY(EOMONTH(TA[[#This Row],[Month Year]],0))</f>
        <v>31</v>
      </c>
      <c r="H506" s="21">
        <v>45779</v>
      </c>
      <c r="I506" s="32">
        <f>IFERROR(VLOOKUP(TA[[#This Row],[Date]],Raw_Data[[Date]:[Sunset Time (POA&lt;20 W/m2)]],3,0),"")</f>
        <v>0.26319444444444445</v>
      </c>
      <c r="J506" s="32">
        <f>IFERROR(VLOOKUP(TA[[#This Row],[Date]],Raw_Data[[Date]:[Sunset Time (POA&lt;20 W/m2)]],4,0),"")</f>
        <v>0.76875000000000004</v>
      </c>
      <c r="K506" s="27">
        <f>IFERROR((TA[[#This Row],[Sunset Time (POA&lt;20 W/m2)]]-TA[[#This Row],[Sunrise Time (POA&gt;20 W/m2)]])*24,"")</f>
        <v>12.133333333333333</v>
      </c>
      <c r="L506" s="2" t="s">
        <v>285</v>
      </c>
      <c r="M506" s="33">
        <f>IFERROR(VLOOKUP(TA[[#This Row],[Affected Equipment]],'Basic Data'!$I$2:$K$40,3,0),"")</f>
        <v>1.7241379310344799E-3</v>
      </c>
      <c r="N506">
        <v>-28</v>
      </c>
      <c r="O506" t="s">
        <v>133</v>
      </c>
      <c r="P506" s="114" t="s">
        <v>307</v>
      </c>
      <c r="Q506" s="113" t="s">
        <v>307</v>
      </c>
      <c r="R506">
        <v>117</v>
      </c>
      <c r="S506" s="2">
        <v>20</v>
      </c>
      <c r="T506" t="s">
        <v>286</v>
      </c>
      <c r="U506" t="s">
        <v>291</v>
      </c>
      <c r="V506" t="s">
        <v>289</v>
      </c>
      <c r="W506" s="32"/>
      <c r="X506" s="32"/>
      <c r="Y506" s="26"/>
      <c r="Z506" s="26"/>
      <c r="AA506" s="27">
        <f>IF(TA[[#This Row],[Work Start time on Fault]]="NA","",(TA[[#This Row],[Fault Acknowledgement Time ]]-TA[[#This Row],[Fault Time]])*24)</f>
        <v>0</v>
      </c>
      <c r="AB506" s="27">
        <f>(TA[[#This Row],[Work Start time on Fault]]-TA[[#This Row],[Fault Time]])*24</f>
        <v>0</v>
      </c>
      <c r="AC506" s="26">
        <f>(TA[[#This Row],[Work Completion time on fault]]-TA[[#This Row],[Fault Time]])*24</f>
        <v>0</v>
      </c>
      <c r="AD506" s="27">
        <f>IFERROR((TA[[#This Row],[Work Completion time on fault]]-TA[[#This Row],[Fault Time]])*24,"")</f>
        <v>0</v>
      </c>
      <c r="AE506" t="s">
        <v>319</v>
      </c>
      <c r="AF506" t="s">
        <v>247</v>
      </c>
      <c r="AG506" s="2"/>
      <c r="AH506" s="35">
        <f>1-COS(RADIANS(TA[[#This Row],[Avg. Target Angle during Fault Time (Radians)]]-TA[[#This Row],[Angle of affected equipment ]]))</f>
        <v>0.11705240714107301</v>
      </c>
      <c r="AI506" s="27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43">
        <f t="shared" si="24"/>
        <v>2026</v>
      </c>
      <c r="C507" s="116">
        <f t="shared" si="25"/>
        <v>2025</v>
      </c>
      <c r="D507" s="2" t="s">
        <v>155</v>
      </c>
      <c r="E507" s="2" t="s">
        <v>155</v>
      </c>
      <c r="F507" s="30">
        <v>45778</v>
      </c>
      <c r="G507" s="2">
        <f>DAY(EOMONTH(TA[[#This Row],[Month Year]],0))</f>
        <v>31</v>
      </c>
      <c r="H507" s="21">
        <v>45779</v>
      </c>
      <c r="I507" s="32">
        <f>IFERROR(VLOOKUP(TA[[#This Row],[Date]],Raw_Data[[Date]:[Sunset Time (POA&lt;20 W/m2)]],3,0),"")</f>
        <v>0.26319444444444445</v>
      </c>
      <c r="J507" s="32">
        <f>IFERROR(VLOOKUP(TA[[#This Row],[Date]],Raw_Data[[Date]:[Sunset Time (POA&lt;20 W/m2)]],4,0),"")</f>
        <v>0.76875000000000004</v>
      </c>
      <c r="K507" s="27">
        <f>IFERROR((TA[[#This Row],[Sunset Time (POA&lt;20 W/m2)]]-TA[[#This Row],[Sunrise Time (POA&gt;20 W/m2)]])*24,"")</f>
        <v>12.133333333333333</v>
      </c>
      <c r="L507" s="2" t="s">
        <v>285</v>
      </c>
      <c r="M507" s="33">
        <f>IFERROR(VLOOKUP(TA[[#This Row],[Affected Equipment]],'Basic Data'!$I$2:$K$40,3,0),"")</f>
        <v>1.7241379310344799E-3</v>
      </c>
      <c r="N507">
        <v>-28</v>
      </c>
      <c r="O507" t="s">
        <v>133</v>
      </c>
      <c r="P507" s="114" t="s">
        <v>307</v>
      </c>
      <c r="Q507" s="113" t="s">
        <v>307</v>
      </c>
      <c r="R507">
        <v>118</v>
      </c>
      <c r="S507" s="2">
        <v>22</v>
      </c>
      <c r="T507" t="s">
        <v>286</v>
      </c>
      <c r="U507" t="s">
        <v>291</v>
      </c>
      <c r="V507" t="s">
        <v>289</v>
      </c>
      <c r="W507" s="32"/>
      <c r="X507" s="32"/>
      <c r="Y507" s="26"/>
      <c r="Z507" s="26"/>
      <c r="AA507" s="27">
        <f>IF(TA[[#This Row],[Work Start time on Fault]]="NA","",(TA[[#This Row],[Fault Acknowledgement Time ]]-TA[[#This Row],[Fault Time]])*24)</f>
        <v>0</v>
      </c>
      <c r="AB507" s="27">
        <f>(TA[[#This Row],[Work Start time on Fault]]-TA[[#This Row],[Fault Time]])*24</f>
        <v>0</v>
      </c>
      <c r="AC507" s="26">
        <f>(TA[[#This Row],[Work Completion time on fault]]-TA[[#This Row],[Fault Time]])*24</f>
        <v>0</v>
      </c>
      <c r="AD507" s="27">
        <f>IFERROR((TA[[#This Row],[Work Completion time on fault]]-TA[[#This Row],[Fault Time]])*24,"")</f>
        <v>0</v>
      </c>
      <c r="AE507" t="s">
        <v>319</v>
      </c>
      <c r="AF507" t="s">
        <v>247</v>
      </c>
      <c r="AG507" s="2"/>
      <c r="AH507" s="35">
        <f>1-COS(RADIANS(TA[[#This Row],[Avg. Target Angle during Fault Time (Radians)]]-TA[[#This Row],[Angle of affected equipment ]]))</f>
        <v>0.11705240714107301</v>
      </c>
      <c r="AI507" s="27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43">
        <f t="shared" si="24"/>
        <v>2026</v>
      </c>
      <c r="C508" s="116">
        <f t="shared" si="25"/>
        <v>2025</v>
      </c>
      <c r="D508" s="2" t="s">
        <v>155</v>
      </c>
      <c r="E508" s="2" t="s">
        <v>155</v>
      </c>
      <c r="F508" s="30">
        <v>45778</v>
      </c>
      <c r="G508" s="2">
        <f>DAY(EOMONTH(TA[[#This Row],[Month Year]],0))</f>
        <v>31</v>
      </c>
      <c r="H508" s="21">
        <v>45779</v>
      </c>
      <c r="I508" s="32">
        <f>IFERROR(VLOOKUP(TA[[#This Row],[Date]],Raw_Data[[Date]:[Sunset Time (POA&lt;20 W/m2)]],3,0),"")</f>
        <v>0.26319444444444445</v>
      </c>
      <c r="J508" s="32">
        <f>IFERROR(VLOOKUP(TA[[#This Row],[Date]],Raw_Data[[Date]:[Sunset Time (POA&lt;20 W/m2)]],4,0),"")</f>
        <v>0.76875000000000004</v>
      </c>
      <c r="K508" s="27">
        <f>IFERROR((TA[[#This Row],[Sunset Time (POA&lt;20 W/m2)]]-TA[[#This Row],[Sunrise Time (POA&gt;20 W/m2)]])*24,"")</f>
        <v>12.133333333333333</v>
      </c>
      <c r="L508" s="2" t="s">
        <v>287</v>
      </c>
      <c r="M508" s="33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314</v>
      </c>
      <c r="Q508" s="2" t="s">
        <v>320</v>
      </c>
      <c r="R508">
        <v>45</v>
      </c>
      <c r="S508" s="2">
        <v>8</v>
      </c>
      <c r="T508" t="s">
        <v>288</v>
      </c>
      <c r="U508" t="s">
        <v>317</v>
      </c>
      <c r="V508" t="s">
        <v>292</v>
      </c>
      <c r="W508" s="32"/>
      <c r="X508" s="32"/>
      <c r="Y508" s="26"/>
      <c r="Z508" s="26"/>
      <c r="AA508" s="27">
        <f>IF(TA[[#This Row],[Work Start time on Fault]]="NA","",(TA[[#This Row],[Fault Acknowledgement Time ]]-TA[[#This Row],[Fault Time]])*24)</f>
        <v>0</v>
      </c>
      <c r="AB508" s="27">
        <f>(TA[[#This Row],[Work Start time on Fault]]-TA[[#This Row],[Fault Time]])*24</f>
        <v>0</v>
      </c>
      <c r="AC508" s="26">
        <f>(TA[[#This Row],[Work Completion time on fault]]-TA[[#This Row],[Fault Time]])*24</f>
        <v>0</v>
      </c>
      <c r="AD508" s="27">
        <f>IFERROR((TA[[#This Row],[Work Completion time on fault]]-TA[[#This Row],[Fault Time]])*24,"")</f>
        <v>0</v>
      </c>
      <c r="AE508" t="s">
        <v>319</v>
      </c>
      <c r="AF508" t="s">
        <v>247</v>
      </c>
      <c r="AG508" s="2"/>
      <c r="AH508" s="35">
        <f>1-COS(RADIANS(TA[[#This Row],[Avg. Target Angle during Fault Time (Radians)]]-TA[[#This Row],[Angle of affected equipment ]]))</f>
        <v>0.11705240714107301</v>
      </c>
      <c r="AI508" s="27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43">
        <f t="shared" si="24"/>
        <v>2026</v>
      </c>
      <c r="C509" s="116">
        <f t="shared" si="25"/>
        <v>2025</v>
      </c>
      <c r="D509" s="2" t="s">
        <v>155</v>
      </c>
      <c r="E509" s="2" t="s">
        <v>155</v>
      </c>
      <c r="F509" s="30">
        <v>45778</v>
      </c>
      <c r="G509" s="2">
        <f>DAY(EOMONTH(TA[[#This Row],[Month Year]],0))</f>
        <v>31</v>
      </c>
      <c r="H509" s="21">
        <v>45779</v>
      </c>
      <c r="I509" s="32">
        <f>IFERROR(VLOOKUP(TA[[#This Row],[Date]],Raw_Data[[Date]:[Sunset Time (POA&lt;20 W/m2)]],3,0),"")</f>
        <v>0.26319444444444445</v>
      </c>
      <c r="J509" s="32">
        <f>IFERROR(VLOOKUP(TA[[#This Row],[Date]],Raw_Data[[Date]:[Sunset Time (POA&lt;20 W/m2)]],4,0),"")</f>
        <v>0.76875000000000004</v>
      </c>
      <c r="K509" s="27">
        <f>IFERROR((TA[[#This Row],[Sunset Time (POA&lt;20 W/m2)]]-TA[[#This Row],[Sunrise Time (POA&gt;20 W/m2)]])*24,"")</f>
        <v>12.133333333333333</v>
      </c>
      <c r="L509" s="2" t="s">
        <v>287</v>
      </c>
      <c r="M509" s="33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314</v>
      </c>
      <c r="Q509" s="2" t="s">
        <v>320</v>
      </c>
      <c r="R509">
        <v>47</v>
      </c>
      <c r="S509" s="2">
        <v>18</v>
      </c>
      <c r="T509" t="s">
        <v>288</v>
      </c>
      <c r="U509" t="s">
        <v>317</v>
      </c>
      <c r="V509" t="s">
        <v>292</v>
      </c>
      <c r="W509" s="32"/>
      <c r="X509" s="32"/>
      <c r="Y509" s="26"/>
      <c r="Z509" s="26"/>
      <c r="AA509" s="27">
        <f>IF(TA[[#This Row],[Work Start time on Fault]]="NA","",(TA[[#This Row],[Fault Acknowledgement Time ]]-TA[[#This Row],[Fault Time]])*24)</f>
        <v>0</v>
      </c>
      <c r="AB509" s="27">
        <f>(TA[[#This Row],[Work Start time on Fault]]-TA[[#This Row],[Fault Time]])*24</f>
        <v>0</v>
      </c>
      <c r="AC509" s="26">
        <f>(TA[[#This Row],[Work Completion time on fault]]-TA[[#This Row],[Fault Time]])*24</f>
        <v>0</v>
      </c>
      <c r="AD509" s="27">
        <f>IFERROR((TA[[#This Row],[Work Completion time on fault]]-TA[[#This Row],[Fault Time]])*24,"")</f>
        <v>0</v>
      </c>
      <c r="AE509" t="s">
        <v>319</v>
      </c>
      <c r="AF509" t="s">
        <v>247</v>
      </c>
      <c r="AG509" s="2"/>
      <c r="AH509" s="35">
        <f>1-COS(RADIANS(TA[[#This Row],[Avg. Target Angle during Fault Time (Radians)]]-TA[[#This Row],[Angle of affected equipment ]]))</f>
        <v>0.11705240714107301</v>
      </c>
      <c r="AI509" s="27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43">
        <f t="shared" si="24"/>
        <v>2026</v>
      </c>
      <c r="C510" s="116">
        <f t="shared" si="25"/>
        <v>2025</v>
      </c>
      <c r="D510" s="2" t="s">
        <v>155</v>
      </c>
      <c r="E510" s="2" t="s">
        <v>155</v>
      </c>
      <c r="F510" s="30">
        <v>45778</v>
      </c>
      <c r="G510" s="2">
        <f>DAY(EOMONTH(TA[[#This Row],[Month Year]],0))</f>
        <v>31</v>
      </c>
      <c r="H510" s="21">
        <v>45779</v>
      </c>
      <c r="I510" s="32">
        <f>IFERROR(VLOOKUP(TA[[#This Row],[Date]],Raw_Data[[Date]:[Sunset Time (POA&lt;20 W/m2)]],3,0),"")</f>
        <v>0.26319444444444445</v>
      </c>
      <c r="J510" s="32">
        <f>IFERROR(VLOOKUP(TA[[#This Row],[Date]],Raw_Data[[Date]:[Sunset Time (POA&lt;20 W/m2)]],4,0),"")</f>
        <v>0.76875000000000004</v>
      </c>
      <c r="K510" s="27">
        <f>IFERROR((TA[[#This Row],[Sunset Time (POA&lt;20 W/m2)]]-TA[[#This Row],[Sunrise Time (POA&gt;20 W/m2)]])*24,"")</f>
        <v>12.133333333333333</v>
      </c>
      <c r="L510" s="2" t="s">
        <v>287</v>
      </c>
      <c r="M510" s="33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321</v>
      </c>
      <c r="Q510" s="2" t="s">
        <v>314</v>
      </c>
      <c r="R510">
        <v>30</v>
      </c>
      <c r="S510" s="2">
        <v>57</v>
      </c>
      <c r="T510" t="s">
        <v>288</v>
      </c>
      <c r="U510" t="s">
        <v>317</v>
      </c>
      <c r="V510" t="s">
        <v>292</v>
      </c>
      <c r="W510" s="32"/>
      <c r="X510" s="32"/>
      <c r="Y510" s="26"/>
      <c r="Z510" s="26"/>
      <c r="AA510" s="27">
        <f>IF(TA[[#This Row],[Work Start time on Fault]]="NA","",(TA[[#This Row],[Fault Acknowledgement Time ]]-TA[[#This Row],[Fault Time]])*24)</f>
        <v>0</v>
      </c>
      <c r="AB510" s="27">
        <f>(TA[[#This Row],[Work Start time on Fault]]-TA[[#This Row],[Fault Time]])*24</f>
        <v>0</v>
      </c>
      <c r="AC510" s="26">
        <f>(TA[[#This Row],[Work Completion time on fault]]-TA[[#This Row],[Fault Time]])*24</f>
        <v>0</v>
      </c>
      <c r="AD510" s="27">
        <f>IFERROR((TA[[#This Row],[Work Completion time on fault]]-TA[[#This Row],[Fault Time]])*24,"")</f>
        <v>0</v>
      </c>
      <c r="AE510" t="s">
        <v>319</v>
      </c>
      <c r="AF510" t="s">
        <v>247</v>
      </c>
      <c r="AG510" s="2"/>
      <c r="AH510" s="35">
        <f>1-COS(RADIANS(TA[[#This Row],[Avg. Target Angle during Fault Time (Radians)]]-TA[[#This Row],[Angle of affected equipment ]]))</f>
        <v>0.11705240714107301</v>
      </c>
      <c r="AI510" s="27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43">
        <f t="shared" si="24"/>
        <v>2026</v>
      </c>
      <c r="C511" s="116">
        <f t="shared" si="25"/>
        <v>2025</v>
      </c>
      <c r="D511" s="2" t="s">
        <v>155</v>
      </c>
      <c r="E511" s="2" t="s">
        <v>155</v>
      </c>
      <c r="F511" s="30">
        <v>45778</v>
      </c>
      <c r="G511" s="2">
        <f>DAY(EOMONTH(TA[[#This Row],[Month Year]],0))</f>
        <v>31</v>
      </c>
      <c r="H511" s="21">
        <v>45779</v>
      </c>
      <c r="I511" s="32">
        <f>IFERROR(VLOOKUP(TA[[#This Row],[Date]],Raw_Data[[Date]:[Sunset Time (POA&lt;20 W/m2)]],3,0),"")</f>
        <v>0.26319444444444445</v>
      </c>
      <c r="J511" s="32">
        <f>IFERROR(VLOOKUP(TA[[#This Row],[Date]],Raw_Data[[Date]:[Sunset Time (POA&lt;20 W/m2)]],4,0),"")</f>
        <v>0.76875000000000004</v>
      </c>
      <c r="K511" s="27">
        <f>IFERROR((TA[[#This Row],[Sunset Time (POA&lt;20 W/m2)]]-TA[[#This Row],[Sunrise Time (POA&gt;20 W/m2)]])*24,"")</f>
        <v>12.133333333333333</v>
      </c>
      <c r="L511" s="2" t="s">
        <v>287</v>
      </c>
      <c r="M511" s="33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321</v>
      </c>
      <c r="Q511" s="2" t="s">
        <v>314</v>
      </c>
      <c r="R511">
        <v>31</v>
      </c>
      <c r="S511" s="2">
        <v>61</v>
      </c>
      <c r="T511" t="s">
        <v>288</v>
      </c>
      <c r="U511" t="s">
        <v>317</v>
      </c>
      <c r="V511" t="s">
        <v>292</v>
      </c>
      <c r="W511" s="32"/>
      <c r="X511" s="32"/>
      <c r="Y511" s="26"/>
      <c r="Z511" s="26"/>
      <c r="AA511" s="27">
        <f>IF(TA[[#This Row],[Work Start time on Fault]]="NA","",(TA[[#This Row],[Fault Acknowledgement Time ]]-TA[[#This Row],[Fault Time]])*24)</f>
        <v>0</v>
      </c>
      <c r="AB511" s="27">
        <f>(TA[[#This Row],[Work Start time on Fault]]-TA[[#This Row],[Fault Time]])*24</f>
        <v>0</v>
      </c>
      <c r="AC511" s="26">
        <f>(TA[[#This Row],[Work Completion time on fault]]-TA[[#This Row],[Fault Time]])*24</f>
        <v>0</v>
      </c>
      <c r="AD511" s="27">
        <f>IFERROR((TA[[#This Row],[Work Completion time on fault]]-TA[[#This Row],[Fault Time]])*24,"")</f>
        <v>0</v>
      </c>
      <c r="AE511" t="s">
        <v>319</v>
      </c>
      <c r="AF511" t="s">
        <v>247</v>
      </c>
      <c r="AG511" s="2"/>
      <c r="AH511" s="35">
        <f>1-COS(RADIANS(TA[[#This Row],[Avg. Target Angle during Fault Time (Radians)]]-TA[[#This Row],[Angle of affected equipment ]]))</f>
        <v>0.11705240714107301</v>
      </c>
      <c r="AI511" s="27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43">
        <f t="shared" si="24"/>
        <v>2026</v>
      </c>
      <c r="C512" s="116">
        <f t="shared" si="25"/>
        <v>2025</v>
      </c>
      <c r="D512" s="2" t="s">
        <v>155</v>
      </c>
      <c r="E512" s="2" t="s">
        <v>155</v>
      </c>
      <c r="F512" s="30">
        <v>45778</v>
      </c>
      <c r="G512" s="2">
        <f>DAY(EOMONTH(TA[[#This Row],[Month Year]],0))</f>
        <v>31</v>
      </c>
      <c r="H512" s="21">
        <v>45779</v>
      </c>
      <c r="I512" s="32">
        <f>IFERROR(VLOOKUP(TA[[#This Row],[Date]],Raw_Data[[Date]:[Sunset Time (POA&lt;20 W/m2)]],3,0),"")</f>
        <v>0.26319444444444445</v>
      </c>
      <c r="J512" s="32">
        <f>IFERROR(VLOOKUP(TA[[#This Row],[Date]],Raw_Data[[Date]:[Sunset Time (POA&lt;20 W/m2)]],4,0),"")</f>
        <v>0.76875000000000004</v>
      </c>
      <c r="K512" s="27">
        <f>IFERROR((TA[[#This Row],[Sunset Time (POA&lt;20 W/m2)]]-TA[[#This Row],[Sunrise Time (POA&gt;20 W/m2)]])*24,"")</f>
        <v>12.133333333333333</v>
      </c>
      <c r="L512" s="2" t="s">
        <v>303</v>
      </c>
      <c r="M512" s="33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321</v>
      </c>
      <c r="Q512" s="2" t="s">
        <v>314</v>
      </c>
      <c r="R512">
        <v>26</v>
      </c>
      <c r="S512" s="2">
        <v>37</v>
      </c>
      <c r="T512" t="s">
        <v>288</v>
      </c>
      <c r="U512" t="s">
        <v>317</v>
      </c>
      <c r="V512" t="s">
        <v>292</v>
      </c>
      <c r="W512" s="32"/>
      <c r="X512" s="32"/>
      <c r="Y512" s="26"/>
      <c r="Z512" s="26"/>
      <c r="AA512" s="27">
        <f>IF(TA[[#This Row],[Work Start time on Fault]]="NA","",(TA[[#This Row],[Fault Acknowledgement Time ]]-TA[[#This Row],[Fault Time]])*24)</f>
        <v>0</v>
      </c>
      <c r="AB512" s="27">
        <f>(TA[[#This Row],[Work Start time on Fault]]-TA[[#This Row],[Fault Time]])*24</f>
        <v>0</v>
      </c>
      <c r="AC512" s="26">
        <f>(TA[[#This Row],[Work Completion time on fault]]-TA[[#This Row],[Fault Time]])*24</f>
        <v>0</v>
      </c>
      <c r="AD512" s="27">
        <f>IFERROR((TA[[#This Row],[Work Completion time on fault]]-TA[[#This Row],[Fault Time]])*24,"")</f>
        <v>0</v>
      </c>
      <c r="AE512" t="s">
        <v>319</v>
      </c>
      <c r="AF512" t="s">
        <v>247</v>
      </c>
      <c r="AG512" s="2"/>
      <c r="AH512" s="35">
        <f>1-COS(RADIANS(TA[[#This Row],[Avg. Target Angle during Fault Time (Radians)]]-TA[[#This Row],[Angle of affected equipment ]]))</f>
        <v>0.11705240714107301</v>
      </c>
      <c r="AI512" s="27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43">
        <f t="shared" si="24"/>
        <v>2026</v>
      </c>
      <c r="C513" s="116">
        <f t="shared" si="25"/>
        <v>2025</v>
      </c>
      <c r="D513" s="2" t="s">
        <v>155</v>
      </c>
      <c r="E513" s="2" t="s">
        <v>155</v>
      </c>
      <c r="F513" s="30">
        <v>45778</v>
      </c>
      <c r="G513" s="2">
        <f>DAY(EOMONTH(TA[[#This Row],[Month Year]],0))</f>
        <v>31</v>
      </c>
      <c r="H513" s="21">
        <v>45779</v>
      </c>
      <c r="I513" s="32">
        <f>IFERROR(VLOOKUP(TA[[#This Row],[Date]],Raw_Data[[Date]:[Sunset Time (POA&lt;20 W/m2)]],3,0),"")</f>
        <v>0.26319444444444445</v>
      </c>
      <c r="J513" s="32">
        <f>IFERROR(VLOOKUP(TA[[#This Row],[Date]],Raw_Data[[Date]:[Sunset Time (POA&lt;20 W/m2)]],4,0),"")</f>
        <v>0.76875000000000004</v>
      </c>
      <c r="K513" s="27">
        <f>IFERROR((TA[[#This Row],[Sunset Time (POA&lt;20 W/m2)]]-TA[[#This Row],[Sunrise Time (POA&gt;20 W/m2)]])*24,"")</f>
        <v>12.133333333333333</v>
      </c>
      <c r="L513" s="2" t="s">
        <v>303</v>
      </c>
      <c r="M513" s="33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321</v>
      </c>
      <c r="Q513" s="2" t="s">
        <v>314</v>
      </c>
      <c r="R513">
        <v>27</v>
      </c>
      <c r="S513" s="2">
        <v>42</v>
      </c>
      <c r="T513" t="s">
        <v>288</v>
      </c>
      <c r="U513" t="s">
        <v>317</v>
      </c>
      <c r="V513" t="s">
        <v>292</v>
      </c>
      <c r="W513" s="32">
        <f>IFERROR(VLOOKUP(TA[[#This Row],[Date]],Raw_Data[[Date]:[Sunset Time (POA&lt;20 W/m2)]],3,0),"")</f>
        <v>0.26319444444444445</v>
      </c>
      <c r="X513" s="32">
        <f>IFERROR(VLOOKUP(TA[[#This Row],[Date]],Raw_Data[[Date]:[Sunset Time (POA&lt;20 W/m2)]],3,0),"")</f>
        <v>0.26319444444444445</v>
      </c>
      <c r="Y513" s="26"/>
      <c r="Z513" s="26">
        <v>0.76041666666666663</v>
      </c>
      <c r="AA513" s="27">
        <f>IF(TA[[#This Row],[Work Start time on Fault]]="NA","",(TA[[#This Row],[Fault Acknowledgement Time ]]-TA[[#This Row],[Fault Time]])*24)</f>
        <v>0</v>
      </c>
      <c r="AB513" s="27">
        <f>(TA[[#This Row],[Work Start time on Fault]]-TA[[#This Row],[Fault Time]])*24</f>
        <v>-6.3166666666666664</v>
      </c>
      <c r="AC513" s="26">
        <f>(TA[[#This Row],[Work Completion time on fault]]-TA[[#This Row],[Fault Time]])*24</f>
        <v>11.933333333333332</v>
      </c>
      <c r="AD513" s="27">
        <f>IFERROR((TA[[#This Row],[Work Completion time on fault]]-TA[[#This Row],[Fault Time]])*24,"")</f>
        <v>11.933333333333332</v>
      </c>
      <c r="AE513" t="s">
        <v>300</v>
      </c>
      <c r="AF513" t="s">
        <v>247</v>
      </c>
      <c r="AG513" s="2"/>
      <c r="AH513" s="35">
        <f>1-COS(RADIANS(TA[[#This Row],[Avg. Target Angle during Fault Time (Radians)]]-TA[[#This Row],[Angle of affected equipment ]]))</f>
        <v>0.11705240714107301</v>
      </c>
      <c r="AI513" s="27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43">
        <f t="shared" si="24"/>
        <v>2026</v>
      </c>
      <c r="C514" s="116">
        <f t="shared" si="25"/>
        <v>2025</v>
      </c>
      <c r="D514" s="2" t="s">
        <v>155</v>
      </c>
      <c r="E514" s="2" t="s">
        <v>155</v>
      </c>
      <c r="F514" s="30">
        <v>45778</v>
      </c>
      <c r="G514" s="2">
        <f>DAY(EOMONTH(TA[[#This Row],[Month Year]],0))</f>
        <v>31</v>
      </c>
      <c r="H514" s="21">
        <v>45780</v>
      </c>
      <c r="I514" s="32">
        <f>IFERROR(VLOOKUP(TA[[#This Row],[Date]],Raw_Data[[Date]:[Sunset Time (POA&lt;20 W/m2)]],3,0),"")</f>
        <v>0.25416666666666665</v>
      </c>
      <c r="J514" s="32">
        <f>IFERROR(VLOOKUP(TA[[#This Row],[Date]],Raw_Data[[Date]:[Sunset Time (POA&lt;20 W/m2)]],4,0),"")</f>
        <v>0.76944444444444449</v>
      </c>
      <c r="K514" s="27">
        <f>IFERROR((TA[[#This Row],[Sunset Time (POA&lt;20 W/m2)]]-TA[[#This Row],[Sunrise Time (POA&gt;20 W/m2)]])*24,"")</f>
        <v>12.366666666666667</v>
      </c>
      <c r="L514" s="2" t="s">
        <v>285</v>
      </c>
      <c r="M514" s="33">
        <f>IFERROR(VLOOKUP(TA[[#This Row],[Affected Equipment]],'Basic Data'!$I$2:$K$40,3,0),"")</f>
        <v>1.7241379310344799E-3</v>
      </c>
      <c r="N514">
        <v>-28</v>
      </c>
      <c r="O514" t="s">
        <v>135</v>
      </c>
      <c r="P514" s="114" t="s">
        <v>309</v>
      </c>
      <c r="Q514" s="113" t="s">
        <v>309</v>
      </c>
      <c r="R514">
        <v>130</v>
      </c>
      <c r="S514" s="2">
        <v>37</v>
      </c>
      <c r="T514" t="s">
        <v>286</v>
      </c>
      <c r="U514" t="s">
        <v>291</v>
      </c>
      <c r="V514" t="s">
        <v>289</v>
      </c>
      <c r="W514" s="32"/>
      <c r="X514" s="32"/>
      <c r="Y514" s="26"/>
      <c r="Z514" s="26"/>
      <c r="AA514" s="27">
        <f>IF(TA[[#This Row],[Work Start time on Fault]]="NA","",(TA[[#This Row],[Fault Acknowledgement Time ]]-TA[[#This Row],[Fault Time]])*24)</f>
        <v>0</v>
      </c>
      <c r="AB514" s="27">
        <f>(TA[[#This Row],[Work Start time on Fault]]-TA[[#This Row],[Fault Time]])*24</f>
        <v>0</v>
      </c>
      <c r="AC514" s="26">
        <f>(TA[[#This Row],[Work Completion time on fault]]-TA[[#This Row],[Fault Time]])*24</f>
        <v>0</v>
      </c>
      <c r="AD514" s="27">
        <f>IFERROR((TA[[#This Row],[Work Completion time on fault]]-TA[[#This Row],[Fault Time]])*24,"")</f>
        <v>0</v>
      </c>
      <c r="AE514" t="s">
        <v>319</v>
      </c>
      <c r="AF514" t="s">
        <v>247</v>
      </c>
      <c r="AG514" s="2"/>
      <c r="AH514" s="35">
        <f>1-COS(RADIANS(TA[[#This Row],[Avg. Target Angle during Fault Time (Radians)]]-TA[[#This Row],[Angle of affected equipment ]]))</f>
        <v>0.11705240714107301</v>
      </c>
      <c r="AI514" s="27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43">
        <f t="shared" si="24"/>
        <v>2026</v>
      </c>
      <c r="C515" s="116">
        <f t="shared" si="25"/>
        <v>2025</v>
      </c>
      <c r="D515" s="2" t="s">
        <v>155</v>
      </c>
      <c r="E515" s="2" t="s">
        <v>155</v>
      </c>
      <c r="F515" s="30">
        <v>45778</v>
      </c>
      <c r="G515" s="2">
        <f>DAY(EOMONTH(TA[[#This Row],[Month Year]],0))</f>
        <v>31</v>
      </c>
      <c r="H515" s="21">
        <v>45780</v>
      </c>
      <c r="I515" s="32">
        <f>IFERROR(VLOOKUP(TA[[#This Row],[Date]],Raw_Data[[Date]:[Sunset Time (POA&lt;20 W/m2)]],3,0),"")</f>
        <v>0.25416666666666665</v>
      </c>
      <c r="J515" s="32">
        <f>IFERROR(VLOOKUP(TA[[#This Row],[Date]],Raw_Data[[Date]:[Sunset Time (POA&lt;20 W/m2)]],4,0),"")</f>
        <v>0.76944444444444449</v>
      </c>
      <c r="K515" s="27">
        <f>IFERROR((TA[[#This Row],[Sunset Time (POA&lt;20 W/m2)]]-TA[[#This Row],[Sunrise Time (POA&gt;20 W/m2)]])*24,"")</f>
        <v>12.366666666666667</v>
      </c>
      <c r="L515" s="2" t="s">
        <v>285</v>
      </c>
      <c r="M515" s="33">
        <f>IFERROR(VLOOKUP(TA[[#This Row],[Affected Equipment]],'Basic Data'!$I$2:$K$40,3,0),"")</f>
        <v>1.7241379310344799E-3</v>
      </c>
      <c r="N515">
        <v>-28</v>
      </c>
      <c r="O515" t="s">
        <v>135</v>
      </c>
      <c r="P515" s="114" t="s">
        <v>309</v>
      </c>
      <c r="Q515" s="113" t="s">
        <v>309</v>
      </c>
      <c r="R515">
        <v>131</v>
      </c>
      <c r="S515" s="2">
        <v>38</v>
      </c>
      <c r="T515" t="s">
        <v>286</v>
      </c>
      <c r="U515" t="s">
        <v>291</v>
      </c>
      <c r="V515" t="s">
        <v>289</v>
      </c>
      <c r="W515" s="32"/>
      <c r="X515" s="32"/>
      <c r="Y515" s="26"/>
      <c r="Z515" s="26"/>
      <c r="AA515" s="27">
        <f>IF(TA[[#This Row],[Work Start time on Fault]]="NA","",(TA[[#This Row],[Fault Acknowledgement Time ]]-TA[[#This Row],[Fault Time]])*24)</f>
        <v>0</v>
      </c>
      <c r="AB515" s="27">
        <f>(TA[[#This Row],[Work Start time on Fault]]-TA[[#This Row],[Fault Time]])*24</f>
        <v>0</v>
      </c>
      <c r="AC515" s="26">
        <f>(TA[[#This Row],[Work Completion time on fault]]-TA[[#This Row],[Fault Time]])*24</f>
        <v>0</v>
      </c>
      <c r="AD515" s="27">
        <f>IFERROR((TA[[#This Row],[Work Completion time on fault]]-TA[[#This Row],[Fault Time]])*24,"")</f>
        <v>0</v>
      </c>
      <c r="AE515" t="s">
        <v>319</v>
      </c>
      <c r="AF515" t="s">
        <v>247</v>
      </c>
      <c r="AG515" s="2"/>
      <c r="AH515" s="35">
        <f>1-COS(RADIANS(TA[[#This Row],[Avg. Target Angle during Fault Time (Radians)]]-TA[[#This Row],[Angle of affected equipment ]]))</f>
        <v>0.11705240714107301</v>
      </c>
      <c r="AI515" s="27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43">
        <f t="shared" si="24"/>
        <v>2026</v>
      </c>
      <c r="C516" s="116">
        <f t="shared" si="25"/>
        <v>2025</v>
      </c>
      <c r="D516" s="2" t="s">
        <v>155</v>
      </c>
      <c r="E516" s="2" t="s">
        <v>155</v>
      </c>
      <c r="F516" s="30">
        <v>45778</v>
      </c>
      <c r="G516" s="2">
        <f>DAY(EOMONTH(TA[[#This Row],[Month Year]],0))</f>
        <v>31</v>
      </c>
      <c r="H516" s="21">
        <v>45780</v>
      </c>
      <c r="I516" s="32">
        <f>IFERROR(VLOOKUP(TA[[#This Row],[Date]],Raw_Data[[Date]:[Sunset Time (POA&lt;20 W/m2)]],3,0),"")</f>
        <v>0.25416666666666665</v>
      </c>
      <c r="J516" s="32">
        <f>IFERROR(VLOOKUP(TA[[#This Row],[Date]],Raw_Data[[Date]:[Sunset Time (POA&lt;20 W/m2)]],4,0),"")</f>
        <v>0.76944444444444449</v>
      </c>
      <c r="K516" s="27">
        <f>IFERROR((TA[[#This Row],[Sunset Time (POA&lt;20 W/m2)]]-TA[[#This Row],[Sunrise Time (POA&gt;20 W/m2)]])*24,"")</f>
        <v>12.366666666666667</v>
      </c>
      <c r="L516" s="2" t="s">
        <v>285</v>
      </c>
      <c r="M516" s="33">
        <f>IFERROR(VLOOKUP(TA[[#This Row],[Affected Equipment]],'Basic Data'!$I$2:$K$40,3,0),"")</f>
        <v>1.7241379310344799E-3</v>
      </c>
      <c r="N516">
        <v>-28</v>
      </c>
      <c r="O516" t="s">
        <v>135</v>
      </c>
      <c r="P516" s="114" t="s">
        <v>309</v>
      </c>
      <c r="Q516" s="113" t="s">
        <v>309</v>
      </c>
      <c r="R516">
        <v>131</v>
      </c>
      <c r="S516" s="2">
        <v>39</v>
      </c>
      <c r="T516" t="s">
        <v>286</v>
      </c>
      <c r="U516" t="s">
        <v>291</v>
      </c>
      <c r="V516" t="s">
        <v>289</v>
      </c>
      <c r="W516" s="32"/>
      <c r="X516" s="32"/>
      <c r="Y516" s="26"/>
      <c r="Z516" s="26"/>
      <c r="AA516" s="27">
        <f>IF(TA[[#This Row],[Work Start time on Fault]]="NA","",(TA[[#This Row],[Fault Acknowledgement Time ]]-TA[[#This Row],[Fault Time]])*24)</f>
        <v>0</v>
      </c>
      <c r="AB516" s="27">
        <f>(TA[[#This Row],[Work Start time on Fault]]-TA[[#This Row],[Fault Time]])*24</f>
        <v>0</v>
      </c>
      <c r="AC516" s="26">
        <f>(TA[[#This Row],[Work Completion time on fault]]-TA[[#This Row],[Fault Time]])*24</f>
        <v>0</v>
      </c>
      <c r="AD516" s="27">
        <f>IFERROR((TA[[#This Row],[Work Completion time on fault]]-TA[[#This Row],[Fault Time]])*24,"")</f>
        <v>0</v>
      </c>
      <c r="AE516" t="s">
        <v>319</v>
      </c>
      <c r="AF516" t="s">
        <v>247</v>
      </c>
      <c r="AG516" s="2"/>
      <c r="AH516" s="35">
        <f>1-COS(RADIANS(TA[[#This Row],[Avg. Target Angle during Fault Time (Radians)]]-TA[[#This Row],[Angle of affected equipment ]]))</f>
        <v>0.11705240714107301</v>
      </c>
      <c r="AI516" s="27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43">
        <f t="shared" ref="B517:B577" si="27">YEAR(H517)+IF(MONTH(H517)&gt;=4,1,0)</f>
        <v>2026</v>
      </c>
      <c r="C517" s="116">
        <f t="shared" ref="C517:C577" si="28">YEAR(H517)</f>
        <v>2025</v>
      </c>
      <c r="D517" s="2" t="s">
        <v>155</v>
      </c>
      <c r="E517" s="2" t="s">
        <v>155</v>
      </c>
      <c r="F517" s="30">
        <v>45778</v>
      </c>
      <c r="G517" s="2">
        <f>DAY(EOMONTH(TA[[#This Row],[Month Year]],0))</f>
        <v>31</v>
      </c>
      <c r="H517" s="21">
        <v>45780</v>
      </c>
      <c r="I517" s="32">
        <f>IFERROR(VLOOKUP(TA[[#This Row],[Date]],Raw_Data[[Date]:[Sunset Time (POA&lt;20 W/m2)]],3,0),"")</f>
        <v>0.25416666666666665</v>
      </c>
      <c r="J517" s="32">
        <f>IFERROR(VLOOKUP(TA[[#This Row],[Date]],Raw_Data[[Date]:[Sunset Time (POA&lt;20 W/m2)]],4,0),"")</f>
        <v>0.76944444444444449</v>
      </c>
      <c r="K517" s="27">
        <f>IFERROR((TA[[#This Row],[Sunset Time (POA&lt;20 W/m2)]]-TA[[#This Row],[Sunrise Time (POA&gt;20 W/m2)]])*24,"")</f>
        <v>12.366666666666667</v>
      </c>
      <c r="L517" s="2" t="s">
        <v>287</v>
      </c>
      <c r="M517" s="33">
        <f>IFERROR(VLOOKUP(TA[[#This Row],[Affected Equipment]],'Basic Data'!$I$2:$K$40,3,0),"")</f>
        <v>8.6206896551724102E-3</v>
      </c>
      <c r="N517">
        <v>-28</v>
      </c>
      <c r="O517" t="s">
        <v>135</v>
      </c>
      <c r="P517" s="114" t="s">
        <v>309</v>
      </c>
      <c r="Q517" s="2" t="s">
        <v>312</v>
      </c>
      <c r="R517">
        <v>133</v>
      </c>
      <c r="S517" s="2">
        <v>26</v>
      </c>
      <c r="T517" t="s">
        <v>288</v>
      </c>
      <c r="U517" t="s">
        <v>291</v>
      </c>
      <c r="V517" t="s">
        <v>305</v>
      </c>
      <c r="W517" s="32">
        <f>IFERROR(VLOOKUP(TA[[#This Row],[Date]],Raw_Data[[Date]:[Sunset Time (POA&lt;20 W/m2)]],3,0),"")</f>
        <v>0.25416666666666665</v>
      </c>
      <c r="X517" s="32">
        <f>IFERROR(VLOOKUP(TA[[#This Row],[Date]],Raw_Data[[Date]:[Sunset Time (POA&lt;20 W/m2)]],3,0),"")</f>
        <v>0.25416666666666665</v>
      </c>
      <c r="Y517" s="26"/>
      <c r="Z517" s="26">
        <v>0.76041666666666663</v>
      </c>
      <c r="AA517" s="27">
        <f>IF(TA[[#This Row],[Work Start time on Fault]]="NA","",(TA[[#This Row],[Fault Acknowledgement Time ]]-TA[[#This Row],[Fault Time]])*24)</f>
        <v>0</v>
      </c>
      <c r="AB517" s="27">
        <f>(TA[[#This Row],[Work Start time on Fault]]-TA[[#This Row],[Fault Time]])*24</f>
        <v>-6.1</v>
      </c>
      <c r="AC517" s="26">
        <f>(TA[[#This Row],[Work Completion time on fault]]-TA[[#This Row],[Fault Time]])*24</f>
        <v>12.149999999999999</v>
      </c>
      <c r="AD517" s="27">
        <f>IFERROR((TA[[#This Row],[Work Completion time on fault]]-TA[[#This Row],[Fault Time]])*24,"")</f>
        <v>12.149999999999999</v>
      </c>
      <c r="AE517" t="s">
        <v>319</v>
      </c>
      <c r="AF517" t="s">
        <v>247</v>
      </c>
      <c r="AG517" s="2"/>
      <c r="AH517" s="35">
        <f>1-COS(RADIANS(TA[[#This Row],[Avg. Target Angle during Fault Time (Radians)]]-TA[[#This Row],[Angle of affected equipment ]]))</f>
        <v>0.11705240714107301</v>
      </c>
      <c r="AI517" s="27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43">
        <f t="shared" si="27"/>
        <v>2026</v>
      </c>
      <c r="C518" s="116">
        <f t="shared" si="28"/>
        <v>2025</v>
      </c>
      <c r="D518" s="2" t="s">
        <v>155</v>
      </c>
      <c r="E518" s="2" t="s">
        <v>155</v>
      </c>
      <c r="F518" s="30">
        <v>45778</v>
      </c>
      <c r="G518" s="2">
        <f>DAY(EOMONTH(TA[[#This Row],[Month Year]],0))</f>
        <v>31</v>
      </c>
      <c r="H518" s="21">
        <v>45780</v>
      </c>
      <c r="I518" s="32">
        <f>IFERROR(VLOOKUP(TA[[#This Row],[Date]],Raw_Data[[Date]:[Sunset Time (POA&lt;20 W/m2)]],3,0),"")</f>
        <v>0.25416666666666665</v>
      </c>
      <c r="J518" s="32">
        <f>IFERROR(VLOOKUP(TA[[#This Row],[Date]],Raw_Data[[Date]:[Sunset Time (POA&lt;20 W/m2)]],4,0),"")</f>
        <v>0.76944444444444449</v>
      </c>
      <c r="K518" s="27">
        <f>IFERROR((TA[[#This Row],[Sunset Time (POA&lt;20 W/m2)]]-TA[[#This Row],[Sunrise Time (POA&gt;20 W/m2)]])*24,"")</f>
        <v>12.366666666666667</v>
      </c>
      <c r="L518" s="2" t="s">
        <v>285</v>
      </c>
      <c r="M518" s="33">
        <f>IFERROR(VLOOKUP(TA[[#This Row],[Affected Equipment]],'Basic Data'!$I$2:$K$40,3,0),"")</f>
        <v>1.7241379310344799E-3</v>
      </c>
      <c r="N518">
        <v>-28</v>
      </c>
      <c r="O518" t="s">
        <v>133</v>
      </c>
      <c r="P518" s="114" t="s">
        <v>307</v>
      </c>
      <c r="Q518" s="113" t="s">
        <v>308</v>
      </c>
      <c r="R518">
        <v>7</v>
      </c>
      <c r="S518" s="2">
        <v>32</v>
      </c>
      <c r="T518" t="s">
        <v>286</v>
      </c>
      <c r="U518" t="s">
        <v>291</v>
      </c>
      <c r="V518" t="s">
        <v>289</v>
      </c>
      <c r="W518" s="32"/>
      <c r="X518" s="32"/>
      <c r="Y518" s="26"/>
      <c r="Z518" s="26"/>
      <c r="AA518" s="27">
        <f>IF(TA[[#This Row],[Work Start time on Fault]]="NA","",(TA[[#This Row],[Fault Acknowledgement Time ]]-TA[[#This Row],[Fault Time]])*24)</f>
        <v>0</v>
      </c>
      <c r="AB518" s="27">
        <f>(TA[[#This Row],[Work Start time on Fault]]-TA[[#This Row],[Fault Time]])*24</f>
        <v>0</v>
      </c>
      <c r="AC518" s="26">
        <f>(TA[[#This Row],[Work Completion time on fault]]-TA[[#This Row],[Fault Time]])*24</f>
        <v>0</v>
      </c>
      <c r="AD518" s="27">
        <f>IFERROR((TA[[#This Row],[Work Completion time on fault]]-TA[[#This Row],[Fault Time]])*24,"")</f>
        <v>0</v>
      </c>
      <c r="AE518" t="s">
        <v>319</v>
      </c>
      <c r="AF518" t="s">
        <v>247</v>
      </c>
      <c r="AG518" s="2"/>
      <c r="AH518" s="35">
        <f>1-COS(RADIANS(TA[[#This Row],[Avg. Target Angle during Fault Time (Radians)]]-TA[[#This Row],[Angle of affected equipment ]]))</f>
        <v>0.11705240714107301</v>
      </c>
      <c r="AI518" s="27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43">
        <f t="shared" si="27"/>
        <v>2026</v>
      </c>
      <c r="C519" s="116">
        <f t="shared" si="28"/>
        <v>2025</v>
      </c>
      <c r="D519" s="2" t="s">
        <v>155</v>
      </c>
      <c r="E519" s="2" t="s">
        <v>155</v>
      </c>
      <c r="F519" s="30">
        <v>45778</v>
      </c>
      <c r="G519" s="2">
        <f>DAY(EOMONTH(TA[[#This Row],[Month Year]],0))</f>
        <v>31</v>
      </c>
      <c r="H519" s="21">
        <v>45780</v>
      </c>
      <c r="I519" s="32">
        <f>IFERROR(VLOOKUP(TA[[#This Row],[Date]],Raw_Data[[Date]:[Sunset Time (POA&lt;20 W/m2)]],3,0),"")</f>
        <v>0.25416666666666665</v>
      </c>
      <c r="J519" s="32">
        <f>IFERROR(VLOOKUP(TA[[#This Row],[Date]],Raw_Data[[Date]:[Sunset Time (POA&lt;20 W/m2)]],4,0),"")</f>
        <v>0.76944444444444449</v>
      </c>
      <c r="K519" s="27">
        <f>IFERROR((TA[[#This Row],[Sunset Time (POA&lt;20 W/m2)]]-TA[[#This Row],[Sunrise Time (POA&gt;20 W/m2)]])*24,"")</f>
        <v>12.366666666666667</v>
      </c>
      <c r="L519" s="2" t="s">
        <v>285</v>
      </c>
      <c r="M519" s="33">
        <f>IFERROR(VLOOKUP(TA[[#This Row],[Affected Equipment]],'Basic Data'!$I$2:$K$40,3,0),"")</f>
        <v>1.7241379310344799E-3</v>
      </c>
      <c r="N519">
        <v>-28</v>
      </c>
      <c r="O519" t="s">
        <v>137</v>
      </c>
      <c r="P519" s="114" t="s">
        <v>306</v>
      </c>
      <c r="Q519" s="113" t="s">
        <v>310</v>
      </c>
      <c r="R519">
        <v>166</v>
      </c>
      <c r="S519" s="2">
        <v>91</v>
      </c>
      <c r="T519" t="s">
        <v>286</v>
      </c>
      <c r="U519" t="s">
        <v>291</v>
      </c>
      <c r="V519" t="s">
        <v>289</v>
      </c>
      <c r="W519" s="32"/>
      <c r="X519" s="32"/>
      <c r="Y519" s="26"/>
      <c r="Z519" s="26"/>
      <c r="AA519" s="27">
        <f>IF(TA[[#This Row],[Work Start time on Fault]]="NA","",(TA[[#This Row],[Fault Acknowledgement Time ]]-TA[[#This Row],[Fault Time]])*24)</f>
        <v>0</v>
      </c>
      <c r="AB519" s="27">
        <f>(TA[[#This Row],[Work Start time on Fault]]-TA[[#This Row],[Fault Time]])*24</f>
        <v>0</v>
      </c>
      <c r="AC519" s="26">
        <f>(TA[[#This Row],[Work Completion time on fault]]-TA[[#This Row],[Fault Time]])*24</f>
        <v>0</v>
      </c>
      <c r="AD519" s="27">
        <f>IFERROR((TA[[#This Row],[Work Completion time on fault]]-TA[[#This Row],[Fault Time]])*24,"")</f>
        <v>0</v>
      </c>
      <c r="AE519" t="s">
        <v>319</v>
      </c>
      <c r="AF519" t="s">
        <v>247</v>
      </c>
      <c r="AG519" s="2"/>
      <c r="AH519" s="35">
        <f>1-COS(RADIANS(TA[[#This Row],[Avg. Target Angle during Fault Time (Radians)]]-TA[[#This Row],[Angle of affected equipment ]]))</f>
        <v>0.11705240714107301</v>
      </c>
      <c r="AI519" s="27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43">
        <f t="shared" si="27"/>
        <v>2026</v>
      </c>
      <c r="C520" s="116">
        <f t="shared" si="28"/>
        <v>2025</v>
      </c>
      <c r="D520" s="2" t="s">
        <v>155</v>
      </c>
      <c r="E520" s="2" t="s">
        <v>155</v>
      </c>
      <c r="F520" s="30">
        <v>45778</v>
      </c>
      <c r="G520" s="2">
        <f>DAY(EOMONTH(TA[[#This Row],[Month Year]],0))</f>
        <v>31</v>
      </c>
      <c r="H520" s="21">
        <v>45780</v>
      </c>
      <c r="I520" s="32">
        <f>IFERROR(VLOOKUP(TA[[#This Row],[Date]],Raw_Data[[Date]:[Sunset Time (POA&lt;20 W/m2)]],3,0),"")</f>
        <v>0.25416666666666665</v>
      </c>
      <c r="J520" s="32">
        <f>IFERROR(VLOOKUP(TA[[#This Row],[Date]],Raw_Data[[Date]:[Sunset Time (POA&lt;20 W/m2)]],4,0),"")</f>
        <v>0.76944444444444449</v>
      </c>
      <c r="K520" s="27">
        <f>IFERROR((TA[[#This Row],[Sunset Time (POA&lt;20 W/m2)]]-TA[[#This Row],[Sunrise Time (POA&gt;20 W/m2)]])*24,"")</f>
        <v>12.366666666666667</v>
      </c>
      <c r="L520" s="2" t="s">
        <v>285</v>
      </c>
      <c r="M520" s="33">
        <f>IFERROR(VLOOKUP(TA[[#This Row],[Affected Equipment]],'Basic Data'!$I$2:$K$40,3,0),"")</f>
        <v>1.7241379310344799E-3</v>
      </c>
      <c r="N520">
        <v>-28</v>
      </c>
      <c r="O520" t="s">
        <v>133</v>
      </c>
      <c r="P520" s="114" t="s">
        <v>307</v>
      </c>
      <c r="Q520" s="113" t="s">
        <v>307</v>
      </c>
      <c r="R520">
        <v>117</v>
      </c>
      <c r="S520" s="2">
        <v>20</v>
      </c>
      <c r="T520" t="s">
        <v>286</v>
      </c>
      <c r="U520" t="s">
        <v>291</v>
      </c>
      <c r="V520" t="s">
        <v>289</v>
      </c>
      <c r="W520" s="32"/>
      <c r="X520" s="32"/>
      <c r="Y520" s="26"/>
      <c r="Z520" s="26"/>
      <c r="AA520" s="27">
        <f>IF(TA[[#This Row],[Work Start time on Fault]]="NA","",(TA[[#This Row],[Fault Acknowledgement Time ]]-TA[[#This Row],[Fault Time]])*24)</f>
        <v>0</v>
      </c>
      <c r="AB520" s="27">
        <f>(TA[[#This Row],[Work Start time on Fault]]-TA[[#This Row],[Fault Time]])*24</f>
        <v>0</v>
      </c>
      <c r="AC520" s="26">
        <f>(TA[[#This Row],[Work Completion time on fault]]-TA[[#This Row],[Fault Time]])*24</f>
        <v>0</v>
      </c>
      <c r="AD520" s="27">
        <f>IFERROR((TA[[#This Row],[Work Completion time on fault]]-TA[[#This Row],[Fault Time]])*24,"")</f>
        <v>0</v>
      </c>
      <c r="AE520" t="s">
        <v>319</v>
      </c>
      <c r="AF520" t="s">
        <v>247</v>
      </c>
      <c r="AG520" s="2"/>
      <c r="AH520" s="35">
        <f>1-COS(RADIANS(TA[[#This Row],[Avg. Target Angle during Fault Time (Radians)]]-TA[[#This Row],[Angle of affected equipment ]]))</f>
        <v>0.11705240714107301</v>
      </c>
      <c r="AI520" s="27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43">
        <f t="shared" si="27"/>
        <v>2026</v>
      </c>
      <c r="C521" s="116">
        <f t="shared" si="28"/>
        <v>2025</v>
      </c>
      <c r="D521" s="2" t="s">
        <v>155</v>
      </c>
      <c r="E521" s="2" t="s">
        <v>155</v>
      </c>
      <c r="F521" s="30">
        <v>45778</v>
      </c>
      <c r="G521" s="2">
        <f>DAY(EOMONTH(TA[[#This Row],[Month Year]],0))</f>
        <v>31</v>
      </c>
      <c r="H521" s="21">
        <v>45780</v>
      </c>
      <c r="I521" s="32">
        <f>IFERROR(VLOOKUP(TA[[#This Row],[Date]],Raw_Data[[Date]:[Sunset Time (POA&lt;20 W/m2)]],3,0),"")</f>
        <v>0.25416666666666665</v>
      </c>
      <c r="J521" s="32">
        <f>IFERROR(VLOOKUP(TA[[#This Row],[Date]],Raw_Data[[Date]:[Sunset Time (POA&lt;20 W/m2)]],4,0),"")</f>
        <v>0.76944444444444449</v>
      </c>
      <c r="K521" s="27">
        <f>IFERROR((TA[[#This Row],[Sunset Time (POA&lt;20 W/m2)]]-TA[[#This Row],[Sunrise Time (POA&gt;20 W/m2)]])*24,"")</f>
        <v>12.366666666666667</v>
      </c>
      <c r="L521" s="2" t="s">
        <v>285</v>
      </c>
      <c r="M521" s="33">
        <f>IFERROR(VLOOKUP(TA[[#This Row],[Affected Equipment]],'Basic Data'!$I$2:$K$40,3,0),"")</f>
        <v>1.7241379310344799E-3</v>
      </c>
      <c r="N521">
        <v>-28</v>
      </c>
      <c r="O521" t="s">
        <v>133</v>
      </c>
      <c r="P521" s="114" t="s">
        <v>307</v>
      </c>
      <c r="Q521" s="113" t="s">
        <v>307</v>
      </c>
      <c r="R521">
        <v>118</v>
      </c>
      <c r="S521" s="2">
        <v>22</v>
      </c>
      <c r="T521" t="s">
        <v>286</v>
      </c>
      <c r="U521" t="s">
        <v>291</v>
      </c>
      <c r="V521" t="s">
        <v>289</v>
      </c>
      <c r="W521" s="32"/>
      <c r="X521" s="32"/>
      <c r="Y521" s="26"/>
      <c r="Z521" s="26"/>
      <c r="AA521" s="27">
        <f>IF(TA[[#This Row],[Work Start time on Fault]]="NA","",(TA[[#This Row],[Fault Acknowledgement Time ]]-TA[[#This Row],[Fault Time]])*24)</f>
        <v>0</v>
      </c>
      <c r="AB521" s="27">
        <f>(TA[[#This Row],[Work Start time on Fault]]-TA[[#This Row],[Fault Time]])*24</f>
        <v>0</v>
      </c>
      <c r="AC521" s="26">
        <f>(TA[[#This Row],[Work Completion time on fault]]-TA[[#This Row],[Fault Time]])*24</f>
        <v>0</v>
      </c>
      <c r="AD521" s="27">
        <f>IFERROR((TA[[#This Row],[Work Completion time on fault]]-TA[[#This Row],[Fault Time]])*24,"")</f>
        <v>0</v>
      </c>
      <c r="AE521" t="s">
        <v>319</v>
      </c>
      <c r="AF521" t="s">
        <v>247</v>
      </c>
      <c r="AG521" s="2"/>
      <c r="AH521" s="35">
        <f>1-COS(RADIANS(TA[[#This Row],[Avg. Target Angle during Fault Time (Radians)]]-TA[[#This Row],[Angle of affected equipment ]]))</f>
        <v>0.11705240714107301</v>
      </c>
      <c r="AI521" s="27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43">
        <f t="shared" si="27"/>
        <v>2026</v>
      </c>
      <c r="C522" s="116">
        <f t="shared" si="28"/>
        <v>2025</v>
      </c>
      <c r="D522" s="2" t="s">
        <v>155</v>
      </c>
      <c r="E522" s="2" t="s">
        <v>155</v>
      </c>
      <c r="F522" s="30">
        <v>45778</v>
      </c>
      <c r="G522" s="2">
        <f>DAY(EOMONTH(TA[[#This Row],[Month Year]],0))</f>
        <v>31</v>
      </c>
      <c r="H522" s="21">
        <v>45780</v>
      </c>
      <c r="I522" s="32">
        <f>IFERROR(VLOOKUP(TA[[#This Row],[Date]],Raw_Data[[Date]:[Sunset Time (POA&lt;20 W/m2)]],3,0),"")</f>
        <v>0.25416666666666665</v>
      </c>
      <c r="J522" s="32">
        <f>IFERROR(VLOOKUP(TA[[#This Row],[Date]],Raw_Data[[Date]:[Sunset Time (POA&lt;20 W/m2)]],4,0),"")</f>
        <v>0.76944444444444449</v>
      </c>
      <c r="K522" s="27">
        <f>IFERROR((TA[[#This Row],[Sunset Time (POA&lt;20 W/m2)]]-TA[[#This Row],[Sunrise Time (POA&gt;20 W/m2)]])*24,"")</f>
        <v>12.366666666666667</v>
      </c>
      <c r="L522" s="2" t="s">
        <v>287</v>
      </c>
      <c r="M522" s="33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314</v>
      </c>
      <c r="Q522" s="2" t="s">
        <v>320</v>
      </c>
      <c r="R522">
        <v>45</v>
      </c>
      <c r="S522" s="2">
        <v>8</v>
      </c>
      <c r="T522" t="s">
        <v>288</v>
      </c>
      <c r="U522" t="s">
        <v>317</v>
      </c>
      <c r="V522" t="s">
        <v>292</v>
      </c>
      <c r="W522" s="32"/>
      <c r="X522" s="32"/>
      <c r="Y522" s="26"/>
      <c r="Z522" s="26"/>
      <c r="AA522" s="27">
        <f>IF(TA[[#This Row],[Work Start time on Fault]]="NA","",(TA[[#This Row],[Fault Acknowledgement Time ]]-TA[[#This Row],[Fault Time]])*24)</f>
        <v>0</v>
      </c>
      <c r="AB522" s="27">
        <f>(TA[[#This Row],[Work Start time on Fault]]-TA[[#This Row],[Fault Time]])*24</f>
        <v>0</v>
      </c>
      <c r="AC522" s="26">
        <f>(TA[[#This Row],[Work Completion time on fault]]-TA[[#This Row],[Fault Time]])*24</f>
        <v>0</v>
      </c>
      <c r="AD522" s="27">
        <f>IFERROR((TA[[#This Row],[Work Completion time on fault]]-TA[[#This Row],[Fault Time]])*24,"")</f>
        <v>0</v>
      </c>
      <c r="AE522" t="s">
        <v>319</v>
      </c>
      <c r="AF522" t="s">
        <v>247</v>
      </c>
      <c r="AG522" s="2"/>
      <c r="AH522" s="35">
        <f>1-COS(RADIANS(TA[[#This Row],[Avg. Target Angle during Fault Time (Radians)]]-TA[[#This Row],[Angle of affected equipment ]]))</f>
        <v>0.11705240714107301</v>
      </c>
      <c r="AI522" s="27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43">
        <f t="shared" si="27"/>
        <v>2026</v>
      </c>
      <c r="C523" s="116">
        <f t="shared" si="28"/>
        <v>2025</v>
      </c>
      <c r="D523" s="2" t="s">
        <v>155</v>
      </c>
      <c r="E523" s="2" t="s">
        <v>155</v>
      </c>
      <c r="F523" s="30">
        <v>45778</v>
      </c>
      <c r="G523" s="2">
        <f>DAY(EOMONTH(TA[[#This Row],[Month Year]],0))</f>
        <v>31</v>
      </c>
      <c r="H523" s="21">
        <v>45780</v>
      </c>
      <c r="I523" s="32">
        <f>IFERROR(VLOOKUP(TA[[#This Row],[Date]],Raw_Data[[Date]:[Sunset Time (POA&lt;20 W/m2)]],3,0),"")</f>
        <v>0.25416666666666665</v>
      </c>
      <c r="J523" s="32">
        <f>IFERROR(VLOOKUP(TA[[#This Row],[Date]],Raw_Data[[Date]:[Sunset Time (POA&lt;20 W/m2)]],4,0),"")</f>
        <v>0.76944444444444449</v>
      </c>
      <c r="K523" s="27">
        <f>IFERROR((TA[[#This Row],[Sunset Time (POA&lt;20 W/m2)]]-TA[[#This Row],[Sunrise Time (POA&gt;20 W/m2)]])*24,"")</f>
        <v>12.366666666666667</v>
      </c>
      <c r="L523" s="2" t="s">
        <v>287</v>
      </c>
      <c r="M523" s="33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314</v>
      </c>
      <c r="Q523" s="2" t="s">
        <v>320</v>
      </c>
      <c r="R523">
        <v>47</v>
      </c>
      <c r="S523" s="2">
        <v>18</v>
      </c>
      <c r="T523" t="s">
        <v>288</v>
      </c>
      <c r="U523" t="s">
        <v>317</v>
      </c>
      <c r="V523" t="s">
        <v>292</v>
      </c>
      <c r="W523" s="32"/>
      <c r="X523" s="32"/>
      <c r="Y523" s="26"/>
      <c r="Z523" s="26"/>
      <c r="AA523" s="27">
        <f>IF(TA[[#This Row],[Work Start time on Fault]]="NA","",(TA[[#This Row],[Fault Acknowledgement Time ]]-TA[[#This Row],[Fault Time]])*24)</f>
        <v>0</v>
      </c>
      <c r="AB523" s="27">
        <f>(TA[[#This Row],[Work Start time on Fault]]-TA[[#This Row],[Fault Time]])*24</f>
        <v>0</v>
      </c>
      <c r="AC523" s="26">
        <f>(TA[[#This Row],[Work Completion time on fault]]-TA[[#This Row],[Fault Time]])*24</f>
        <v>0</v>
      </c>
      <c r="AD523" s="27">
        <f>IFERROR((TA[[#This Row],[Work Completion time on fault]]-TA[[#This Row],[Fault Time]])*24,"")</f>
        <v>0</v>
      </c>
      <c r="AE523" t="s">
        <v>319</v>
      </c>
      <c r="AF523" t="s">
        <v>247</v>
      </c>
      <c r="AG523" s="2"/>
      <c r="AH523" s="35">
        <f>1-COS(RADIANS(TA[[#This Row],[Avg. Target Angle during Fault Time (Radians)]]-TA[[#This Row],[Angle of affected equipment ]]))</f>
        <v>0.11705240714107301</v>
      </c>
      <c r="AI523" s="27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43">
        <f t="shared" si="27"/>
        <v>2026</v>
      </c>
      <c r="C524" s="116">
        <f t="shared" si="28"/>
        <v>2025</v>
      </c>
      <c r="D524" s="2" t="s">
        <v>155</v>
      </c>
      <c r="E524" s="2" t="s">
        <v>155</v>
      </c>
      <c r="F524" s="30">
        <v>45778</v>
      </c>
      <c r="G524" s="2">
        <f>DAY(EOMONTH(TA[[#This Row],[Month Year]],0))</f>
        <v>31</v>
      </c>
      <c r="H524" s="21">
        <v>45780</v>
      </c>
      <c r="I524" s="32">
        <f>IFERROR(VLOOKUP(TA[[#This Row],[Date]],Raw_Data[[Date]:[Sunset Time (POA&lt;20 W/m2)]],3,0),"")</f>
        <v>0.25416666666666665</v>
      </c>
      <c r="J524" s="32">
        <f>IFERROR(VLOOKUP(TA[[#This Row],[Date]],Raw_Data[[Date]:[Sunset Time (POA&lt;20 W/m2)]],4,0),"")</f>
        <v>0.76944444444444449</v>
      </c>
      <c r="K524" s="27">
        <f>IFERROR((TA[[#This Row],[Sunset Time (POA&lt;20 W/m2)]]-TA[[#This Row],[Sunrise Time (POA&gt;20 W/m2)]])*24,"")</f>
        <v>12.366666666666667</v>
      </c>
      <c r="L524" s="2" t="s">
        <v>287</v>
      </c>
      <c r="M524" s="33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321</v>
      </c>
      <c r="Q524" s="2" t="s">
        <v>314</v>
      </c>
      <c r="R524">
        <v>30</v>
      </c>
      <c r="S524" s="2">
        <v>57</v>
      </c>
      <c r="T524" t="s">
        <v>288</v>
      </c>
      <c r="U524" t="s">
        <v>317</v>
      </c>
      <c r="V524" t="s">
        <v>292</v>
      </c>
      <c r="W524" s="32"/>
      <c r="X524" s="32"/>
      <c r="Y524" s="26"/>
      <c r="Z524" s="26"/>
      <c r="AA524" s="27">
        <f>IF(TA[[#This Row],[Work Start time on Fault]]="NA","",(TA[[#This Row],[Fault Acknowledgement Time ]]-TA[[#This Row],[Fault Time]])*24)</f>
        <v>0</v>
      </c>
      <c r="AB524" s="27">
        <f>(TA[[#This Row],[Work Start time on Fault]]-TA[[#This Row],[Fault Time]])*24</f>
        <v>0</v>
      </c>
      <c r="AC524" s="26">
        <f>(TA[[#This Row],[Work Completion time on fault]]-TA[[#This Row],[Fault Time]])*24</f>
        <v>0</v>
      </c>
      <c r="AD524" s="27">
        <f>IFERROR((TA[[#This Row],[Work Completion time on fault]]-TA[[#This Row],[Fault Time]])*24,"")</f>
        <v>0</v>
      </c>
      <c r="AE524" t="s">
        <v>319</v>
      </c>
      <c r="AF524" t="s">
        <v>247</v>
      </c>
      <c r="AG524" s="2"/>
      <c r="AH524" s="35">
        <f>1-COS(RADIANS(TA[[#This Row],[Avg. Target Angle during Fault Time (Radians)]]-TA[[#This Row],[Angle of affected equipment ]]))</f>
        <v>0.11705240714107301</v>
      </c>
      <c r="AI524" s="27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43">
        <f t="shared" si="27"/>
        <v>2026</v>
      </c>
      <c r="C525" s="116">
        <f t="shared" si="28"/>
        <v>2025</v>
      </c>
      <c r="D525" s="2" t="s">
        <v>155</v>
      </c>
      <c r="E525" s="2" t="s">
        <v>155</v>
      </c>
      <c r="F525" s="30">
        <v>45778</v>
      </c>
      <c r="G525" s="2">
        <f>DAY(EOMONTH(TA[[#This Row],[Month Year]],0))</f>
        <v>31</v>
      </c>
      <c r="H525" s="21">
        <v>45780</v>
      </c>
      <c r="I525" s="32">
        <f>IFERROR(VLOOKUP(TA[[#This Row],[Date]],Raw_Data[[Date]:[Sunset Time (POA&lt;20 W/m2)]],3,0),"")</f>
        <v>0.25416666666666665</v>
      </c>
      <c r="J525" s="32">
        <f>IFERROR(VLOOKUP(TA[[#This Row],[Date]],Raw_Data[[Date]:[Sunset Time (POA&lt;20 W/m2)]],4,0),"")</f>
        <v>0.76944444444444449</v>
      </c>
      <c r="K525" s="27">
        <f>IFERROR((TA[[#This Row],[Sunset Time (POA&lt;20 W/m2)]]-TA[[#This Row],[Sunrise Time (POA&gt;20 W/m2)]])*24,"")</f>
        <v>12.366666666666667</v>
      </c>
      <c r="L525" s="2" t="s">
        <v>287</v>
      </c>
      <c r="M525" s="33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321</v>
      </c>
      <c r="Q525" s="2" t="s">
        <v>314</v>
      </c>
      <c r="R525">
        <v>31</v>
      </c>
      <c r="S525" s="2">
        <v>61</v>
      </c>
      <c r="T525" t="s">
        <v>288</v>
      </c>
      <c r="U525" t="s">
        <v>317</v>
      </c>
      <c r="V525" t="s">
        <v>292</v>
      </c>
      <c r="W525" s="32"/>
      <c r="X525" s="32"/>
      <c r="Y525" s="26"/>
      <c r="Z525" s="26"/>
      <c r="AA525" s="27">
        <f>IF(TA[[#This Row],[Work Start time on Fault]]="NA","",(TA[[#This Row],[Fault Acknowledgement Time ]]-TA[[#This Row],[Fault Time]])*24)</f>
        <v>0</v>
      </c>
      <c r="AB525" s="27">
        <f>(TA[[#This Row],[Work Start time on Fault]]-TA[[#This Row],[Fault Time]])*24</f>
        <v>0</v>
      </c>
      <c r="AC525" s="26">
        <f>(TA[[#This Row],[Work Completion time on fault]]-TA[[#This Row],[Fault Time]])*24</f>
        <v>0</v>
      </c>
      <c r="AD525" s="27">
        <f>IFERROR((TA[[#This Row],[Work Completion time on fault]]-TA[[#This Row],[Fault Time]])*24,"")</f>
        <v>0</v>
      </c>
      <c r="AE525" t="s">
        <v>319</v>
      </c>
      <c r="AF525" t="s">
        <v>247</v>
      </c>
      <c r="AG525" s="2"/>
      <c r="AH525" s="35">
        <f>1-COS(RADIANS(TA[[#This Row],[Avg. Target Angle during Fault Time (Radians)]]-TA[[#This Row],[Angle of affected equipment ]]))</f>
        <v>0.11705240714107301</v>
      </c>
      <c r="AI525" s="27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43">
        <f t="shared" si="27"/>
        <v>2026</v>
      </c>
      <c r="C526" s="116">
        <f t="shared" si="28"/>
        <v>2025</v>
      </c>
      <c r="D526" s="2" t="s">
        <v>155</v>
      </c>
      <c r="E526" s="2" t="s">
        <v>155</v>
      </c>
      <c r="F526" s="30">
        <v>45778</v>
      </c>
      <c r="G526" s="2">
        <f>DAY(EOMONTH(TA[[#This Row],[Month Year]],0))</f>
        <v>31</v>
      </c>
      <c r="H526" s="21">
        <v>45780</v>
      </c>
      <c r="I526" s="32">
        <f>IFERROR(VLOOKUP(TA[[#This Row],[Date]],Raw_Data[[Date]:[Sunset Time (POA&lt;20 W/m2)]],3,0),"")</f>
        <v>0.25416666666666665</v>
      </c>
      <c r="J526" s="32">
        <f>IFERROR(VLOOKUP(TA[[#This Row],[Date]],Raw_Data[[Date]:[Sunset Time (POA&lt;20 W/m2)]],4,0),"")</f>
        <v>0.76944444444444449</v>
      </c>
      <c r="K526" s="27">
        <f>IFERROR((TA[[#This Row],[Sunset Time (POA&lt;20 W/m2)]]-TA[[#This Row],[Sunrise Time (POA&gt;20 W/m2)]])*24,"")</f>
        <v>12.366666666666667</v>
      </c>
      <c r="L526" s="2" t="s">
        <v>303</v>
      </c>
      <c r="M526" s="33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321</v>
      </c>
      <c r="Q526" s="2" t="s">
        <v>314</v>
      </c>
      <c r="R526">
        <v>26</v>
      </c>
      <c r="S526" s="2">
        <v>37</v>
      </c>
      <c r="T526" t="s">
        <v>288</v>
      </c>
      <c r="U526" t="s">
        <v>317</v>
      </c>
      <c r="V526" t="s">
        <v>292</v>
      </c>
      <c r="W526" s="32"/>
      <c r="X526" s="32"/>
      <c r="Y526" s="26"/>
      <c r="Z526" s="26"/>
      <c r="AA526" s="27">
        <f>IF(TA[[#This Row],[Work Start time on Fault]]="NA","",(TA[[#This Row],[Fault Acknowledgement Time ]]-TA[[#This Row],[Fault Time]])*24)</f>
        <v>0</v>
      </c>
      <c r="AB526" s="27">
        <f>(TA[[#This Row],[Work Start time on Fault]]-TA[[#This Row],[Fault Time]])*24</f>
        <v>0</v>
      </c>
      <c r="AC526" s="26">
        <f>(TA[[#This Row],[Work Completion time on fault]]-TA[[#This Row],[Fault Time]])*24</f>
        <v>0</v>
      </c>
      <c r="AD526" s="27">
        <f>IFERROR((TA[[#This Row],[Work Completion time on fault]]-TA[[#This Row],[Fault Time]])*24,"")</f>
        <v>0</v>
      </c>
      <c r="AE526" t="s">
        <v>319</v>
      </c>
      <c r="AF526" t="s">
        <v>247</v>
      </c>
      <c r="AG526" s="2"/>
      <c r="AH526" s="35">
        <f>1-COS(RADIANS(TA[[#This Row],[Avg. Target Angle during Fault Time (Radians)]]-TA[[#This Row],[Angle of affected equipment ]]))</f>
        <v>0.11705240714107301</v>
      </c>
      <c r="AI526" s="27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43">
        <f t="shared" si="27"/>
        <v>2026</v>
      </c>
      <c r="C527" s="116">
        <f t="shared" si="28"/>
        <v>2025</v>
      </c>
      <c r="D527" s="2" t="s">
        <v>155</v>
      </c>
      <c r="E527" s="2" t="s">
        <v>155</v>
      </c>
      <c r="F527" s="30">
        <v>45778</v>
      </c>
      <c r="G527" s="2">
        <f>DAY(EOMONTH(TA[[#This Row],[Month Year]],0))</f>
        <v>31</v>
      </c>
      <c r="H527" s="21">
        <v>45780</v>
      </c>
      <c r="I527" s="32">
        <f>IFERROR(VLOOKUP(TA[[#This Row],[Date]],Raw_Data[[Date]:[Sunset Time (POA&lt;20 W/m2)]],3,0),"")</f>
        <v>0.25416666666666665</v>
      </c>
      <c r="J527" s="32">
        <f>IFERROR(VLOOKUP(TA[[#This Row],[Date]],Raw_Data[[Date]:[Sunset Time (POA&lt;20 W/m2)]],4,0),"")</f>
        <v>0.76944444444444449</v>
      </c>
      <c r="K527" s="27">
        <f>IFERROR((TA[[#This Row],[Sunset Time (POA&lt;20 W/m2)]]-TA[[#This Row],[Sunrise Time (POA&gt;20 W/m2)]])*24,"")</f>
        <v>12.366666666666667</v>
      </c>
      <c r="L527" s="2" t="s">
        <v>303</v>
      </c>
      <c r="M527" s="33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321</v>
      </c>
      <c r="Q527" s="2" t="s">
        <v>314</v>
      </c>
      <c r="R527">
        <v>27</v>
      </c>
      <c r="S527" s="2">
        <v>42</v>
      </c>
      <c r="T527" t="s">
        <v>288</v>
      </c>
      <c r="U527" t="s">
        <v>317</v>
      </c>
      <c r="V527" t="s">
        <v>292</v>
      </c>
      <c r="W527" s="32">
        <f>IFERROR(VLOOKUP(TA[[#This Row],[Date]],Raw_Data[[Date]:[Sunset Time (POA&lt;20 W/m2)]],3,0),"")</f>
        <v>0.25416666666666665</v>
      </c>
      <c r="X527" s="32">
        <f>IFERROR(VLOOKUP(TA[[#This Row],[Date]],Raw_Data[[Date]:[Sunset Time (POA&lt;20 W/m2)]],3,0),"")</f>
        <v>0.25416666666666665</v>
      </c>
      <c r="Y527" s="26"/>
      <c r="Z527" s="26">
        <v>0.76041666666666663</v>
      </c>
      <c r="AA527" s="27">
        <f>IF(TA[[#This Row],[Work Start time on Fault]]="NA","",(TA[[#This Row],[Fault Acknowledgement Time ]]-TA[[#This Row],[Fault Time]])*24)</f>
        <v>0</v>
      </c>
      <c r="AB527" s="27">
        <f>(TA[[#This Row],[Work Start time on Fault]]-TA[[#This Row],[Fault Time]])*24</f>
        <v>-6.1</v>
      </c>
      <c r="AC527" s="26">
        <f>(TA[[#This Row],[Work Completion time on fault]]-TA[[#This Row],[Fault Time]])*24</f>
        <v>12.149999999999999</v>
      </c>
      <c r="AD527" s="27">
        <f>IFERROR((TA[[#This Row],[Work Completion time on fault]]-TA[[#This Row],[Fault Time]])*24,"")</f>
        <v>12.149999999999999</v>
      </c>
      <c r="AE527" t="s">
        <v>300</v>
      </c>
      <c r="AF527" t="s">
        <v>247</v>
      </c>
      <c r="AG527" s="2"/>
      <c r="AH527" s="35">
        <f>1-COS(RADIANS(TA[[#This Row],[Avg. Target Angle during Fault Time (Radians)]]-TA[[#This Row],[Angle of affected equipment ]]))</f>
        <v>0.11705240714107301</v>
      </c>
      <c r="AI527" s="27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43">
        <f t="shared" si="27"/>
        <v>2026</v>
      </c>
      <c r="C528" s="116">
        <f t="shared" si="28"/>
        <v>2025</v>
      </c>
      <c r="D528" s="2" t="s">
        <v>155</v>
      </c>
      <c r="E528" s="2" t="s">
        <v>155</v>
      </c>
      <c r="F528" s="30">
        <v>45778</v>
      </c>
      <c r="G528" s="2">
        <f>DAY(EOMONTH(TA[[#This Row],[Month Year]],0))</f>
        <v>31</v>
      </c>
      <c r="H528" s="21">
        <v>45781</v>
      </c>
      <c r="I528" s="32">
        <f>IFERROR(VLOOKUP(TA[[#This Row],[Date]],Raw_Data[[Date]:[Sunset Time (POA&lt;20 W/m2)]],3,0),"")</f>
        <v>0.25416666666666665</v>
      </c>
      <c r="J528" s="32">
        <f>IFERROR(VLOOKUP(TA[[#This Row],[Date]],Raw_Data[[Date]:[Sunset Time (POA&lt;20 W/m2)]],4,0),"")</f>
        <v>0.77222222222222225</v>
      </c>
      <c r="K528" s="27">
        <f>IFERROR((TA[[#This Row],[Sunset Time (POA&lt;20 W/m2)]]-TA[[#This Row],[Sunrise Time (POA&gt;20 W/m2)]])*24,"")</f>
        <v>12.433333333333334</v>
      </c>
      <c r="L528" s="2" t="s">
        <v>285</v>
      </c>
      <c r="M528" s="33">
        <f>IFERROR(VLOOKUP(TA[[#This Row],[Affected Equipment]],'Basic Data'!$I$2:$K$40,3,0),"")</f>
        <v>1.7241379310344799E-3</v>
      </c>
      <c r="N528">
        <v>-28</v>
      </c>
      <c r="O528" t="s">
        <v>135</v>
      </c>
      <c r="P528" s="114" t="s">
        <v>309</v>
      </c>
      <c r="Q528" s="113" t="s">
        <v>309</v>
      </c>
      <c r="R528">
        <v>130</v>
      </c>
      <c r="S528" s="2">
        <v>37</v>
      </c>
      <c r="T528" t="s">
        <v>286</v>
      </c>
      <c r="U528" t="s">
        <v>291</v>
      </c>
      <c r="V528" t="s">
        <v>289</v>
      </c>
      <c r="W528" s="32"/>
      <c r="X528" s="32"/>
      <c r="Y528" s="26"/>
      <c r="Z528" s="26"/>
      <c r="AA528" s="27">
        <f>IF(TA[[#This Row],[Work Start time on Fault]]="NA","",(TA[[#This Row],[Fault Acknowledgement Time ]]-TA[[#This Row],[Fault Time]])*24)</f>
        <v>0</v>
      </c>
      <c r="AB528" s="27">
        <f>(TA[[#This Row],[Work Start time on Fault]]-TA[[#This Row],[Fault Time]])*24</f>
        <v>0</v>
      </c>
      <c r="AC528" s="26">
        <f>(TA[[#This Row],[Work Completion time on fault]]-TA[[#This Row],[Fault Time]])*24</f>
        <v>0</v>
      </c>
      <c r="AD528" s="27">
        <f>IFERROR((TA[[#This Row],[Work Completion time on fault]]-TA[[#This Row],[Fault Time]])*24,"")</f>
        <v>0</v>
      </c>
      <c r="AE528" t="s">
        <v>319</v>
      </c>
      <c r="AF528" t="s">
        <v>247</v>
      </c>
      <c r="AG528" s="2"/>
      <c r="AH528" s="35">
        <f>1-COS(RADIANS(TA[[#This Row],[Avg. Target Angle during Fault Time (Radians)]]-TA[[#This Row],[Angle of affected equipment ]]))</f>
        <v>0.11705240714107301</v>
      </c>
      <c r="AI528" s="27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43">
        <f t="shared" si="27"/>
        <v>2026</v>
      </c>
      <c r="C529" s="116">
        <f t="shared" si="28"/>
        <v>2025</v>
      </c>
      <c r="D529" s="2" t="s">
        <v>155</v>
      </c>
      <c r="E529" s="2" t="s">
        <v>155</v>
      </c>
      <c r="F529" s="30">
        <v>45778</v>
      </c>
      <c r="G529" s="2">
        <f>DAY(EOMONTH(TA[[#This Row],[Month Year]],0))</f>
        <v>31</v>
      </c>
      <c r="H529" s="21">
        <v>45781</v>
      </c>
      <c r="I529" s="32">
        <f>IFERROR(VLOOKUP(TA[[#This Row],[Date]],Raw_Data[[Date]:[Sunset Time (POA&lt;20 W/m2)]],3,0),"")</f>
        <v>0.25416666666666665</v>
      </c>
      <c r="J529" s="32">
        <f>IFERROR(VLOOKUP(TA[[#This Row],[Date]],Raw_Data[[Date]:[Sunset Time (POA&lt;20 W/m2)]],4,0),"")</f>
        <v>0.77222222222222225</v>
      </c>
      <c r="K529" s="27">
        <f>IFERROR((TA[[#This Row],[Sunset Time (POA&lt;20 W/m2)]]-TA[[#This Row],[Sunrise Time (POA&gt;20 W/m2)]])*24,"")</f>
        <v>12.433333333333334</v>
      </c>
      <c r="L529" s="2" t="s">
        <v>285</v>
      </c>
      <c r="M529" s="33">
        <f>IFERROR(VLOOKUP(TA[[#This Row],[Affected Equipment]],'Basic Data'!$I$2:$K$40,3,0),"")</f>
        <v>1.7241379310344799E-3</v>
      </c>
      <c r="N529">
        <v>-28</v>
      </c>
      <c r="O529" t="s">
        <v>135</v>
      </c>
      <c r="P529" s="114" t="s">
        <v>309</v>
      </c>
      <c r="Q529" s="113" t="s">
        <v>309</v>
      </c>
      <c r="R529">
        <v>131</v>
      </c>
      <c r="S529" s="2">
        <v>38</v>
      </c>
      <c r="T529" t="s">
        <v>286</v>
      </c>
      <c r="U529" t="s">
        <v>291</v>
      </c>
      <c r="V529" t="s">
        <v>289</v>
      </c>
      <c r="W529" s="32"/>
      <c r="X529" s="32"/>
      <c r="Y529" s="26"/>
      <c r="Z529" s="26"/>
      <c r="AA529" s="27">
        <f>IF(TA[[#This Row],[Work Start time on Fault]]="NA","",(TA[[#This Row],[Fault Acknowledgement Time ]]-TA[[#This Row],[Fault Time]])*24)</f>
        <v>0</v>
      </c>
      <c r="AB529" s="27">
        <f>(TA[[#This Row],[Work Start time on Fault]]-TA[[#This Row],[Fault Time]])*24</f>
        <v>0</v>
      </c>
      <c r="AC529" s="26">
        <f>(TA[[#This Row],[Work Completion time on fault]]-TA[[#This Row],[Fault Time]])*24</f>
        <v>0</v>
      </c>
      <c r="AD529" s="27">
        <f>IFERROR((TA[[#This Row],[Work Completion time on fault]]-TA[[#This Row],[Fault Time]])*24,"")</f>
        <v>0</v>
      </c>
      <c r="AE529" t="s">
        <v>319</v>
      </c>
      <c r="AF529" t="s">
        <v>247</v>
      </c>
      <c r="AG529" s="2"/>
      <c r="AH529" s="35">
        <f>1-COS(RADIANS(TA[[#This Row],[Avg. Target Angle during Fault Time (Radians)]]-TA[[#This Row],[Angle of affected equipment ]]))</f>
        <v>0.11705240714107301</v>
      </c>
      <c r="AI529" s="27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43">
        <f t="shared" si="27"/>
        <v>2026</v>
      </c>
      <c r="C530" s="116">
        <f t="shared" si="28"/>
        <v>2025</v>
      </c>
      <c r="D530" s="2" t="s">
        <v>155</v>
      </c>
      <c r="E530" s="2" t="s">
        <v>155</v>
      </c>
      <c r="F530" s="30">
        <v>45778</v>
      </c>
      <c r="G530" s="2">
        <f>DAY(EOMONTH(TA[[#This Row],[Month Year]],0))</f>
        <v>31</v>
      </c>
      <c r="H530" s="21">
        <v>45781</v>
      </c>
      <c r="I530" s="32">
        <f>IFERROR(VLOOKUP(TA[[#This Row],[Date]],Raw_Data[[Date]:[Sunset Time (POA&lt;20 W/m2)]],3,0),"")</f>
        <v>0.25416666666666665</v>
      </c>
      <c r="J530" s="32">
        <f>IFERROR(VLOOKUP(TA[[#This Row],[Date]],Raw_Data[[Date]:[Sunset Time (POA&lt;20 W/m2)]],4,0),"")</f>
        <v>0.77222222222222225</v>
      </c>
      <c r="K530" s="27">
        <f>IFERROR((TA[[#This Row],[Sunset Time (POA&lt;20 W/m2)]]-TA[[#This Row],[Sunrise Time (POA&gt;20 W/m2)]])*24,"")</f>
        <v>12.433333333333334</v>
      </c>
      <c r="L530" s="2" t="s">
        <v>285</v>
      </c>
      <c r="M530" s="33">
        <f>IFERROR(VLOOKUP(TA[[#This Row],[Affected Equipment]],'Basic Data'!$I$2:$K$40,3,0),"")</f>
        <v>1.7241379310344799E-3</v>
      </c>
      <c r="N530">
        <v>-28</v>
      </c>
      <c r="O530" t="s">
        <v>135</v>
      </c>
      <c r="P530" s="114" t="s">
        <v>309</v>
      </c>
      <c r="Q530" s="113" t="s">
        <v>309</v>
      </c>
      <c r="R530">
        <v>131</v>
      </c>
      <c r="S530" s="2">
        <v>39</v>
      </c>
      <c r="T530" t="s">
        <v>286</v>
      </c>
      <c r="U530" t="s">
        <v>291</v>
      </c>
      <c r="V530" t="s">
        <v>289</v>
      </c>
      <c r="W530" s="32"/>
      <c r="X530" s="32"/>
      <c r="Y530" s="26"/>
      <c r="Z530" s="26"/>
      <c r="AA530" s="27">
        <f>IF(TA[[#This Row],[Work Start time on Fault]]="NA","",(TA[[#This Row],[Fault Acknowledgement Time ]]-TA[[#This Row],[Fault Time]])*24)</f>
        <v>0</v>
      </c>
      <c r="AB530" s="27">
        <f>(TA[[#This Row],[Work Start time on Fault]]-TA[[#This Row],[Fault Time]])*24</f>
        <v>0</v>
      </c>
      <c r="AC530" s="26">
        <f>(TA[[#This Row],[Work Completion time on fault]]-TA[[#This Row],[Fault Time]])*24</f>
        <v>0</v>
      </c>
      <c r="AD530" s="27">
        <f>IFERROR((TA[[#This Row],[Work Completion time on fault]]-TA[[#This Row],[Fault Time]])*24,"")</f>
        <v>0</v>
      </c>
      <c r="AE530" t="s">
        <v>319</v>
      </c>
      <c r="AF530" t="s">
        <v>247</v>
      </c>
      <c r="AG530" s="2"/>
      <c r="AH530" s="35">
        <f>1-COS(RADIANS(TA[[#This Row],[Avg. Target Angle during Fault Time (Radians)]]-TA[[#This Row],[Angle of affected equipment ]]))</f>
        <v>0.11705240714107301</v>
      </c>
      <c r="AI530" s="27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43">
        <f t="shared" si="27"/>
        <v>2026</v>
      </c>
      <c r="C531" s="116">
        <f t="shared" si="28"/>
        <v>2025</v>
      </c>
      <c r="D531" s="2" t="s">
        <v>155</v>
      </c>
      <c r="E531" s="2" t="s">
        <v>155</v>
      </c>
      <c r="F531" s="30">
        <v>45778</v>
      </c>
      <c r="G531" s="2">
        <f>DAY(EOMONTH(TA[[#This Row],[Month Year]],0))</f>
        <v>31</v>
      </c>
      <c r="H531" s="21">
        <v>45781</v>
      </c>
      <c r="I531" s="32">
        <f>IFERROR(VLOOKUP(TA[[#This Row],[Date]],Raw_Data[[Date]:[Sunset Time (POA&lt;20 W/m2)]],3,0),"")</f>
        <v>0.25416666666666665</v>
      </c>
      <c r="J531" s="32">
        <f>IFERROR(VLOOKUP(TA[[#This Row],[Date]],Raw_Data[[Date]:[Sunset Time (POA&lt;20 W/m2)]],4,0),"")</f>
        <v>0.77222222222222225</v>
      </c>
      <c r="K531" s="27">
        <f>IFERROR((TA[[#This Row],[Sunset Time (POA&lt;20 W/m2)]]-TA[[#This Row],[Sunrise Time (POA&gt;20 W/m2)]])*24,"")</f>
        <v>12.433333333333334</v>
      </c>
      <c r="L531" s="2" t="s">
        <v>287</v>
      </c>
      <c r="M531" s="33">
        <f>IFERROR(VLOOKUP(TA[[#This Row],[Affected Equipment]],'Basic Data'!$I$2:$K$40,3,0),"")</f>
        <v>8.6206896551724102E-3</v>
      </c>
      <c r="N531">
        <v>-28</v>
      </c>
      <c r="O531" t="s">
        <v>135</v>
      </c>
      <c r="P531" s="114" t="s">
        <v>309</v>
      </c>
      <c r="Q531" s="2" t="s">
        <v>312</v>
      </c>
      <c r="R531">
        <v>133</v>
      </c>
      <c r="S531" s="2">
        <v>26</v>
      </c>
      <c r="T531" t="s">
        <v>288</v>
      </c>
      <c r="U531" t="s">
        <v>291</v>
      </c>
      <c r="V531" t="s">
        <v>305</v>
      </c>
      <c r="W531" s="32">
        <f>IFERROR(VLOOKUP(TA[[#This Row],[Date]],Raw_Data[[Date]:[Sunset Time (POA&lt;20 W/m2)]],3,0),"")</f>
        <v>0.25416666666666665</v>
      </c>
      <c r="X531" s="32">
        <f>IFERROR(VLOOKUP(TA[[#This Row],[Date]],Raw_Data[[Date]:[Sunset Time (POA&lt;20 W/m2)]],3,0),"")</f>
        <v>0.25416666666666665</v>
      </c>
      <c r="Y531" s="26"/>
      <c r="Z531" s="26">
        <v>0.76041666666666663</v>
      </c>
      <c r="AA531" s="27">
        <f>IF(TA[[#This Row],[Work Start time on Fault]]="NA","",(TA[[#This Row],[Fault Acknowledgement Time ]]-TA[[#This Row],[Fault Time]])*24)</f>
        <v>0</v>
      </c>
      <c r="AB531" s="27">
        <f>(TA[[#This Row],[Work Start time on Fault]]-TA[[#This Row],[Fault Time]])*24</f>
        <v>-6.1</v>
      </c>
      <c r="AC531" s="26">
        <f>(TA[[#This Row],[Work Completion time on fault]]-TA[[#This Row],[Fault Time]])*24</f>
        <v>12.149999999999999</v>
      </c>
      <c r="AD531" s="27">
        <f>IFERROR((TA[[#This Row],[Work Completion time on fault]]-TA[[#This Row],[Fault Time]])*24,"")</f>
        <v>12.149999999999999</v>
      </c>
      <c r="AE531" t="s">
        <v>319</v>
      </c>
      <c r="AF531" t="s">
        <v>247</v>
      </c>
      <c r="AG531" s="2"/>
      <c r="AH531" s="35">
        <f>1-COS(RADIANS(TA[[#This Row],[Avg. Target Angle during Fault Time (Radians)]]-TA[[#This Row],[Angle of affected equipment ]]))</f>
        <v>0.11705240714107301</v>
      </c>
      <c r="AI531" s="27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43">
        <f t="shared" si="27"/>
        <v>2026</v>
      </c>
      <c r="C532" s="116">
        <f t="shared" si="28"/>
        <v>2025</v>
      </c>
      <c r="D532" s="2" t="s">
        <v>155</v>
      </c>
      <c r="E532" s="2" t="s">
        <v>155</v>
      </c>
      <c r="F532" s="30">
        <v>45778</v>
      </c>
      <c r="G532" s="2">
        <f>DAY(EOMONTH(TA[[#This Row],[Month Year]],0))</f>
        <v>31</v>
      </c>
      <c r="H532" s="21">
        <v>45781</v>
      </c>
      <c r="I532" s="32">
        <f>IFERROR(VLOOKUP(TA[[#This Row],[Date]],Raw_Data[[Date]:[Sunset Time (POA&lt;20 W/m2)]],3,0),"")</f>
        <v>0.25416666666666665</v>
      </c>
      <c r="J532" s="32">
        <f>IFERROR(VLOOKUP(TA[[#This Row],[Date]],Raw_Data[[Date]:[Sunset Time (POA&lt;20 W/m2)]],4,0),"")</f>
        <v>0.77222222222222225</v>
      </c>
      <c r="K532" s="27">
        <f>IFERROR((TA[[#This Row],[Sunset Time (POA&lt;20 W/m2)]]-TA[[#This Row],[Sunrise Time (POA&gt;20 W/m2)]])*24,"")</f>
        <v>12.433333333333334</v>
      </c>
      <c r="L532" s="2" t="s">
        <v>285</v>
      </c>
      <c r="M532" s="33">
        <f>IFERROR(VLOOKUP(TA[[#This Row],[Affected Equipment]],'Basic Data'!$I$2:$K$40,3,0),"")</f>
        <v>1.7241379310344799E-3</v>
      </c>
      <c r="N532">
        <v>-28</v>
      </c>
      <c r="O532" t="s">
        <v>133</v>
      </c>
      <c r="P532" s="114" t="s">
        <v>307</v>
      </c>
      <c r="Q532" s="113" t="s">
        <v>308</v>
      </c>
      <c r="R532">
        <v>7</v>
      </c>
      <c r="S532" s="2">
        <v>32</v>
      </c>
      <c r="T532" t="s">
        <v>286</v>
      </c>
      <c r="U532" t="s">
        <v>291</v>
      </c>
      <c r="V532" t="s">
        <v>289</v>
      </c>
      <c r="W532" s="32"/>
      <c r="X532" s="32"/>
      <c r="Y532" s="26"/>
      <c r="Z532" s="26"/>
      <c r="AA532" s="27">
        <f>IF(TA[[#This Row],[Work Start time on Fault]]="NA","",(TA[[#This Row],[Fault Acknowledgement Time ]]-TA[[#This Row],[Fault Time]])*24)</f>
        <v>0</v>
      </c>
      <c r="AB532" s="27">
        <f>(TA[[#This Row],[Work Start time on Fault]]-TA[[#This Row],[Fault Time]])*24</f>
        <v>0</v>
      </c>
      <c r="AC532" s="26">
        <f>(TA[[#This Row],[Work Completion time on fault]]-TA[[#This Row],[Fault Time]])*24</f>
        <v>0</v>
      </c>
      <c r="AD532" s="27">
        <f>IFERROR((TA[[#This Row],[Work Completion time on fault]]-TA[[#This Row],[Fault Time]])*24,"")</f>
        <v>0</v>
      </c>
      <c r="AE532" t="s">
        <v>319</v>
      </c>
      <c r="AF532" t="s">
        <v>247</v>
      </c>
      <c r="AG532" s="2"/>
      <c r="AH532" s="35">
        <f>1-COS(RADIANS(TA[[#This Row],[Avg. Target Angle during Fault Time (Radians)]]-TA[[#This Row],[Angle of affected equipment ]]))</f>
        <v>0.11705240714107301</v>
      </c>
      <c r="AI532" s="27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43">
        <f t="shared" si="27"/>
        <v>2026</v>
      </c>
      <c r="C533" s="116">
        <f t="shared" si="28"/>
        <v>2025</v>
      </c>
      <c r="D533" s="2" t="s">
        <v>155</v>
      </c>
      <c r="E533" s="2" t="s">
        <v>155</v>
      </c>
      <c r="F533" s="30">
        <v>45778</v>
      </c>
      <c r="G533" s="2">
        <f>DAY(EOMONTH(TA[[#This Row],[Month Year]],0))</f>
        <v>31</v>
      </c>
      <c r="H533" s="21">
        <v>45781</v>
      </c>
      <c r="I533" s="32">
        <f>IFERROR(VLOOKUP(TA[[#This Row],[Date]],Raw_Data[[Date]:[Sunset Time (POA&lt;20 W/m2)]],3,0),"")</f>
        <v>0.25416666666666665</v>
      </c>
      <c r="J533" s="32">
        <f>IFERROR(VLOOKUP(TA[[#This Row],[Date]],Raw_Data[[Date]:[Sunset Time (POA&lt;20 W/m2)]],4,0),"")</f>
        <v>0.77222222222222225</v>
      </c>
      <c r="K533" s="27">
        <f>IFERROR((TA[[#This Row],[Sunset Time (POA&lt;20 W/m2)]]-TA[[#This Row],[Sunrise Time (POA&gt;20 W/m2)]])*24,"")</f>
        <v>12.433333333333334</v>
      </c>
      <c r="L533" s="2" t="s">
        <v>285</v>
      </c>
      <c r="M533" s="33">
        <f>IFERROR(VLOOKUP(TA[[#This Row],[Affected Equipment]],'Basic Data'!$I$2:$K$40,3,0),"")</f>
        <v>1.7241379310344799E-3</v>
      </c>
      <c r="N533">
        <v>-28</v>
      </c>
      <c r="O533" t="s">
        <v>137</v>
      </c>
      <c r="P533" s="114" t="s">
        <v>306</v>
      </c>
      <c r="Q533" s="113" t="s">
        <v>310</v>
      </c>
      <c r="R533">
        <v>166</v>
      </c>
      <c r="S533" s="2">
        <v>91</v>
      </c>
      <c r="T533" t="s">
        <v>286</v>
      </c>
      <c r="U533" t="s">
        <v>291</v>
      </c>
      <c r="V533" t="s">
        <v>289</v>
      </c>
      <c r="W533" s="32"/>
      <c r="X533" s="32"/>
      <c r="Y533" s="26"/>
      <c r="Z533" s="26"/>
      <c r="AA533" s="27">
        <f>IF(TA[[#This Row],[Work Start time on Fault]]="NA","",(TA[[#This Row],[Fault Acknowledgement Time ]]-TA[[#This Row],[Fault Time]])*24)</f>
        <v>0</v>
      </c>
      <c r="AB533" s="27">
        <f>(TA[[#This Row],[Work Start time on Fault]]-TA[[#This Row],[Fault Time]])*24</f>
        <v>0</v>
      </c>
      <c r="AC533" s="26">
        <f>(TA[[#This Row],[Work Completion time on fault]]-TA[[#This Row],[Fault Time]])*24</f>
        <v>0</v>
      </c>
      <c r="AD533" s="27">
        <f>IFERROR((TA[[#This Row],[Work Completion time on fault]]-TA[[#This Row],[Fault Time]])*24,"")</f>
        <v>0</v>
      </c>
      <c r="AE533" t="s">
        <v>319</v>
      </c>
      <c r="AF533" t="s">
        <v>247</v>
      </c>
      <c r="AG533" s="2"/>
      <c r="AH533" s="35">
        <f>1-COS(RADIANS(TA[[#This Row],[Avg. Target Angle during Fault Time (Radians)]]-TA[[#This Row],[Angle of affected equipment ]]))</f>
        <v>0.11705240714107301</v>
      </c>
      <c r="AI533" s="27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43">
        <f t="shared" si="27"/>
        <v>2026</v>
      </c>
      <c r="C534" s="116">
        <f t="shared" si="28"/>
        <v>2025</v>
      </c>
      <c r="D534" s="2" t="s">
        <v>155</v>
      </c>
      <c r="E534" s="2" t="s">
        <v>155</v>
      </c>
      <c r="F534" s="30">
        <v>45778</v>
      </c>
      <c r="G534" s="2">
        <f>DAY(EOMONTH(TA[[#This Row],[Month Year]],0))</f>
        <v>31</v>
      </c>
      <c r="H534" s="21">
        <v>45781</v>
      </c>
      <c r="I534" s="32">
        <f>IFERROR(VLOOKUP(TA[[#This Row],[Date]],Raw_Data[[Date]:[Sunset Time (POA&lt;20 W/m2)]],3,0),"")</f>
        <v>0.25416666666666665</v>
      </c>
      <c r="J534" s="32">
        <f>IFERROR(VLOOKUP(TA[[#This Row],[Date]],Raw_Data[[Date]:[Sunset Time (POA&lt;20 W/m2)]],4,0),"")</f>
        <v>0.77222222222222225</v>
      </c>
      <c r="K534" s="27">
        <f>IFERROR((TA[[#This Row],[Sunset Time (POA&lt;20 W/m2)]]-TA[[#This Row],[Sunrise Time (POA&gt;20 W/m2)]])*24,"")</f>
        <v>12.433333333333334</v>
      </c>
      <c r="L534" s="2" t="s">
        <v>285</v>
      </c>
      <c r="M534" s="33">
        <f>IFERROR(VLOOKUP(TA[[#This Row],[Affected Equipment]],'Basic Data'!$I$2:$K$40,3,0),"")</f>
        <v>1.7241379310344799E-3</v>
      </c>
      <c r="N534">
        <v>-28</v>
      </c>
      <c r="O534" t="s">
        <v>133</v>
      </c>
      <c r="P534" s="114" t="s">
        <v>307</v>
      </c>
      <c r="Q534" s="113" t="s">
        <v>307</v>
      </c>
      <c r="R534">
        <v>117</v>
      </c>
      <c r="S534" s="2">
        <v>20</v>
      </c>
      <c r="T534" t="s">
        <v>286</v>
      </c>
      <c r="U534" t="s">
        <v>291</v>
      </c>
      <c r="V534" t="s">
        <v>289</v>
      </c>
      <c r="W534" s="32"/>
      <c r="X534" s="32"/>
      <c r="Y534" s="26"/>
      <c r="Z534" s="26"/>
      <c r="AA534" s="27">
        <f>IF(TA[[#This Row],[Work Start time on Fault]]="NA","",(TA[[#This Row],[Fault Acknowledgement Time ]]-TA[[#This Row],[Fault Time]])*24)</f>
        <v>0</v>
      </c>
      <c r="AB534" s="27">
        <f>(TA[[#This Row],[Work Start time on Fault]]-TA[[#This Row],[Fault Time]])*24</f>
        <v>0</v>
      </c>
      <c r="AC534" s="26">
        <f>(TA[[#This Row],[Work Completion time on fault]]-TA[[#This Row],[Fault Time]])*24</f>
        <v>0</v>
      </c>
      <c r="AD534" s="27">
        <f>IFERROR((TA[[#This Row],[Work Completion time on fault]]-TA[[#This Row],[Fault Time]])*24,"")</f>
        <v>0</v>
      </c>
      <c r="AE534" t="s">
        <v>319</v>
      </c>
      <c r="AF534" t="s">
        <v>247</v>
      </c>
      <c r="AG534" s="2"/>
      <c r="AH534" s="35">
        <f>1-COS(RADIANS(TA[[#This Row],[Avg. Target Angle during Fault Time (Radians)]]-TA[[#This Row],[Angle of affected equipment ]]))</f>
        <v>0.11705240714107301</v>
      </c>
      <c r="AI534" s="27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43">
        <f t="shared" si="27"/>
        <v>2026</v>
      </c>
      <c r="C535" s="116">
        <f t="shared" si="28"/>
        <v>2025</v>
      </c>
      <c r="D535" s="2" t="s">
        <v>155</v>
      </c>
      <c r="E535" s="2" t="s">
        <v>155</v>
      </c>
      <c r="F535" s="30">
        <v>45778</v>
      </c>
      <c r="G535" s="2">
        <f>DAY(EOMONTH(TA[[#This Row],[Month Year]],0))</f>
        <v>31</v>
      </c>
      <c r="H535" s="21">
        <v>45781</v>
      </c>
      <c r="I535" s="32">
        <f>IFERROR(VLOOKUP(TA[[#This Row],[Date]],Raw_Data[[Date]:[Sunset Time (POA&lt;20 W/m2)]],3,0),"")</f>
        <v>0.25416666666666665</v>
      </c>
      <c r="J535" s="32">
        <f>IFERROR(VLOOKUP(TA[[#This Row],[Date]],Raw_Data[[Date]:[Sunset Time (POA&lt;20 W/m2)]],4,0),"")</f>
        <v>0.77222222222222225</v>
      </c>
      <c r="K535" s="27">
        <f>IFERROR((TA[[#This Row],[Sunset Time (POA&lt;20 W/m2)]]-TA[[#This Row],[Sunrise Time (POA&gt;20 W/m2)]])*24,"")</f>
        <v>12.433333333333334</v>
      </c>
      <c r="L535" s="2" t="s">
        <v>285</v>
      </c>
      <c r="M535" s="33">
        <f>IFERROR(VLOOKUP(TA[[#This Row],[Affected Equipment]],'Basic Data'!$I$2:$K$40,3,0),"")</f>
        <v>1.7241379310344799E-3</v>
      </c>
      <c r="N535">
        <v>-28</v>
      </c>
      <c r="O535" t="s">
        <v>133</v>
      </c>
      <c r="P535" s="114" t="s">
        <v>307</v>
      </c>
      <c r="Q535" s="113" t="s">
        <v>307</v>
      </c>
      <c r="R535">
        <v>118</v>
      </c>
      <c r="S535" s="2">
        <v>22</v>
      </c>
      <c r="T535" t="s">
        <v>286</v>
      </c>
      <c r="U535" t="s">
        <v>291</v>
      </c>
      <c r="V535" t="s">
        <v>289</v>
      </c>
      <c r="W535" s="32"/>
      <c r="X535" s="32"/>
      <c r="Y535" s="26"/>
      <c r="Z535" s="26"/>
      <c r="AA535" s="27">
        <f>IF(TA[[#This Row],[Work Start time on Fault]]="NA","",(TA[[#This Row],[Fault Acknowledgement Time ]]-TA[[#This Row],[Fault Time]])*24)</f>
        <v>0</v>
      </c>
      <c r="AB535" s="27">
        <f>(TA[[#This Row],[Work Start time on Fault]]-TA[[#This Row],[Fault Time]])*24</f>
        <v>0</v>
      </c>
      <c r="AC535" s="26">
        <f>(TA[[#This Row],[Work Completion time on fault]]-TA[[#This Row],[Fault Time]])*24</f>
        <v>0</v>
      </c>
      <c r="AD535" s="27">
        <f>IFERROR((TA[[#This Row],[Work Completion time on fault]]-TA[[#This Row],[Fault Time]])*24,"")</f>
        <v>0</v>
      </c>
      <c r="AE535" t="s">
        <v>319</v>
      </c>
      <c r="AF535" t="s">
        <v>247</v>
      </c>
      <c r="AG535" s="2"/>
      <c r="AH535" s="35">
        <f>1-COS(RADIANS(TA[[#This Row],[Avg. Target Angle during Fault Time (Radians)]]-TA[[#This Row],[Angle of affected equipment ]]))</f>
        <v>0.11705240714107301</v>
      </c>
      <c r="AI535" s="27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43">
        <f t="shared" si="27"/>
        <v>2026</v>
      </c>
      <c r="C536" s="116">
        <f t="shared" si="28"/>
        <v>2025</v>
      </c>
      <c r="D536" s="2" t="s">
        <v>155</v>
      </c>
      <c r="E536" s="2" t="s">
        <v>155</v>
      </c>
      <c r="F536" s="30">
        <v>45778</v>
      </c>
      <c r="G536" s="2">
        <f>DAY(EOMONTH(TA[[#This Row],[Month Year]],0))</f>
        <v>31</v>
      </c>
      <c r="H536" s="21">
        <v>45781</v>
      </c>
      <c r="I536" s="32">
        <f>IFERROR(VLOOKUP(TA[[#This Row],[Date]],Raw_Data[[Date]:[Sunset Time (POA&lt;20 W/m2)]],3,0),"")</f>
        <v>0.25416666666666665</v>
      </c>
      <c r="J536" s="32">
        <f>IFERROR(VLOOKUP(TA[[#This Row],[Date]],Raw_Data[[Date]:[Sunset Time (POA&lt;20 W/m2)]],4,0),"")</f>
        <v>0.77222222222222225</v>
      </c>
      <c r="K536" s="27">
        <f>IFERROR((TA[[#This Row],[Sunset Time (POA&lt;20 W/m2)]]-TA[[#This Row],[Sunrise Time (POA&gt;20 W/m2)]])*24,"")</f>
        <v>12.433333333333334</v>
      </c>
      <c r="L536" s="2" t="s">
        <v>287</v>
      </c>
      <c r="M536" s="33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314</v>
      </c>
      <c r="Q536" s="2" t="s">
        <v>320</v>
      </c>
      <c r="R536">
        <v>45</v>
      </c>
      <c r="S536" s="2">
        <v>8</v>
      </c>
      <c r="T536" t="s">
        <v>288</v>
      </c>
      <c r="U536" t="s">
        <v>317</v>
      </c>
      <c r="V536" t="s">
        <v>292</v>
      </c>
      <c r="W536" s="32"/>
      <c r="X536" s="32"/>
      <c r="Y536" s="26"/>
      <c r="Z536" s="26"/>
      <c r="AA536" s="27">
        <f>IF(TA[[#This Row],[Work Start time on Fault]]="NA","",(TA[[#This Row],[Fault Acknowledgement Time ]]-TA[[#This Row],[Fault Time]])*24)</f>
        <v>0</v>
      </c>
      <c r="AB536" s="27">
        <f>(TA[[#This Row],[Work Start time on Fault]]-TA[[#This Row],[Fault Time]])*24</f>
        <v>0</v>
      </c>
      <c r="AC536" s="26">
        <f>(TA[[#This Row],[Work Completion time on fault]]-TA[[#This Row],[Fault Time]])*24</f>
        <v>0</v>
      </c>
      <c r="AD536" s="27">
        <f>IFERROR((TA[[#This Row],[Work Completion time on fault]]-TA[[#This Row],[Fault Time]])*24,"")</f>
        <v>0</v>
      </c>
      <c r="AE536" t="s">
        <v>319</v>
      </c>
      <c r="AF536" t="s">
        <v>247</v>
      </c>
      <c r="AG536" s="2"/>
      <c r="AH536" s="35">
        <f>1-COS(RADIANS(TA[[#This Row],[Avg. Target Angle during Fault Time (Radians)]]-TA[[#This Row],[Angle of affected equipment ]]))</f>
        <v>0.11705240714107301</v>
      </c>
      <c r="AI536" s="27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43">
        <f t="shared" si="27"/>
        <v>2026</v>
      </c>
      <c r="C537" s="116">
        <f t="shared" si="28"/>
        <v>2025</v>
      </c>
      <c r="D537" s="2" t="s">
        <v>155</v>
      </c>
      <c r="E537" s="2" t="s">
        <v>155</v>
      </c>
      <c r="F537" s="30">
        <v>45778</v>
      </c>
      <c r="G537" s="2">
        <f>DAY(EOMONTH(TA[[#This Row],[Month Year]],0))</f>
        <v>31</v>
      </c>
      <c r="H537" s="21">
        <v>45781</v>
      </c>
      <c r="I537" s="32">
        <f>IFERROR(VLOOKUP(TA[[#This Row],[Date]],Raw_Data[[Date]:[Sunset Time (POA&lt;20 W/m2)]],3,0),"")</f>
        <v>0.25416666666666665</v>
      </c>
      <c r="J537" s="32">
        <f>IFERROR(VLOOKUP(TA[[#This Row],[Date]],Raw_Data[[Date]:[Sunset Time (POA&lt;20 W/m2)]],4,0),"")</f>
        <v>0.77222222222222225</v>
      </c>
      <c r="K537" s="27">
        <f>IFERROR((TA[[#This Row],[Sunset Time (POA&lt;20 W/m2)]]-TA[[#This Row],[Sunrise Time (POA&gt;20 W/m2)]])*24,"")</f>
        <v>12.433333333333334</v>
      </c>
      <c r="L537" s="2" t="s">
        <v>287</v>
      </c>
      <c r="M537" s="33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314</v>
      </c>
      <c r="Q537" s="2" t="s">
        <v>320</v>
      </c>
      <c r="R537">
        <v>47</v>
      </c>
      <c r="S537" s="2">
        <v>18</v>
      </c>
      <c r="T537" t="s">
        <v>288</v>
      </c>
      <c r="U537" t="s">
        <v>317</v>
      </c>
      <c r="V537" t="s">
        <v>292</v>
      </c>
      <c r="W537" s="32"/>
      <c r="X537" s="32"/>
      <c r="Y537" s="26"/>
      <c r="Z537" s="26"/>
      <c r="AA537" s="27">
        <f>IF(TA[[#This Row],[Work Start time on Fault]]="NA","",(TA[[#This Row],[Fault Acknowledgement Time ]]-TA[[#This Row],[Fault Time]])*24)</f>
        <v>0</v>
      </c>
      <c r="AB537" s="27">
        <f>(TA[[#This Row],[Work Start time on Fault]]-TA[[#This Row],[Fault Time]])*24</f>
        <v>0</v>
      </c>
      <c r="AC537" s="26">
        <f>(TA[[#This Row],[Work Completion time on fault]]-TA[[#This Row],[Fault Time]])*24</f>
        <v>0</v>
      </c>
      <c r="AD537" s="27">
        <f>IFERROR((TA[[#This Row],[Work Completion time on fault]]-TA[[#This Row],[Fault Time]])*24,"")</f>
        <v>0</v>
      </c>
      <c r="AE537" t="s">
        <v>319</v>
      </c>
      <c r="AF537" t="s">
        <v>247</v>
      </c>
      <c r="AG537" s="2"/>
      <c r="AH537" s="35">
        <f>1-COS(RADIANS(TA[[#This Row],[Avg. Target Angle during Fault Time (Radians)]]-TA[[#This Row],[Angle of affected equipment ]]))</f>
        <v>0.11705240714107301</v>
      </c>
      <c r="AI537" s="27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43">
        <f t="shared" si="27"/>
        <v>2026</v>
      </c>
      <c r="C538" s="116">
        <f t="shared" si="28"/>
        <v>2025</v>
      </c>
      <c r="D538" s="2" t="s">
        <v>155</v>
      </c>
      <c r="E538" s="2" t="s">
        <v>155</v>
      </c>
      <c r="F538" s="30">
        <v>45778</v>
      </c>
      <c r="G538" s="2">
        <f>DAY(EOMONTH(TA[[#This Row],[Month Year]],0))</f>
        <v>31</v>
      </c>
      <c r="H538" s="21">
        <v>45781</v>
      </c>
      <c r="I538" s="32">
        <f>IFERROR(VLOOKUP(TA[[#This Row],[Date]],Raw_Data[[Date]:[Sunset Time (POA&lt;20 W/m2)]],3,0),"")</f>
        <v>0.25416666666666665</v>
      </c>
      <c r="J538" s="32">
        <f>IFERROR(VLOOKUP(TA[[#This Row],[Date]],Raw_Data[[Date]:[Sunset Time (POA&lt;20 W/m2)]],4,0),"")</f>
        <v>0.77222222222222225</v>
      </c>
      <c r="K538" s="27">
        <f>IFERROR((TA[[#This Row],[Sunset Time (POA&lt;20 W/m2)]]-TA[[#This Row],[Sunrise Time (POA&gt;20 W/m2)]])*24,"")</f>
        <v>12.433333333333334</v>
      </c>
      <c r="L538" s="2" t="s">
        <v>287</v>
      </c>
      <c r="M538" s="33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321</v>
      </c>
      <c r="Q538" s="2" t="s">
        <v>314</v>
      </c>
      <c r="R538">
        <v>30</v>
      </c>
      <c r="S538" s="2">
        <v>57</v>
      </c>
      <c r="T538" t="s">
        <v>288</v>
      </c>
      <c r="U538" t="s">
        <v>317</v>
      </c>
      <c r="V538" t="s">
        <v>292</v>
      </c>
      <c r="W538" s="32"/>
      <c r="X538" s="32"/>
      <c r="Y538" s="26"/>
      <c r="Z538" s="26"/>
      <c r="AA538" s="27">
        <f>IF(TA[[#This Row],[Work Start time on Fault]]="NA","",(TA[[#This Row],[Fault Acknowledgement Time ]]-TA[[#This Row],[Fault Time]])*24)</f>
        <v>0</v>
      </c>
      <c r="AB538" s="27">
        <f>(TA[[#This Row],[Work Start time on Fault]]-TA[[#This Row],[Fault Time]])*24</f>
        <v>0</v>
      </c>
      <c r="AC538" s="26">
        <f>(TA[[#This Row],[Work Completion time on fault]]-TA[[#This Row],[Fault Time]])*24</f>
        <v>0</v>
      </c>
      <c r="AD538" s="27">
        <f>IFERROR((TA[[#This Row],[Work Completion time on fault]]-TA[[#This Row],[Fault Time]])*24,"")</f>
        <v>0</v>
      </c>
      <c r="AE538" t="s">
        <v>319</v>
      </c>
      <c r="AF538" t="s">
        <v>247</v>
      </c>
      <c r="AG538" s="2"/>
      <c r="AH538" s="35">
        <f>1-COS(RADIANS(TA[[#This Row],[Avg. Target Angle during Fault Time (Radians)]]-TA[[#This Row],[Angle of affected equipment ]]))</f>
        <v>0.11705240714107301</v>
      </c>
      <c r="AI538" s="27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43">
        <f t="shared" si="27"/>
        <v>2026</v>
      </c>
      <c r="C539" s="116">
        <f t="shared" si="28"/>
        <v>2025</v>
      </c>
      <c r="D539" s="2" t="s">
        <v>155</v>
      </c>
      <c r="E539" s="2" t="s">
        <v>155</v>
      </c>
      <c r="F539" s="30">
        <v>45778</v>
      </c>
      <c r="G539" s="2">
        <f>DAY(EOMONTH(TA[[#This Row],[Month Year]],0))</f>
        <v>31</v>
      </c>
      <c r="H539" s="21">
        <v>45781</v>
      </c>
      <c r="I539" s="32">
        <f>IFERROR(VLOOKUP(TA[[#This Row],[Date]],Raw_Data[[Date]:[Sunset Time (POA&lt;20 W/m2)]],3,0),"")</f>
        <v>0.25416666666666665</v>
      </c>
      <c r="J539" s="32">
        <f>IFERROR(VLOOKUP(TA[[#This Row],[Date]],Raw_Data[[Date]:[Sunset Time (POA&lt;20 W/m2)]],4,0),"")</f>
        <v>0.77222222222222225</v>
      </c>
      <c r="K539" s="27">
        <f>IFERROR((TA[[#This Row],[Sunset Time (POA&lt;20 W/m2)]]-TA[[#This Row],[Sunrise Time (POA&gt;20 W/m2)]])*24,"")</f>
        <v>12.433333333333334</v>
      </c>
      <c r="L539" s="2" t="s">
        <v>287</v>
      </c>
      <c r="M539" s="33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321</v>
      </c>
      <c r="Q539" s="2" t="s">
        <v>314</v>
      </c>
      <c r="R539">
        <v>31</v>
      </c>
      <c r="S539" s="2">
        <v>61</v>
      </c>
      <c r="T539" t="s">
        <v>288</v>
      </c>
      <c r="U539" t="s">
        <v>317</v>
      </c>
      <c r="V539" t="s">
        <v>292</v>
      </c>
      <c r="W539" s="32"/>
      <c r="X539" s="32"/>
      <c r="Y539" s="26"/>
      <c r="Z539" s="26"/>
      <c r="AA539" s="27">
        <f>IF(TA[[#This Row],[Work Start time on Fault]]="NA","",(TA[[#This Row],[Fault Acknowledgement Time ]]-TA[[#This Row],[Fault Time]])*24)</f>
        <v>0</v>
      </c>
      <c r="AB539" s="27">
        <f>(TA[[#This Row],[Work Start time on Fault]]-TA[[#This Row],[Fault Time]])*24</f>
        <v>0</v>
      </c>
      <c r="AC539" s="26">
        <f>(TA[[#This Row],[Work Completion time on fault]]-TA[[#This Row],[Fault Time]])*24</f>
        <v>0</v>
      </c>
      <c r="AD539" s="27">
        <f>IFERROR((TA[[#This Row],[Work Completion time on fault]]-TA[[#This Row],[Fault Time]])*24,"")</f>
        <v>0</v>
      </c>
      <c r="AE539" t="s">
        <v>319</v>
      </c>
      <c r="AF539" t="s">
        <v>247</v>
      </c>
      <c r="AG539" s="2"/>
      <c r="AH539" s="35">
        <f>1-COS(RADIANS(TA[[#This Row],[Avg. Target Angle during Fault Time (Radians)]]-TA[[#This Row],[Angle of affected equipment ]]))</f>
        <v>0.11705240714107301</v>
      </c>
      <c r="AI539" s="27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43">
        <f t="shared" si="27"/>
        <v>2026</v>
      </c>
      <c r="C540" s="116">
        <f t="shared" si="28"/>
        <v>2025</v>
      </c>
      <c r="D540" s="2" t="s">
        <v>155</v>
      </c>
      <c r="E540" s="2" t="s">
        <v>155</v>
      </c>
      <c r="F540" s="30">
        <v>45778</v>
      </c>
      <c r="G540" s="2">
        <f>DAY(EOMONTH(TA[[#This Row],[Month Year]],0))</f>
        <v>31</v>
      </c>
      <c r="H540" s="21">
        <v>45781</v>
      </c>
      <c r="I540" s="32">
        <f>IFERROR(VLOOKUP(TA[[#This Row],[Date]],Raw_Data[[Date]:[Sunset Time (POA&lt;20 W/m2)]],3,0),"")</f>
        <v>0.25416666666666665</v>
      </c>
      <c r="J540" s="32">
        <f>IFERROR(VLOOKUP(TA[[#This Row],[Date]],Raw_Data[[Date]:[Sunset Time (POA&lt;20 W/m2)]],4,0),"")</f>
        <v>0.77222222222222225</v>
      </c>
      <c r="K540" s="27">
        <f>IFERROR((TA[[#This Row],[Sunset Time (POA&lt;20 W/m2)]]-TA[[#This Row],[Sunrise Time (POA&gt;20 W/m2)]])*24,"")</f>
        <v>12.433333333333334</v>
      </c>
      <c r="L540" s="2" t="s">
        <v>303</v>
      </c>
      <c r="M540" s="33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321</v>
      </c>
      <c r="Q540" s="2" t="s">
        <v>314</v>
      </c>
      <c r="R540">
        <v>26</v>
      </c>
      <c r="S540" s="2">
        <v>37</v>
      </c>
      <c r="T540" t="s">
        <v>288</v>
      </c>
      <c r="U540" t="s">
        <v>317</v>
      </c>
      <c r="V540" t="s">
        <v>292</v>
      </c>
      <c r="W540" s="32"/>
      <c r="X540" s="32"/>
      <c r="Y540" s="26"/>
      <c r="Z540" s="26"/>
      <c r="AA540" s="27">
        <f>IF(TA[[#This Row],[Work Start time on Fault]]="NA","",(TA[[#This Row],[Fault Acknowledgement Time ]]-TA[[#This Row],[Fault Time]])*24)</f>
        <v>0</v>
      </c>
      <c r="AB540" s="27">
        <f>(TA[[#This Row],[Work Start time on Fault]]-TA[[#This Row],[Fault Time]])*24</f>
        <v>0</v>
      </c>
      <c r="AC540" s="26">
        <f>(TA[[#This Row],[Work Completion time on fault]]-TA[[#This Row],[Fault Time]])*24</f>
        <v>0</v>
      </c>
      <c r="AD540" s="27">
        <f>IFERROR((TA[[#This Row],[Work Completion time on fault]]-TA[[#This Row],[Fault Time]])*24,"")</f>
        <v>0</v>
      </c>
      <c r="AE540" t="s">
        <v>319</v>
      </c>
      <c r="AF540" t="s">
        <v>247</v>
      </c>
      <c r="AG540" s="2"/>
      <c r="AH540" s="35">
        <f>1-COS(RADIANS(TA[[#This Row],[Avg. Target Angle during Fault Time (Radians)]]-TA[[#This Row],[Angle of affected equipment ]]))</f>
        <v>0.11705240714107301</v>
      </c>
      <c r="AI540" s="27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43">
        <f t="shared" si="27"/>
        <v>2026</v>
      </c>
      <c r="C541" s="116">
        <f t="shared" si="28"/>
        <v>2025</v>
      </c>
      <c r="D541" s="2" t="s">
        <v>155</v>
      </c>
      <c r="E541" s="2" t="s">
        <v>155</v>
      </c>
      <c r="F541" s="30">
        <v>45778</v>
      </c>
      <c r="G541" s="2">
        <f>DAY(EOMONTH(TA[[#This Row],[Month Year]],0))</f>
        <v>31</v>
      </c>
      <c r="H541" s="21">
        <v>45781</v>
      </c>
      <c r="I541" s="32">
        <f>IFERROR(VLOOKUP(TA[[#This Row],[Date]],Raw_Data[[Date]:[Sunset Time (POA&lt;20 W/m2)]],3,0),"")</f>
        <v>0.25416666666666665</v>
      </c>
      <c r="J541" s="32">
        <f>IFERROR(VLOOKUP(TA[[#This Row],[Date]],Raw_Data[[Date]:[Sunset Time (POA&lt;20 W/m2)]],4,0),"")</f>
        <v>0.77222222222222225</v>
      </c>
      <c r="K541" s="27">
        <f>IFERROR((TA[[#This Row],[Sunset Time (POA&lt;20 W/m2)]]-TA[[#This Row],[Sunrise Time (POA&gt;20 W/m2)]])*24,"")</f>
        <v>12.433333333333334</v>
      </c>
      <c r="L541" s="2" t="s">
        <v>303</v>
      </c>
      <c r="M541" s="33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321</v>
      </c>
      <c r="Q541" s="2" t="s">
        <v>314</v>
      </c>
      <c r="R541">
        <v>27</v>
      </c>
      <c r="S541" s="2">
        <v>42</v>
      </c>
      <c r="T541" t="s">
        <v>288</v>
      </c>
      <c r="U541" t="s">
        <v>317</v>
      </c>
      <c r="V541" t="s">
        <v>292</v>
      </c>
      <c r="W541" s="32">
        <f>IFERROR(VLOOKUP(TA[[#This Row],[Date]],Raw_Data[[Date]:[Sunset Time (POA&lt;20 W/m2)]],3,0),"")</f>
        <v>0.25416666666666665</v>
      </c>
      <c r="X541" s="32">
        <f>IFERROR(VLOOKUP(TA[[#This Row],[Date]],Raw_Data[[Date]:[Sunset Time (POA&lt;20 W/m2)]],3,0),"")</f>
        <v>0.25416666666666665</v>
      </c>
      <c r="Y541" s="26"/>
      <c r="Z541" s="26">
        <v>0.76041666666666663</v>
      </c>
      <c r="AA541" s="27">
        <f>IF(TA[[#This Row],[Work Start time on Fault]]="NA","",(TA[[#This Row],[Fault Acknowledgement Time ]]-TA[[#This Row],[Fault Time]])*24)</f>
        <v>0</v>
      </c>
      <c r="AB541" s="27">
        <f>(TA[[#This Row],[Work Start time on Fault]]-TA[[#This Row],[Fault Time]])*24</f>
        <v>-6.1</v>
      </c>
      <c r="AC541" s="26">
        <f>(TA[[#This Row],[Work Completion time on fault]]-TA[[#This Row],[Fault Time]])*24</f>
        <v>12.149999999999999</v>
      </c>
      <c r="AD541" s="27">
        <f>IFERROR((TA[[#This Row],[Work Completion time on fault]]-TA[[#This Row],[Fault Time]])*24,"")</f>
        <v>12.149999999999999</v>
      </c>
      <c r="AE541" t="s">
        <v>300</v>
      </c>
      <c r="AF541" t="s">
        <v>247</v>
      </c>
      <c r="AG541" s="2"/>
      <c r="AH541" s="35">
        <f>1-COS(RADIANS(TA[[#This Row],[Avg. Target Angle during Fault Time (Radians)]]-TA[[#This Row],[Angle of affected equipment ]]))</f>
        <v>0.11705240714107301</v>
      </c>
      <c r="AI541" s="27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43">
        <f t="shared" si="27"/>
        <v>2026</v>
      </c>
      <c r="C542" s="116">
        <f t="shared" si="28"/>
        <v>2025</v>
      </c>
      <c r="D542" s="2" t="s">
        <v>155</v>
      </c>
      <c r="E542" s="2" t="s">
        <v>155</v>
      </c>
      <c r="F542" s="30">
        <v>45778</v>
      </c>
      <c r="G542" s="2">
        <f>DAY(EOMONTH(TA[[#This Row],[Month Year]],0))</f>
        <v>31</v>
      </c>
      <c r="H542" s="21">
        <v>45782</v>
      </c>
      <c r="I542" s="32">
        <f>IFERROR(VLOOKUP(TA[[#This Row],[Date]],Raw_Data[[Date]:[Sunset Time (POA&lt;20 W/m2)]],3,0),"")</f>
        <v>0.25208333333333333</v>
      </c>
      <c r="J542" s="32">
        <f>IFERROR(VLOOKUP(TA[[#This Row],[Date]],Raw_Data[[Date]:[Sunset Time (POA&lt;20 W/m2)]],4,0),"")</f>
        <v>0.77152777777777781</v>
      </c>
      <c r="K542" s="27">
        <f>IFERROR((TA[[#This Row],[Sunset Time (POA&lt;20 W/m2)]]-TA[[#This Row],[Sunrise Time (POA&gt;20 W/m2)]])*24,"")</f>
        <v>12.466666666666669</v>
      </c>
      <c r="L542" s="2" t="s">
        <v>313</v>
      </c>
      <c r="M542" s="33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306</v>
      </c>
      <c r="Q542" s="2" t="s">
        <v>310</v>
      </c>
      <c r="R542">
        <v>109</v>
      </c>
      <c r="S542" s="2">
        <v>77</v>
      </c>
      <c r="T542" t="s">
        <v>288</v>
      </c>
      <c r="U542" t="s">
        <v>291</v>
      </c>
      <c r="V542" t="s">
        <v>292</v>
      </c>
      <c r="W542" s="32">
        <f>IFERROR(VLOOKUP(TA[[#This Row],[Date]],Raw_Data[[Date]:[Sunset Time (POA&lt;20 W/m2)]],3,0),"")</f>
        <v>0.25208333333333333</v>
      </c>
      <c r="X542" s="32">
        <f>IFERROR(VLOOKUP(TA[[#This Row],[Date]],Raw_Data[[Date]:[Sunset Time (POA&lt;20 W/m2)]],3,0),"")</f>
        <v>0.25208333333333333</v>
      </c>
      <c r="Y542" s="26">
        <v>0.45833333333333298</v>
      </c>
      <c r="Z542" s="26">
        <v>0.46875</v>
      </c>
      <c r="AA542" s="27">
        <f>IF(TA[[#This Row],[Work Start time on Fault]]="NA","",(TA[[#This Row],[Fault Acknowledgement Time ]]-TA[[#This Row],[Fault Time]])*24)</f>
        <v>0</v>
      </c>
      <c r="AB542" s="27">
        <f>(TA[[#This Row],[Work Start time on Fault]]-TA[[#This Row],[Fault Time]])*24</f>
        <v>4.9499999999999922</v>
      </c>
      <c r="AC542" s="26">
        <f>(TA[[#This Row],[Work Completion time on fault]]-TA[[#This Row],[Fault Time]])*24</f>
        <v>5.2</v>
      </c>
      <c r="AD542" s="27">
        <f>IFERROR((TA[[#This Row],[Work Completion time on fault]]-TA[[#This Row],[Fault Time]])*24,"")</f>
        <v>5.2</v>
      </c>
      <c r="AE542" t="s">
        <v>304</v>
      </c>
      <c r="AF542" t="s">
        <v>240</v>
      </c>
      <c r="AG542" s="2"/>
      <c r="AH542" s="35">
        <f>1-COS(RADIANS(TA[[#This Row],[Avg. Target Angle during Fault Time (Radians)]]-TA[[#This Row],[Angle of affected equipment ]]))</f>
        <v>0.11705240714107301</v>
      </c>
      <c r="AI542" s="27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43">
        <f t="shared" si="27"/>
        <v>2026</v>
      </c>
      <c r="C543" s="116">
        <f t="shared" si="28"/>
        <v>2025</v>
      </c>
      <c r="D543" s="2" t="s">
        <v>155</v>
      </c>
      <c r="E543" s="2" t="s">
        <v>155</v>
      </c>
      <c r="F543" s="30">
        <v>45778</v>
      </c>
      <c r="G543" s="2">
        <f>DAY(EOMONTH(TA[[#This Row],[Month Year]],0))</f>
        <v>31</v>
      </c>
      <c r="H543" s="21">
        <v>45782</v>
      </c>
      <c r="I543" s="32">
        <f>IFERROR(VLOOKUP(TA[[#This Row],[Date]],Raw_Data[[Date]:[Sunset Time (POA&lt;20 W/m2)]],3,0),"")</f>
        <v>0.25208333333333333</v>
      </c>
      <c r="J543" s="32">
        <f>IFERROR(VLOOKUP(TA[[#This Row],[Date]],Raw_Data[[Date]:[Sunset Time (POA&lt;20 W/m2)]],4,0),"")</f>
        <v>0.77152777777777781</v>
      </c>
      <c r="K543" s="27">
        <f>IFERROR((TA[[#This Row],[Sunset Time (POA&lt;20 W/m2)]]-TA[[#This Row],[Sunrise Time (POA&gt;20 W/m2)]])*24,"")</f>
        <v>12.466666666666669</v>
      </c>
      <c r="L543" s="2" t="s">
        <v>313</v>
      </c>
      <c r="M543" s="33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306</v>
      </c>
      <c r="Q543" s="2" t="s">
        <v>310</v>
      </c>
      <c r="R543">
        <v>100</v>
      </c>
      <c r="S543" s="2">
        <v>33</v>
      </c>
      <c r="T543" t="s">
        <v>288</v>
      </c>
      <c r="U543" t="s">
        <v>291</v>
      </c>
      <c r="V543" t="s">
        <v>292</v>
      </c>
      <c r="W543" s="32">
        <f>IFERROR(VLOOKUP(TA[[#This Row],[Date]],Raw_Data[[Date]:[Sunset Time (POA&lt;20 W/m2)]],3,0),"")</f>
        <v>0.25208333333333333</v>
      </c>
      <c r="X543" s="32">
        <f>IFERROR(VLOOKUP(TA[[#This Row],[Date]],Raw_Data[[Date]:[Sunset Time (POA&lt;20 W/m2)]],3,0),"")</f>
        <v>0.25208333333333333</v>
      </c>
      <c r="Y543" s="26">
        <v>0.47222222222222199</v>
      </c>
      <c r="Z543" s="26">
        <v>0.50694444444444398</v>
      </c>
      <c r="AA543" s="27">
        <f>IF(TA[[#This Row],[Work Start time on Fault]]="NA","",(TA[[#This Row],[Fault Acknowledgement Time ]]-TA[[#This Row],[Fault Time]])*24)</f>
        <v>0</v>
      </c>
      <c r="AB543" s="27">
        <f>(TA[[#This Row],[Work Start time on Fault]]-TA[[#This Row],[Fault Time]])*24</f>
        <v>5.2833333333333279</v>
      </c>
      <c r="AC543" s="26">
        <f>(TA[[#This Row],[Work Completion time on fault]]-TA[[#This Row],[Fault Time]])*24</f>
        <v>6.1166666666666556</v>
      </c>
      <c r="AD543" s="27">
        <f>IFERROR((TA[[#This Row],[Work Completion time on fault]]-TA[[#This Row],[Fault Time]])*24,"")</f>
        <v>6.1166666666666556</v>
      </c>
      <c r="AE543" t="s">
        <v>304</v>
      </c>
      <c r="AF543" t="s">
        <v>240</v>
      </c>
      <c r="AG543" s="2"/>
      <c r="AH543" s="35">
        <f>1-COS(RADIANS(TA[[#This Row],[Avg. Target Angle during Fault Time (Radians)]]-TA[[#This Row],[Angle of affected equipment ]]))</f>
        <v>0.11705240714107301</v>
      </c>
      <c r="AI543" s="27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43">
        <f t="shared" si="27"/>
        <v>2026</v>
      </c>
      <c r="C544" s="116">
        <f t="shared" si="28"/>
        <v>2025</v>
      </c>
      <c r="D544" s="2" t="s">
        <v>155</v>
      </c>
      <c r="E544" s="2" t="s">
        <v>155</v>
      </c>
      <c r="F544" s="30">
        <v>45778</v>
      </c>
      <c r="G544" s="2">
        <f>DAY(EOMONTH(TA[[#This Row],[Month Year]],0))</f>
        <v>31</v>
      </c>
      <c r="H544" s="21">
        <v>45782</v>
      </c>
      <c r="I544" s="32">
        <f>IFERROR(VLOOKUP(TA[[#This Row],[Date]],Raw_Data[[Date]:[Sunset Time (POA&lt;20 W/m2)]],3,0),"")</f>
        <v>0.25208333333333333</v>
      </c>
      <c r="J544" s="32">
        <f>IFERROR(VLOOKUP(TA[[#This Row],[Date]],Raw_Data[[Date]:[Sunset Time (POA&lt;20 W/m2)]],4,0),"")</f>
        <v>0.77152777777777781</v>
      </c>
      <c r="K544" s="27">
        <f>IFERROR((TA[[#This Row],[Sunset Time (POA&lt;20 W/m2)]]-TA[[#This Row],[Sunrise Time (POA&gt;20 W/m2)]])*24,"")</f>
        <v>12.466666666666669</v>
      </c>
      <c r="L544" s="2" t="s">
        <v>313</v>
      </c>
      <c r="M544" s="33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306</v>
      </c>
      <c r="Q544" s="2" t="s">
        <v>306</v>
      </c>
      <c r="R544">
        <v>18</v>
      </c>
      <c r="S544" s="2">
        <v>64</v>
      </c>
      <c r="T544" t="s">
        <v>288</v>
      </c>
      <c r="U544" t="s">
        <v>291</v>
      </c>
      <c r="V544" t="s">
        <v>292</v>
      </c>
      <c r="W544" s="32">
        <f>IFERROR(VLOOKUP(TA[[#This Row],[Date]],Raw_Data[[Date]:[Sunset Time (POA&lt;20 W/m2)]],3,0),"")</f>
        <v>0.25208333333333333</v>
      </c>
      <c r="X544" s="32">
        <f>IFERROR(VLOOKUP(TA[[#This Row],[Date]],Raw_Data[[Date]:[Sunset Time (POA&lt;20 W/m2)]],3,0),"")</f>
        <v>0.25208333333333333</v>
      </c>
      <c r="Y544" s="26">
        <v>0.51388888888888895</v>
      </c>
      <c r="Z544" s="26">
        <v>0.53125</v>
      </c>
      <c r="AA544" s="27">
        <f>IF(TA[[#This Row],[Work Start time on Fault]]="NA","",(TA[[#This Row],[Fault Acknowledgement Time ]]-TA[[#This Row],[Fault Time]])*24)</f>
        <v>0</v>
      </c>
      <c r="AB544" s="27">
        <f>(TA[[#This Row],[Work Start time on Fault]]-TA[[#This Row],[Fault Time]])*24</f>
        <v>6.283333333333335</v>
      </c>
      <c r="AC544" s="26">
        <f>(TA[[#This Row],[Work Completion time on fault]]-TA[[#This Row],[Fault Time]])*24</f>
        <v>6.7</v>
      </c>
      <c r="AD544" s="27">
        <f>IFERROR((TA[[#This Row],[Work Completion time on fault]]-TA[[#This Row],[Fault Time]])*24,"")</f>
        <v>6.7</v>
      </c>
      <c r="AE544" t="s">
        <v>304</v>
      </c>
      <c r="AF544" t="s">
        <v>240</v>
      </c>
      <c r="AG544" s="2"/>
      <c r="AH544" s="35">
        <f>1-COS(RADIANS(TA[[#This Row],[Avg. Target Angle during Fault Time (Radians)]]-TA[[#This Row],[Angle of affected equipment ]]))</f>
        <v>0.11705240714107301</v>
      </c>
      <c r="AI544" s="27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43">
        <f t="shared" si="27"/>
        <v>2026</v>
      </c>
      <c r="C545" s="116">
        <f t="shared" si="28"/>
        <v>2025</v>
      </c>
      <c r="D545" s="2" t="s">
        <v>155</v>
      </c>
      <c r="E545" s="2" t="s">
        <v>155</v>
      </c>
      <c r="F545" s="30">
        <v>45778</v>
      </c>
      <c r="G545" s="2">
        <f>DAY(EOMONTH(TA[[#This Row],[Month Year]],0))</f>
        <v>31</v>
      </c>
      <c r="H545" s="21">
        <v>45782</v>
      </c>
      <c r="I545" s="32">
        <f>IFERROR(VLOOKUP(TA[[#This Row],[Date]],Raw_Data[[Date]:[Sunset Time (POA&lt;20 W/m2)]],3,0),"")</f>
        <v>0.25208333333333333</v>
      </c>
      <c r="J545" s="32">
        <f>IFERROR(VLOOKUP(TA[[#This Row],[Date]],Raw_Data[[Date]:[Sunset Time (POA&lt;20 W/m2)]],4,0),"")</f>
        <v>0.77152777777777781</v>
      </c>
      <c r="K545" s="27">
        <f>IFERROR((TA[[#This Row],[Sunset Time (POA&lt;20 W/m2)]]-TA[[#This Row],[Sunrise Time (POA&gt;20 W/m2)]])*24,"")</f>
        <v>12.466666666666669</v>
      </c>
      <c r="L545" s="2" t="s">
        <v>313</v>
      </c>
      <c r="M545" s="33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307</v>
      </c>
      <c r="Q545" s="2" t="s">
        <v>308</v>
      </c>
      <c r="R545">
        <v>16</v>
      </c>
      <c r="S545" s="2">
        <v>92</v>
      </c>
      <c r="T545" t="s">
        <v>288</v>
      </c>
      <c r="U545" t="s">
        <v>291</v>
      </c>
      <c r="V545" t="s">
        <v>292</v>
      </c>
      <c r="W545" s="32">
        <f>IFERROR(VLOOKUP(TA[[#This Row],[Date]],Raw_Data[[Date]:[Sunset Time (POA&lt;20 W/m2)]],3,0),"")</f>
        <v>0.25208333333333333</v>
      </c>
      <c r="X545" s="32">
        <f>IFERROR(VLOOKUP(TA[[#This Row],[Date]],Raw_Data[[Date]:[Sunset Time (POA&lt;20 W/m2)]],3,0),"")</f>
        <v>0.25208333333333333</v>
      </c>
      <c r="Y545" s="26">
        <v>0.54166666666666696</v>
      </c>
      <c r="Z545" s="26">
        <v>0.57986111111111105</v>
      </c>
      <c r="AA545" s="27">
        <f>IF(TA[[#This Row],[Work Start time on Fault]]="NA","",(TA[[#This Row],[Fault Acknowledgement Time ]]-TA[[#This Row],[Fault Time]])*24)</f>
        <v>0</v>
      </c>
      <c r="AB545" s="27">
        <f>(TA[[#This Row],[Work Start time on Fault]]-TA[[#This Row],[Fault Time]])*24</f>
        <v>6.9500000000000073</v>
      </c>
      <c r="AC545" s="26">
        <f>(TA[[#This Row],[Work Completion time on fault]]-TA[[#This Row],[Fault Time]])*24</f>
        <v>7.8666666666666654</v>
      </c>
      <c r="AD545" s="27">
        <f>IFERROR((TA[[#This Row],[Work Completion time on fault]]-TA[[#This Row],[Fault Time]])*24,"")</f>
        <v>7.8666666666666654</v>
      </c>
      <c r="AE545" t="s">
        <v>304</v>
      </c>
      <c r="AF545" t="s">
        <v>240</v>
      </c>
      <c r="AG545" s="2"/>
      <c r="AH545" s="35">
        <f>1-COS(RADIANS(TA[[#This Row],[Avg. Target Angle during Fault Time (Radians)]]-TA[[#This Row],[Angle of affected equipment ]]))</f>
        <v>0.11705240714107301</v>
      </c>
      <c r="AI545" s="27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43">
        <f t="shared" si="27"/>
        <v>2026</v>
      </c>
      <c r="C546" s="116">
        <f t="shared" si="28"/>
        <v>2025</v>
      </c>
      <c r="D546" s="2" t="s">
        <v>155</v>
      </c>
      <c r="E546" s="2" t="s">
        <v>155</v>
      </c>
      <c r="F546" s="30">
        <v>45778</v>
      </c>
      <c r="G546" s="2">
        <f>DAY(EOMONTH(TA[[#This Row],[Month Year]],0))</f>
        <v>31</v>
      </c>
      <c r="H546" s="21">
        <v>45782</v>
      </c>
      <c r="I546" s="32">
        <f>IFERROR(VLOOKUP(TA[[#This Row],[Date]],Raw_Data[[Date]:[Sunset Time (POA&lt;20 W/m2)]],3,0),"")</f>
        <v>0.25208333333333333</v>
      </c>
      <c r="J546" s="32">
        <f>IFERROR(VLOOKUP(TA[[#This Row],[Date]],Raw_Data[[Date]:[Sunset Time (POA&lt;20 W/m2)]],4,0),"")</f>
        <v>0.77152777777777781</v>
      </c>
      <c r="K546" s="27">
        <f>IFERROR((TA[[#This Row],[Sunset Time (POA&lt;20 W/m2)]]-TA[[#This Row],[Sunrise Time (POA&gt;20 W/m2)]])*24,"")</f>
        <v>12.466666666666669</v>
      </c>
      <c r="L546" s="2" t="s">
        <v>313</v>
      </c>
      <c r="M546" s="33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307</v>
      </c>
      <c r="Q546" s="2" t="s">
        <v>308</v>
      </c>
      <c r="R546">
        <v>14</v>
      </c>
      <c r="S546" s="2">
        <v>82</v>
      </c>
      <c r="T546" t="s">
        <v>288</v>
      </c>
      <c r="U546" t="s">
        <v>291</v>
      </c>
      <c r="V546" t="s">
        <v>292</v>
      </c>
      <c r="W546" s="32">
        <f>IFERROR(VLOOKUP(TA[[#This Row],[Date]],Raw_Data[[Date]:[Sunset Time (POA&lt;20 W/m2)]],3,0),"")</f>
        <v>0.25208333333333333</v>
      </c>
      <c r="X546" s="32">
        <f>IFERROR(VLOOKUP(TA[[#This Row],[Date]],Raw_Data[[Date]:[Sunset Time (POA&lt;20 W/m2)]],3,0),"")</f>
        <v>0.25208333333333333</v>
      </c>
      <c r="Y546" s="26">
        <v>0.60277777777777797</v>
      </c>
      <c r="Z546" s="26">
        <v>0.63541666666666696</v>
      </c>
      <c r="AA546" s="27">
        <f>IF(TA[[#This Row],[Work Start time on Fault]]="NA","",(TA[[#This Row],[Fault Acknowledgement Time ]]-TA[[#This Row],[Fault Time]])*24)</f>
        <v>0</v>
      </c>
      <c r="AB546" s="27">
        <f>(TA[[#This Row],[Work Start time on Fault]]-TA[[#This Row],[Fault Time]])*24</f>
        <v>8.4166666666666714</v>
      </c>
      <c r="AC546" s="26">
        <f>(TA[[#This Row],[Work Completion time on fault]]-TA[[#This Row],[Fault Time]])*24</f>
        <v>9.2000000000000064</v>
      </c>
      <c r="AD546" s="27">
        <f>IFERROR((TA[[#This Row],[Work Completion time on fault]]-TA[[#This Row],[Fault Time]])*24,"")</f>
        <v>9.2000000000000064</v>
      </c>
      <c r="AE546" t="s">
        <v>304</v>
      </c>
      <c r="AF546" t="s">
        <v>240</v>
      </c>
      <c r="AG546" s="2"/>
      <c r="AH546" s="35">
        <f>1-COS(RADIANS(TA[[#This Row],[Avg. Target Angle during Fault Time (Radians)]]-TA[[#This Row],[Angle of affected equipment ]]))</f>
        <v>0.11705240714107301</v>
      </c>
      <c r="AI546" s="27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43">
        <f t="shared" si="27"/>
        <v>2026</v>
      </c>
      <c r="C547" s="116">
        <f t="shared" si="28"/>
        <v>2025</v>
      </c>
      <c r="D547" s="2" t="s">
        <v>155</v>
      </c>
      <c r="E547" s="2" t="s">
        <v>155</v>
      </c>
      <c r="F547" s="30">
        <v>45778</v>
      </c>
      <c r="G547" s="2">
        <f>DAY(EOMONTH(TA[[#This Row],[Month Year]],0))</f>
        <v>31</v>
      </c>
      <c r="H547" s="21">
        <v>45782</v>
      </c>
      <c r="I547" s="32">
        <f>IFERROR(VLOOKUP(TA[[#This Row],[Date]],Raw_Data[[Date]:[Sunset Time (POA&lt;20 W/m2)]],3,0),"")</f>
        <v>0.25208333333333333</v>
      </c>
      <c r="J547" s="32">
        <f>IFERROR(VLOOKUP(TA[[#This Row],[Date]],Raw_Data[[Date]:[Sunset Time (POA&lt;20 W/m2)]],4,0),"")</f>
        <v>0.77152777777777781</v>
      </c>
      <c r="K547" s="27">
        <f>IFERROR((TA[[#This Row],[Sunset Time (POA&lt;20 W/m2)]]-TA[[#This Row],[Sunrise Time (POA&gt;20 W/m2)]])*24,"")</f>
        <v>12.466666666666669</v>
      </c>
      <c r="L547" s="2" t="s">
        <v>313</v>
      </c>
      <c r="M547" s="33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307</v>
      </c>
      <c r="Q547" s="2" t="s">
        <v>308</v>
      </c>
      <c r="R547">
        <v>13</v>
      </c>
      <c r="S547" s="2">
        <v>77</v>
      </c>
      <c r="T547" t="s">
        <v>288</v>
      </c>
      <c r="U547" t="s">
        <v>291</v>
      </c>
      <c r="V547" t="s">
        <v>292</v>
      </c>
      <c r="W547" s="32">
        <f>IFERROR(VLOOKUP(TA[[#This Row],[Date]],Raw_Data[[Date]:[Sunset Time (POA&lt;20 W/m2)]],3,0),"")</f>
        <v>0.25208333333333333</v>
      </c>
      <c r="X547" s="32">
        <f>IFERROR(VLOOKUP(TA[[#This Row],[Date]],Raw_Data[[Date]:[Sunset Time (POA&lt;20 W/m2)]],3,0),"")</f>
        <v>0.25208333333333333</v>
      </c>
      <c r="Y547" s="26">
        <v>0.67361111111111105</v>
      </c>
      <c r="Z547" s="26">
        <v>0.69791666666666696</v>
      </c>
      <c r="AA547" s="27">
        <f>IF(TA[[#This Row],[Work Start time on Fault]]="NA","",(TA[[#This Row],[Fault Acknowledgement Time ]]-TA[[#This Row],[Fault Time]])*24)</f>
        <v>0</v>
      </c>
      <c r="AB547" s="27">
        <f>(TA[[#This Row],[Work Start time on Fault]]-TA[[#This Row],[Fault Time]])*24</f>
        <v>10.116666666666665</v>
      </c>
      <c r="AC547" s="26">
        <f>(TA[[#This Row],[Work Completion time on fault]]-TA[[#This Row],[Fault Time]])*24</f>
        <v>10.700000000000006</v>
      </c>
      <c r="AD547" s="27">
        <f>IFERROR((TA[[#This Row],[Work Completion time on fault]]-TA[[#This Row],[Fault Time]])*24,"")</f>
        <v>10.700000000000006</v>
      </c>
      <c r="AE547" t="s">
        <v>304</v>
      </c>
      <c r="AF547" t="s">
        <v>240</v>
      </c>
      <c r="AG547" s="2"/>
      <c r="AH547" s="35">
        <f>1-COS(RADIANS(TA[[#This Row],[Avg. Target Angle during Fault Time (Radians)]]-TA[[#This Row],[Angle of affected equipment ]]))</f>
        <v>0.11705240714107301</v>
      </c>
      <c r="AI547" s="27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43">
        <f t="shared" si="27"/>
        <v>2026</v>
      </c>
      <c r="C548" s="116">
        <f t="shared" si="28"/>
        <v>2025</v>
      </c>
      <c r="D548" s="2" t="s">
        <v>155</v>
      </c>
      <c r="E548" s="2" t="s">
        <v>155</v>
      </c>
      <c r="F548" s="30">
        <v>45778</v>
      </c>
      <c r="G548" s="2">
        <f>DAY(EOMONTH(TA[[#This Row],[Month Year]],0))</f>
        <v>31</v>
      </c>
      <c r="H548" s="21">
        <v>45782</v>
      </c>
      <c r="I548" s="32">
        <f>IFERROR(VLOOKUP(TA[[#This Row],[Date]],Raw_Data[[Date]:[Sunset Time (POA&lt;20 W/m2)]],3,0),"")</f>
        <v>0.25208333333333333</v>
      </c>
      <c r="J548" s="32">
        <f>IFERROR(VLOOKUP(TA[[#This Row],[Date]],Raw_Data[[Date]:[Sunset Time (POA&lt;20 W/m2)]],4,0),"")</f>
        <v>0.77152777777777781</v>
      </c>
      <c r="K548" s="27">
        <f>IFERROR((TA[[#This Row],[Sunset Time (POA&lt;20 W/m2)]]-TA[[#This Row],[Sunrise Time (POA&gt;20 W/m2)]])*24,"")</f>
        <v>12.466666666666669</v>
      </c>
      <c r="L548" s="2" t="s">
        <v>313</v>
      </c>
      <c r="M548" s="33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307</v>
      </c>
      <c r="Q548" s="2" t="s">
        <v>311</v>
      </c>
      <c r="R548">
        <v>87</v>
      </c>
      <c r="S548" s="2">
        <v>17</v>
      </c>
      <c r="T548" t="s">
        <v>288</v>
      </c>
      <c r="U548" t="s">
        <v>291</v>
      </c>
      <c r="V548" t="s">
        <v>292</v>
      </c>
      <c r="W548" s="32">
        <f>IFERROR(VLOOKUP(TA[[#This Row],[Date]],Raw_Data[[Date]:[Sunset Time (POA&lt;20 W/m2)]],3,0),"")</f>
        <v>0.25208333333333333</v>
      </c>
      <c r="X548" s="32">
        <f>IFERROR(VLOOKUP(TA[[#This Row],[Date]],Raw_Data[[Date]:[Sunset Time (POA&lt;20 W/m2)]],3,0),"")</f>
        <v>0.25208333333333333</v>
      </c>
      <c r="Y548" s="26">
        <v>0.70833333333333304</v>
      </c>
      <c r="Z548" s="26">
        <v>0.74652777777777801</v>
      </c>
      <c r="AA548" s="27">
        <f>IF(TA[[#This Row],[Work Start time on Fault]]="NA","",(TA[[#This Row],[Fault Acknowledgement Time ]]-TA[[#This Row],[Fault Time]])*24)</f>
        <v>0</v>
      </c>
      <c r="AB548" s="27">
        <f>(TA[[#This Row],[Work Start time on Fault]]-TA[[#This Row],[Fault Time]])*24</f>
        <v>10.949999999999992</v>
      </c>
      <c r="AC548" s="26">
        <f>(TA[[#This Row],[Work Completion time on fault]]-TA[[#This Row],[Fault Time]])*24</f>
        <v>11.866666666666672</v>
      </c>
      <c r="AD548" s="27">
        <f>IFERROR((TA[[#This Row],[Work Completion time on fault]]-TA[[#This Row],[Fault Time]])*24,"")</f>
        <v>11.866666666666672</v>
      </c>
      <c r="AE548" t="s">
        <v>304</v>
      </c>
      <c r="AF548" t="s">
        <v>240</v>
      </c>
      <c r="AG548" s="2"/>
      <c r="AH548" s="35">
        <f>1-COS(RADIANS(TA[[#This Row],[Avg. Target Angle during Fault Time (Radians)]]-TA[[#This Row],[Angle of affected equipment ]]))</f>
        <v>0.11705240714107301</v>
      </c>
      <c r="AI548" s="27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43">
        <f t="shared" si="27"/>
        <v>2026</v>
      </c>
      <c r="C549" s="116">
        <f t="shared" si="28"/>
        <v>2025</v>
      </c>
      <c r="D549" s="2" t="s">
        <v>155</v>
      </c>
      <c r="E549" s="2" t="s">
        <v>155</v>
      </c>
      <c r="F549" s="30">
        <v>45778</v>
      </c>
      <c r="G549" s="2">
        <f>DAY(EOMONTH(TA[[#This Row],[Month Year]],0))</f>
        <v>31</v>
      </c>
      <c r="H549" s="21">
        <v>45782</v>
      </c>
      <c r="I549" s="32">
        <f>IFERROR(VLOOKUP(TA[[#This Row],[Date]],Raw_Data[[Date]:[Sunset Time (POA&lt;20 W/m2)]],3,0),"")</f>
        <v>0.25208333333333333</v>
      </c>
      <c r="J549" s="32">
        <f>IFERROR(VLOOKUP(TA[[#This Row],[Date]],Raw_Data[[Date]:[Sunset Time (POA&lt;20 W/m2)]],4,0),"")</f>
        <v>0.77152777777777781</v>
      </c>
      <c r="K549" s="27">
        <f>IFERROR((TA[[#This Row],[Sunset Time (POA&lt;20 W/m2)]]-TA[[#This Row],[Sunrise Time (POA&gt;20 W/m2)]])*24,"")</f>
        <v>12.466666666666669</v>
      </c>
      <c r="L549" s="2" t="s">
        <v>313</v>
      </c>
      <c r="M549" s="33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307</v>
      </c>
      <c r="Q549" s="2" t="s">
        <v>311</v>
      </c>
      <c r="R549">
        <v>73</v>
      </c>
      <c r="S549" s="2">
        <v>34</v>
      </c>
      <c r="T549" t="s">
        <v>288</v>
      </c>
      <c r="U549" t="s">
        <v>291</v>
      </c>
      <c r="V549" t="s">
        <v>292</v>
      </c>
      <c r="W549" s="32">
        <f>IFERROR(VLOOKUP(TA[[#This Row],[Date]],Raw_Data[[Date]:[Sunset Time (POA&lt;20 W/m2)]],3,0),"")</f>
        <v>0.25208333333333333</v>
      </c>
      <c r="X549" s="32">
        <f>IFERROR(VLOOKUP(TA[[#This Row],[Date]],Raw_Data[[Date]:[Sunset Time (POA&lt;20 W/m2)]],3,0),"")</f>
        <v>0.25208333333333333</v>
      </c>
      <c r="Y549" s="26">
        <v>0.51388888888888895</v>
      </c>
      <c r="Z549" s="26">
        <v>0.53125</v>
      </c>
      <c r="AA549" s="27">
        <f>IF(TA[[#This Row],[Work Start time on Fault]]="NA","",(TA[[#This Row],[Fault Acknowledgement Time ]]-TA[[#This Row],[Fault Time]])*24)</f>
        <v>0</v>
      </c>
      <c r="AB549" s="27">
        <f>(TA[[#This Row],[Work Start time on Fault]]-TA[[#This Row],[Fault Time]])*24</f>
        <v>6.283333333333335</v>
      </c>
      <c r="AC549" s="26">
        <f>(TA[[#This Row],[Work Completion time on fault]]-TA[[#This Row],[Fault Time]])*24</f>
        <v>6.7</v>
      </c>
      <c r="AD549" s="27">
        <f>IFERROR((TA[[#This Row],[Work Completion time on fault]]-TA[[#This Row],[Fault Time]])*24,"")</f>
        <v>6.7</v>
      </c>
      <c r="AE549" t="s">
        <v>304</v>
      </c>
      <c r="AF549" t="s">
        <v>240</v>
      </c>
      <c r="AG549" s="2"/>
      <c r="AH549" s="35">
        <f>1-COS(RADIANS(TA[[#This Row],[Avg. Target Angle during Fault Time (Radians)]]-TA[[#This Row],[Angle of affected equipment ]]))</f>
        <v>0.11705240714107301</v>
      </c>
      <c r="AI549" s="27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43">
        <f t="shared" si="27"/>
        <v>2026</v>
      </c>
      <c r="C550" s="116">
        <f t="shared" si="28"/>
        <v>2025</v>
      </c>
      <c r="D550" s="2" t="s">
        <v>155</v>
      </c>
      <c r="E550" s="2" t="s">
        <v>155</v>
      </c>
      <c r="F550" s="30">
        <v>45778</v>
      </c>
      <c r="G550" s="2">
        <f>DAY(EOMONTH(TA[[#This Row],[Month Year]],0))</f>
        <v>31</v>
      </c>
      <c r="H550" s="21">
        <v>45782</v>
      </c>
      <c r="I550" s="32">
        <f>IFERROR(VLOOKUP(TA[[#This Row],[Date]],Raw_Data[[Date]:[Sunset Time (POA&lt;20 W/m2)]],3,0),"")</f>
        <v>0.25208333333333333</v>
      </c>
      <c r="J550" s="32">
        <f>IFERROR(VLOOKUP(TA[[#This Row],[Date]],Raw_Data[[Date]:[Sunset Time (POA&lt;20 W/m2)]],4,0),"")</f>
        <v>0.77152777777777781</v>
      </c>
      <c r="K550" s="27">
        <f>IFERROR((TA[[#This Row],[Sunset Time (POA&lt;20 W/m2)]]-TA[[#This Row],[Sunrise Time (POA&gt;20 W/m2)]])*24,"")</f>
        <v>12.466666666666669</v>
      </c>
      <c r="L550" s="2" t="s">
        <v>285</v>
      </c>
      <c r="M550" s="33">
        <f>IFERROR(VLOOKUP(TA[[#This Row],[Affected Equipment]],'Basic Data'!$I$2:$K$40,3,0),"")</f>
        <v>1.7241379310344799E-3</v>
      </c>
      <c r="N550">
        <v>-28</v>
      </c>
      <c r="O550" t="s">
        <v>135</v>
      </c>
      <c r="P550" s="114" t="s">
        <v>309</v>
      </c>
      <c r="Q550" s="113" t="s">
        <v>309</v>
      </c>
      <c r="R550">
        <v>130</v>
      </c>
      <c r="S550" s="2">
        <v>37</v>
      </c>
      <c r="T550" t="s">
        <v>286</v>
      </c>
      <c r="U550" t="s">
        <v>291</v>
      </c>
      <c r="V550" t="s">
        <v>289</v>
      </c>
      <c r="W550" s="32"/>
      <c r="X550" s="32"/>
      <c r="Y550" s="26"/>
      <c r="Z550" s="26"/>
      <c r="AA550" s="27">
        <f>IF(TA[[#This Row],[Work Start time on Fault]]="NA","",(TA[[#This Row],[Fault Acknowledgement Time ]]-TA[[#This Row],[Fault Time]])*24)</f>
        <v>0</v>
      </c>
      <c r="AB550" s="27">
        <f>(TA[[#This Row],[Work Start time on Fault]]-TA[[#This Row],[Fault Time]])*24</f>
        <v>0</v>
      </c>
      <c r="AC550" s="26">
        <f>(TA[[#This Row],[Work Completion time on fault]]-TA[[#This Row],[Fault Time]])*24</f>
        <v>0</v>
      </c>
      <c r="AD550" s="27">
        <f>IFERROR((TA[[#This Row],[Work Completion time on fault]]-TA[[#This Row],[Fault Time]])*24,"")</f>
        <v>0</v>
      </c>
      <c r="AE550" t="s">
        <v>319</v>
      </c>
      <c r="AF550" t="s">
        <v>247</v>
      </c>
      <c r="AG550" s="2"/>
      <c r="AH550" s="35">
        <f>1-COS(RADIANS(TA[[#This Row],[Avg. Target Angle during Fault Time (Radians)]]-TA[[#This Row],[Angle of affected equipment ]]))</f>
        <v>0.11705240714107301</v>
      </c>
      <c r="AI550" s="27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43">
        <f t="shared" si="27"/>
        <v>2026</v>
      </c>
      <c r="C551" s="116">
        <f t="shared" si="28"/>
        <v>2025</v>
      </c>
      <c r="D551" s="2" t="s">
        <v>155</v>
      </c>
      <c r="E551" s="2" t="s">
        <v>155</v>
      </c>
      <c r="F551" s="30">
        <v>45778</v>
      </c>
      <c r="G551" s="2">
        <f>DAY(EOMONTH(TA[[#This Row],[Month Year]],0))</f>
        <v>31</v>
      </c>
      <c r="H551" s="21">
        <v>45782</v>
      </c>
      <c r="I551" s="32">
        <f>IFERROR(VLOOKUP(TA[[#This Row],[Date]],Raw_Data[[Date]:[Sunset Time (POA&lt;20 W/m2)]],3,0),"")</f>
        <v>0.25208333333333333</v>
      </c>
      <c r="J551" s="32">
        <f>IFERROR(VLOOKUP(TA[[#This Row],[Date]],Raw_Data[[Date]:[Sunset Time (POA&lt;20 W/m2)]],4,0),"")</f>
        <v>0.77152777777777781</v>
      </c>
      <c r="K551" s="27">
        <f>IFERROR((TA[[#This Row],[Sunset Time (POA&lt;20 W/m2)]]-TA[[#This Row],[Sunrise Time (POA&gt;20 W/m2)]])*24,"")</f>
        <v>12.466666666666669</v>
      </c>
      <c r="L551" s="2" t="s">
        <v>285</v>
      </c>
      <c r="M551" s="33">
        <f>IFERROR(VLOOKUP(TA[[#This Row],[Affected Equipment]],'Basic Data'!$I$2:$K$40,3,0),"")</f>
        <v>1.7241379310344799E-3</v>
      </c>
      <c r="N551">
        <v>-28</v>
      </c>
      <c r="O551" t="s">
        <v>135</v>
      </c>
      <c r="P551" s="114" t="s">
        <v>309</v>
      </c>
      <c r="Q551" s="113" t="s">
        <v>309</v>
      </c>
      <c r="R551">
        <v>131</v>
      </c>
      <c r="S551" s="2">
        <v>38</v>
      </c>
      <c r="T551" t="s">
        <v>286</v>
      </c>
      <c r="U551" t="s">
        <v>291</v>
      </c>
      <c r="V551" t="s">
        <v>289</v>
      </c>
      <c r="W551" s="32"/>
      <c r="X551" s="32"/>
      <c r="Y551" s="26"/>
      <c r="Z551" s="26"/>
      <c r="AA551" s="27">
        <f>IF(TA[[#This Row],[Work Start time on Fault]]="NA","",(TA[[#This Row],[Fault Acknowledgement Time ]]-TA[[#This Row],[Fault Time]])*24)</f>
        <v>0</v>
      </c>
      <c r="AB551" s="27">
        <f>(TA[[#This Row],[Work Start time on Fault]]-TA[[#This Row],[Fault Time]])*24</f>
        <v>0</v>
      </c>
      <c r="AC551" s="26">
        <f>(TA[[#This Row],[Work Completion time on fault]]-TA[[#This Row],[Fault Time]])*24</f>
        <v>0</v>
      </c>
      <c r="AD551" s="27">
        <f>IFERROR((TA[[#This Row],[Work Completion time on fault]]-TA[[#This Row],[Fault Time]])*24,"")</f>
        <v>0</v>
      </c>
      <c r="AE551" t="s">
        <v>319</v>
      </c>
      <c r="AF551" t="s">
        <v>247</v>
      </c>
      <c r="AG551" s="2"/>
      <c r="AH551" s="35">
        <f>1-COS(RADIANS(TA[[#This Row],[Avg. Target Angle during Fault Time (Radians)]]-TA[[#This Row],[Angle of affected equipment ]]))</f>
        <v>0.11705240714107301</v>
      </c>
      <c r="AI551" s="27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43">
        <f t="shared" si="27"/>
        <v>2026</v>
      </c>
      <c r="C552" s="116">
        <f t="shared" si="28"/>
        <v>2025</v>
      </c>
      <c r="D552" s="2" t="s">
        <v>155</v>
      </c>
      <c r="E552" s="2" t="s">
        <v>155</v>
      </c>
      <c r="F552" s="30">
        <v>45778</v>
      </c>
      <c r="G552" s="2">
        <f>DAY(EOMONTH(TA[[#This Row],[Month Year]],0))</f>
        <v>31</v>
      </c>
      <c r="H552" s="21">
        <v>45782</v>
      </c>
      <c r="I552" s="32">
        <f>IFERROR(VLOOKUP(TA[[#This Row],[Date]],Raw_Data[[Date]:[Sunset Time (POA&lt;20 W/m2)]],3,0),"")</f>
        <v>0.25208333333333333</v>
      </c>
      <c r="J552" s="32">
        <f>IFERROR(VLOOKUP(TA[[#This Row],[Date]],Raw_Data[[Date]:[Sunset Time (POA&lt;20 W/m2)]],4,0),"")</f>
        <v>0.77152777777777781</v>
      </c>
      <c r="K552" s="27">
        <f>IFERROR((TA[[#This Row],[Sunset Time (POA&lt;20 W/m2)]]-TA[[#This Row],[Sunrise Time (POA&gt;20 W/m2)]])*24,"")</f>
        <v>12.466666666666669</v>
      </c>
      <c r="L552" s="2" t="s">
        <v>285</v>
      </c>
      <c r="M552" s="33">
        <f>IFERROR(VLOOKUP(TA[[#This Row],[Affected Equipment]],'Basic Data'!$I$2:$K$40,3,0),"")</f>
        <v>1.7241379310344799E-3</v>
      </c>
      <c r="N552">
        <v>-28</v>
      </c>
      <c r="O552" t="s">
        <v>135</v>
      </c>
      <c r="P552" s="114" t="s">
        <v>309</v>
      </c>
      <c r="Q552" s="113" t="s">
        <v>309</v>
      </c>
      <c r="R552">
        <v>131</v>
      </c>
      <c r="S552" s="2">
        <v>39</v>
      </c>
      <c r="T552" t="s">
        <v>286</v>
      </c>
      <c r="U552" t="s">
        <v>291</v>
      </c>
      <c r="V552" t="s">
        <v>289</v>
      </c>
      <c r="W552" s="32"/>
      <c r="X552" s="32"/>
      <c r="Y552" s="26"/>
      <c r="Z552" s="26"/>
      <c r="AA552" s="27">
        <f>IF(TA[[#This Row],[Work Start time on Fault]]="NA","",(TA[[#This Row],[Fault Acknowledgement Time ]]-TA[[#This Row],[Fault Time]])*24)</f>
        <v>0</v>
      </c>
      <c r="AB552" s="27">
        <f>(TA[[#This Row],[Work Start time on Fault]]-TA[[#This Row],[Fault Time]])*24</f>
        <v>0</v>
      </c>
      <c r="AC552" s="26">
        <f>(TA[[#This Row],[Work Completion time on fault]]-TA[[#This Row],[Fault Time]])*24</f>
        <v>0</v>
      </c>
      <c r="AD552" s="27">
        <f>IFERROR((TA[[#This Row],[Work Completion time on fault]]-TA[[#This Row],[Fault Time]])*24,"")</f>
        <v>0</v>
      </c>
      <c r="AE552" t="s">
        <v>319</v>
      </c>
      <c r="AF552" t="s">
        <v>247</v>
      </c>
      <c r="AG552" s="2"/>
      <c r="AH552" s="35">
        <f>1-COS(RADIANS(TA[[#This Row],[Avg. Target Angle during Fault Time (Radians)]]-TA[[#This Row],[Angle of affected equipment ]]))</f>
        <v>0.11705240714107301</v>
      </c>
      <c r="AI552" s="27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43">
        <f t="shared" si="27"/>
        <v>2026</v>
      </c>
      <c r="C553" s="116">
        <f t="shared" si="28"/>
        <v>2025</v>
      </c>
      <c r="D553" s="2" t="s">
        <v>155</v>
      </c>
      <c r="E553" s="2" t="s">
        <v>155</v>
      </c>
      <c r="F553" s="30">
        <v>45778</v>
      </c>
      <c r="G553" s="2">
        <f>DAY(EOMONTH(TA[[#This Row],[Month Year]],0))</f>
        <v>31</v>
      </c>
      <c r="H553" s="21">
        <v>45782</v>
      </c>
      <c r="I553" s="32">
        <f>IFERROR(VLOOKUP(TA[[#This Row],[Date]],Raw_Data[[Date]:[Sunset Time (POA&lt;20 W/m2)]],3,0),"")</f>
        <v>0.25208333333333333</v>
      </c>
      <c r="J553" s="32">
        <f>IFERROR(VLOOKUP(TA[[#This Row],[Date]],Raw_Data[[Date]:[Sunset Time (POA&lt;20 W/m2)]],4,0),"")</f>
        <v>0.77152777777777781</v>
      </c>
      <c r="K553" s="27">
        <f>IFERROR((TA[[#This Row],[Sunset Time (POA&lt;20 W/m2)]]-TA[[#This Row],[Sunrise Time (POA&gt;20 W/m2)]])*24,"")</f>
        <v>12.466666666666669</v>
      </c>
      <c r="L553" s="2" t="s">
        <v>287</v>
      </c>
      <c r="M553" s="33">
        <f>IFERROR(VLOOKUP(TA[[#This Row],[Affected Equipment]],'Basic Data'!$I$2:$K$40,3,0),"")</f>
        <v>8.6206896551724102E-3</v>
      </c>
      <c r="N553">
        <v>-28</v>
      </c>
      <c r="O553" t="s">
        <v>135</v>
      </c>
      <c r="P553" s="114" t="s">
        <v>309</v>
      </c>
      <c r="Q553" s="2" t="s">
        <v>312</v>
      </c>
      <c r="R553">
        <v>133</v>
      </c>
      <c r="S553" s="2">
        <v>26</v>
      </c>
      <c r="T553" t="s">
        <v>288</v>
      </c>
      <c r="U553" t="s">
        <v>291</v>
      </c>
      <c r="V553" t="s">
        <v>305</v>
      </c>
      <c r="W553" s="32">
        <f>IFERROR(VLOOKUP(TA[[#This Row],[Date]],Raw_Data[[Date]:[Sunset Time (POA&lt;20 W/m2)]],3,0),"")</f>
        <v>0.25208333333333333</v>
      </c>
      <c r="X553" s="32">
        <f>IFERROR(VLOOKUP(TA[[#This Row],[Date]],Raw_Data[[Date]:[Sunset Time (POA&lt;20 W/m2)]],3,0),"")</f>
        <v>0.25208333333333333</v>
      </c>
      <c r="Y553" s="26"/>
      <c r="Z553" s="26">
        <v>0.76041666666666663</v>
      </c>
      <c r="AA553" s="27">
        <f>IF(TA[[#This Row],[Work Start time on Fault]]="NA","",(TA[[#This Row],[Fault Acknowledgement Time ]]-TA[[#This Row],[Fault Time]])*24)</f>
        <v>0</v>
      </c>
      <c r="AB553" s="27">
        <f>(TA[[#This Row],[Work Start time on Fault]]-TA[[#This Row],[Fault Time]])*24</f>
        <v>-6.05</v>
      </c>
      <c r="AC553" s="26">
        <f>(TA[[#This Row],[Work Completion time on fault]]-TA[[#This Row],[Fault Time]])*24</f>
        <v>12.2</v>
      </c>
      <c r="AD553" s="27">
        <f>IFERROR((TA[[#This Row],[Work Completion time on fault]]-TA[[#This Row],[Fault Time]])*24,"")</f>
        <v>12.2</v>
      </c>
      <c r="AE553" t="s">
        <v>319</v>
      </c>
      <c r="AF553" t="s">
        <v>247</v>
      </c>
      <c r="AG553" s="2"/>
      <c r="AH553" s="35">
        <f>1-COS(RADIANS(TA[[#This Row],[Avg. Target Angle during Fault Time (Radians)]]-TA[[#This Row],[Angle of affected equipment ]]))</f>
        <v>0.11705240714107301</v>
      </c>
      <c r="AI553" s="27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43">
        <f t="shared" si="27"/>
        <v>2026</v>
      </c>
      <c r="C554" s="116">
        <f t="shared" si="28"/>
        <v>2025</v>
      </c>
      <c r="D554" s="2" t="s">
        <v>155</v>
      </c>
      <c r="E554" s="2" t="s">
        <v>155</v>
      </c>
      <c r="F554" s="30">
        <v>45778</v>
      </c>
      <c r="G554" s="2">
        <f>DAY(EOMONTH(TA[[#This Row],[Month Year]],0))</f>
        <v>31</v>
      </c>
      <c r="H554" s="21">
        <v>45782</v>
      </c>
      <c r="I554" s="32">
        <f>IFERROR(VLOOKUP(TA[[#This Row],[Date]],Raw_Data[[Date]:[Sunset Time (POA&lt;20 W/m2)]],3,0),"")</f>
        <v>0.25208333333333333</v>
      </c>
      <c r="J554" s="32">
        <f>IFERROR(VLOOKUP(TA[[#This Row],[Date]],Raw_Data[[Date]:[Sunset Time (POA&lt;20 W/m2)]],4,0),"")</f>
        <v>0.77152777777777781</v>
      </c>
      <c r="K554" s="27">
        <f>IFERROR((TA[[#This Row],[Sunset Time (POA&lt;20 W/m2)]]-TA[[#This Row],[Sunrise Time (POA&gt;20 W/m2)]])*24,"")</f>
        <v>12.466666666666669</v>
      </c>
      <c r="L554" s="2" t="s">
        <v>285</v>
      </c>
      <c r="M554" s="33">
        <f>IFERROR(VLOOKUP(TA[[#This Row],[Affected Equipment]],'Basic Data'!$I$2:$K$40,3,0),"")</f>
        <v>1.7241379310344799E-3</v>
      </c>
      <c r="N554">
        <v>-28</v>
      </c>
      <c r="O554" t="s">
        <v>133</v>
      </c>
      <c r="P554" s="114" t="s">
        <v>307</v>
      </c>
      <c r="Q554" s="113" t="s">
        <v>308</v>
      </c>
      <c r="R554">
        <v>7</v>
      </c>
      <c r="S554" s="2">
        <v>32</v>
      </c>
      <c r="T554" t="s">
        <v>286</v>
      </c>
      <c r="U554" t="s">
        <v>291</v>
      </c>
      <c r="V554" t="s">
        <v>289</v>
      </c>
      <c r="W554" s="32"/>
      <c r="X554" s="32"/>
      <c r="Y554" s="26"/>
      <c r="Z554" s="26"/>
      <c r="AA554" s="27">
        <f>IF(TA[[#This Row],[Work Start time on Fault]]="NA","",(TA[[#This Row],[Fault Acknowledgement Time ]]-TA[[#This Row],[Fault Time]])*24)</f>
        <v>0</v>
      </c>
      <c r="AB554" s="27">
        <f>(TA[[#This Row],[Work Start time on Fault]]-TA[[#This Row],[Fault Time]])*24</f>
        <v>0</v>
      </c>
      <c r="AC554" s="26">
        <f>(TA[[#This Row],[Work Completion time on fault]]-TA[[#This Row],[Fault Time]])*24</f>
        <v>0</v>
      </c>
      <c r="AD554" s="27">
        <f>IFERROR((TA[[#This Row],[Work Completion time on fault]]-TA[[#This Row],[Fault Time]])*24,"")</f>
        <v>0</v>
      </c>
      <c r="AE554" t="s">
        <v>319</v>
      </c>
      <c r="AF554" t="s">
        <v>247</v>
      </c>
      <c r="AG554" s="2"/>
      <c r="AH554" s="35">
        <f>1-COS(RADIANS(TA[[#This Row],[Avg. Target Angle during Fault Time (Radians)]]-TA[[#This Row],[Angle of affected equipment ]]))</f>
        <v>0.11705240714107301</v>
      </c>
      <c r="AI554" s="27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43">
        <f t="shared" si="27"/>
        <v>2026</v>
      </c>
      <c r="C555" s="116">
        <f t="shared" si="28"/>
        <v>2025</v>
      </c>
      <c r="D555" s="2" t="s">
        <v>155</v>
      </c>
      <c r="E555" s="2" t="s">
        <v>155</v>
      </c>
      <c r="F555" s="30">
        <v>45778</v>
      </c>
      <c r="G555" s="2">
        <f>DAY(EOMONTH(TA[[#This Row],[Month Year]],0))</f>
        <v>31</v>
      </c>
      <c r="H555" s="21">
        <v>45782</v>
      </c>
      <c r="I555" s="32">
        <f>IFERROR(VLOOKUP(TA[[#This Row],[Date]],Raw_Data[[Date]:[Sunset Time (POA&lt;20 W/m2)]],3,0),"")</f>
        <v>0.25208333333333333</v>
      </c>
      <c r="J555" s="32">
        <f>IFERROR(VLOOKUP(TA[[#This Row],[Date]],Raw_Data[[Date]:[Sunset Time (POA&lt;20 W/m2)]],4,0),"")</f>
        <v>0.77152777777777781</v>
      </c>
      <c r="K555" s="27">
        <f>IFERROR((TA[[#This Row],[Sunset Time (POA&lt;20 W/m2)]]-TA[[#This Row],[Sunrise Time (POA&gt;20 W/m2)]])*24,"")</f>
        <v>12.466666666666669</v>
      </c>
      <c r="L555" s="2" t="s">
        <v>285</v>
      </c>
      <c r="M555" s="33">
        <f>IFERROR(VLOOKUP(TA[[#This Row],[Affected Equipment]],'Basic Data'!$I$2:$K$40,3,0),"")</f>
        <v>1.7241379310344799E-3</v>
      </c>
      <c r="N555">
        <v>-28</v>
      </c>
      <c r="O555" t="s">
        <v>137</v>
      </c>
      <c r="P555" s="114" t="s">
        <v>306</v>
      </c>
      <c r="Q555" s="113" t="s">
        <v>310</v>
      </c>
      <c r="R555">
        <v>166</v>
      </c>
      <c r="S555" s="2">
        <v>91</v>
      </c>
      <c r="T555" t="s">
        <v>286</v>
      </c>
      <c r="U555" t="s">
        <v>291</v>
      </c>
      <c r="V555" t="s">
        <v>289</v>
      </c>
      <c r="W555" s="32"/>
      <c r="X555" s="32"/>
      <c r="Y555" s="26"/>
      <c r="Z555" s="26"/>
      <c r="AA555" s="27">
        <f>IF(TA[[#This Row],[Work Start time on Fault]]="NA","",(TA[[#This Row],[Fault Acknowledgement Time ]]-TA[[#This Row],[Fault Time]])*24)</f>
        <v>0</v>
      </c>
      <c r="AB555" s="27">
        <f>(TA[[#This Row],[Work Start time on Fault]]-TA[[#This Row],[Fault Time]])*24</f>
        <v>0</v>
      </c>
      <c r="AC555" s="26">
        <f>(TA[[#This Row],[Work Completion time on fault]]-TA[[#This Row],[Fault Time]])*24</f>
        <v>0</v>
      </c>
      <c r="AD555" s="27">
        <f>IFERROR((TA[[#This Row],[Work Completion time on fault]]-TA[[#This Row],[Fault Time]])*24,"")</f>
        <v>0</v>
      </c>
      <c r="AE555" t="s">
        <v>319</v>
      </c>
      <c r="AF555" t="s">
        <v>247</v>
      </c>
      <c r="AG555" s="2"/>
      <c r="AH555" s="35">
        <f>1-COS(RADIANS(TA[[#This Row],[Avg. Target Angle during Fault Time (Radians)]]-TA[[#This Row],[Angle of affected equipment ]]))</f>
        <v>0.11705240714107301</v>
      </c>
      <c r="AI555" s="27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43">
        <f t="shared" si="27"/>
        <v>2026</v>
      </c>
      <c r="C556" s="116">
        <f t="shared" si="28"/>
        <v>2025</v>
      </c>
      <c r="D556" s="2" t="s">
        <v>155</v>
      </c>
      <c r="E556" s="2" t="s">
        <v>155</v>
      </c>
      <c r="F556" s="30">
        <v>45778</v>
      </c>
      <c r="G556" s="2">
        <f>DAY(EOMONTH(TA[[#This Row],[Month Year]],0))</f>
        <v>31</v>
      </c>
      <c r="H556" s="21">
        <v>45782</v>
      </c>
      <c r="I556" s="32">
        <f>IFERROR(VLOOKUP(TA[[#This Row],[Date]],Raw_Data[[Date]:[Sunset Time (POA&lt;20 W/m2)]],3,0),"")</f>
        <v>0.25208333333333333</v>
      </c>
      <c r="J556" s="32">
        <f>IFERROR(VLOOKUP(TA[[#This Row],[Date]],Raw_Data[[Date]:[Sunset Time (POA&lt;20 W/m2)]],4,0),"")</f>
        <v>0.77152777777777781</v>
      </c>
      <c r="K556" s="27">
        <f>IFERROR((TA[[#This Row],[Sunset Time (POA&lt;20 W/m2)]]-TA[[#This Row],[Sunrise Time (POA&gt;20 W/m2)]])*24,"")</f>
        <v>12.466666666666669</v>
      </c>
      <c r="L556" s="2" t="s">
        <v>285</v>
      </c>
      <c r="M556" s="33">
        <f>IFERROR(VLOOKUP(TA[[#This Row],[Affected Equipment]],'Basic Data'!$I$2:$K$40,3,0),"")</f>
        <v>1.7241379310344799E-3</v>
      </c>
      <c r="N556">
        <v>-28</v>
      </c>
      <c r="O556" t="s">
        <v>133</v>
      </c>
      <c r="P556" s="114" t="s">
        <v>307</v>
      </c>
      <c r="Q556" s="113" t="s">
        <v>307</v>
      </c>
      <c r="R556">
        <v>117</v>
      </c>
      <c r="S556" s="2">
        <v>20</v>
      </c>
      <c r="T556" t="s">
        <v>286</v>
      </c>
      <c r="U556" t="s">
        <v>291</v>
      </c>
      <c r="V556" t="s">
        <v>289</v>
      </c>
      <c r="W556" s="32"/>
      <c r="X556" s="32"/>
      <c r="Y556" s="26"/>
      <c r="Z556" s="26"/>
      <c r="AA556" s="27">
        <f>IF(TA[[#This Row],[Work Start time on Fault]]="NA","",(TA[[#This Row],[Fault Acknowledgement Time ]]-TA[[#This Row],[Fault Time]])*24)</f>
        <v>0</v>
      </c>
      <c r="AB556" s="27">
        <f>(TA[[#This Row],[Work Start time on Fault]]-TA[[#This Row],[Fault Time]])*24</f>
        <v>0</v>
      </c>
      <c r="AC556" s="26">
        <f>(TA[[#This Row],[Work Completion time on fault]]-TA[[#This Row],[Fault Time]])*24</f>
        <v>0</v>
      </c>
      <c r="AD556" s="27">
        <f>IFERROR((TA[[#This Row],[Work Completion time on fault]]-TA[[#This Row],[Fault Time]])*24,"")</f>
        <v>0</v>
      </c>
      <c r="AE556" t="s">
        <v>319</v>
      </c>
      <c r="AF556" t="s">
        <v>247</v>
      </c>
      <c r="AG556" s="2"/>
      <c r="AH556" s="35">
        <f>1-COS(RADIANS(TA[[#This Row],[Avg. Target Angle during Fault Time (Radians)]]-TA[[#This Row],[Angle of affected equipment ]]))</f>
        <v>0.11705240714107301</v>
      </c>
      <c r="AI556" s="27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43">
        <f t="shared" si="27"/>
        <v>2026</v>
      </c>
      <c r="C557" s="116">
        <f t="shared" si="28"/>
        <v>2025</v>
      </c>
      <c r="D557" s="2" t="s">
        <v>155</v>
      </c>
      <c r="E557" s="2" t="s">
        <v>155</v>
      </c>
      <c r="F557" s="30">
        <v>45778</v>
      </c>
      <c r="G557" s="2">
        <f>DAY(EOMONTH(TA[[#This Row],[Month Year]],0))</f>
        <v>31</v>
      </c>
      <c r="H557" s="21">
        <v>45782</v>
      </c>
      <c r="I557" s="32">
        <f>IFERROR(VLOOKUP(TA[[#This Row],[Date]],Raw_Data[[Date]:[Sunset Time (POA&lt;20 W/m2)]],3,0),"")</f>
        <v>0.25208333333333333</v>
      </c>
      <c r="J557" s="32">
        <f>IFERROR(VLOOKUP(TA[[#This Row],[Date]],Raw_Data[[Date]:[Sunset Time (POA&lt;20 W/m2)]],4,0),"")</f>
        <v>0.77152777777777781</v>
      </c>
      <c r="K557" s="27">
        <f>IFERROR((TA[[#This Row],[Sunset Time (POA&lt;20 W/m2)]]-TA[[#This Row],[Sunrise Time (POA&gt;20 W/m2)]])*24,"")</f>
        <v>12.466666666666669</v>
      </c>
      <c r="L557" s="2" t="s">
        <v>285</v>
      </c>
      <c r="M557" s="33">
        <f>IFERROR(VLOOKUP(TA[[#This Row],[Affected Equipment]],'Basic Data'!$I$2:$K$40,3,0),"")</f>
        <v>1.7241379310344799E-3</v>
      </c>
      <c r="N557">
        <v>-28</v>
      </c>
      <c r="O557" t="s">
        <v>133</v>
      </c>
      <c r="P557" s="114" t="s">
        <v>307</v>
      </c>
      <c r="Q557" s="113" t="s">
        <v>307</v>
      </c>
      <c r="R557">
        <v>118</v>
      </c>
      <c r="S557" s="2">
        <v>22</v>
      </c>
      <c r="T557" t="s">
        <v>286</v>
      </c>
      <c r="U557" t="s">
        <v>291</v>
      </c>
      <c r="V557" t="s">
        <v>289</v>
      </c>
      <c r="W557" s="32"/>
      <c r="X557" s="32"/>
      <c r="Y557" s="26"/>
      <c r="Z557" s="26"/>
      <c r="AA557" s="27">
        <f>IF(TA[[#This Row],[Work Start time on Fault]]="NA","",(TA[[#This Row],[Fault Acknowledgement Time ]]-TA[[#This Row],[Fault Time]])*24)</f>
        <v>0</v>
      </c>
      <c r="AB557" s="27">
        <f>(TA[[#This Row],[Work Start time on Fault]]-TA[[#This Row],[Fault Time]])*24</f>
        <v>0</v>
      </c>
      <c r="AC557" s="26">
        <f>(TA[[#This Row],[Work Completion time on fault]]-TA[[#This Row],[Fault Time]])*24</f>
        <v>0</v>
      </c>
      <c r="AD557" s="27">
        <f>IFERROR((TA[[#This Row],[Work Completion time on fault]]-TA[[#This Row],[Fault Time]])*24,"")</f>
        <v>0</v>
      </c>
      <c r="AE557" t="s">
        <v>319</v>
      </c>
      <c r="AF557" t="s">
        <v>247</v>
      </c>
      <c r="AG557" s="2"/>
      <c r="AH557" s="35">
        <f>1-COS(RADIANS(TA[[#This Row],[Avg. Target Angle during Fault Time (Radians)]]-TA[[#This Row],[Angle of affected equipment ]]))</f>
        <v>0.11705240714107301</v>
      </c>
      <c r="AI557" s="27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43">
        <f t="shared" si="27"/>
        <v>2026</v>
      </c>
      <c r="C558" s="116">
        <f t="shared" si="28"/>
        <v>2025</v>
      </c>
      <c r="D558" s="2" t="s">
        <v>155</v>
      </c>
      <c r="E558" s="2" t="s">
        <v>155</v>
      </c>
      <c r="F558" s="30">
        <v>45778</v>
      </c>
      <c r="G558" s="2">
        <f>DAY(EOMONTH(TA[[#This Row],[Month Year]],0))</f>
        <v>31</v>
      </c>
      <c r="H558" s="21">
        <v>45782</v>
      </c>
      <c r="I558" s="32">
        <f>IFERROR(VLOOKUP(TA[[#This Row],[Date]],Raw_Data[[Date]:[Sunset Time (POA&lt;20 W/m2)]],3,0),"")</f>
        <v>0.25208333333333333</v>
      </c>
      <c r="J558" s="32">
        <f>IFERROR(VLOOKUP(TA[[#This Row],[Date]],Raw_Data[[Date]:[Sunset Time (POA&lt;20 W/m2)]],4,0),"")</f>
        <v>0.77152777777777781</v>
      </c>
      <c r="K558" s="27">
        <f>IFERROR((TA[[#This Row],[Sunset Time (POA&lt;20 W/m2)]]-TA[[#This Row],[Sunrise Time (POA&gt;20 W/m2)]])*24,"")</f>
        <v>12.466666666666669</v>
      </c>
      <c r="L558" s="2" t="s">
        <v>287</v>
      </c>
      <c r="M558" s="33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314</v>
      </c>
      <c r="Q558" s="2" t="s">
        <v>320</v>
      </c>
      <c r="R558">
        <v>45</v>
      </c>
      <c r="S558" s="2">
        <v>8</v>
      </c>
      <c r="T558" t="s">
        <v>288</v>
      </c>
      <c r="U558" t="s">
        <v>291</v>
      </c>
      <c r="V558" t="s">
        <v>292</v>
      </c>
      <c r="W558" s="32"/>
      <c r="X558" s="32"/>
      <c r="Y558" s="26"/>
      <c r="Z558" s="26"/>
      <c r="AA558" s="27">
        <f>IF(TA[[#This Row],[Work Start time on Fault]]="NA","",(TA[[#This Row],[Fault Acknowledgement Time ]]-TA[[#This Row],[Fault Time]])*24)</f>
        <v>0</v>
      </c>
      <c r="AB558" s="27">
        <f>(TA[[#This Row],[Work Start time on Fault]]-TA[[#This Row],[Fault Time]])*24</f>
        <v>0</v>
      </c>
      <c r="AC558" s="26">
        <f>(TA[[#This Row],[Work Completion time on fault]]-TA[[#This Row],[Fault Time]])*24</f>
        <v>0</v>
      </c>
      <c r="AD558" s="27">
        <f>IFERROR((TA[[#This Row],[Work Completion time on fault]]-TA[[#This Row],[Fault Time]])*24,"")</f>
        <v>0</v>
      </c>
      <c r="AE558" t="s">
        <v>319</v>
      </c>
      <c r="AF558" t="s">
        <v>247</v>
      </c>
      <c r="AG558" s="2"/>
      <c r="AH558" s="35">
        <f>1-COS(RADIANS(TA[[#This Row],[Avg. Target Angle during Fault Time (Radians)]]-TA[[#This Row],[Angle of affected equipment ]]))</f>
        <v>0.11705240714107301</v>
      </c>
      <c r="AI558" s="27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43">
        <f t="shared" si="27"/>
        <v>2026</v>
      </c>
      <c r="C559" s="116">
        <f t="shared" si="28"/>
        <v>2025</v>
      </c>
      <c r="D559" s="2" t="s">
        <v>155</v>
      </c>
      <c r="E559" s="2" t="s">
        <v>155</v>
      </c>
      <c r="F559" s="30">
        <v>45778</v>
      </c>
      <c r="G559" s="2">
        <f>DAY(EOMONTH(TA[[#This Row],[Month Year]],0))</f>
        <v>31</v>
      </c>
      <c r="H559" s="21">
        <v>45782</v>
      </c>
      <c r="I559" s="32">
        <f>IFERROR(VLOOKUP(TA[[#This Row],[Date]],Raw_Data[[Date]:[Sunset Time (POA&lt;20 W/m2)]],3,0),"")</f>
        <v>0.25208333333333333</v>
      </c>
      <c r="J559" s="32">
        <f>IFERROR(VLOOKUP(TA[[#This Row],[Date]],Raw_Data[[Date]:[Sunset Time (POA&lt;20 W/m2)]],4,0),"")</f>
        <v>0.77152777777777781</v>
      </c>
      <c r="K559" s="27">
        <f>IFERROR((TA[[#This Row],[Sunset Time (POA&lt;20 W/m2)]]-TA[[#This Row],[Sunrise Time (POA&gt;20 W/m2)]])*24,"")</f>
        <v>12.466666666666669</v>
      </c>
      <c r="L559" s="2" t="s">
        <v>287</v>
      </c>
      <c r="M559" s="33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314</v>
      </c>
      <c r="Q559" s="2" t="s">
        <v>320</v>
      </c>
      <c r="R559">
        <v>47</v>
      </c>
      <c r="S559" s="2">
        <v>18</v>
      </c>
      <c r="T559" t="s">
        <v>288</v>
      </c>
      <c r="U559" t="s">
        <v>291</v>
      </c>
      <c r="V559" t="s">
        <v>292</v>
      </c>
      <c r="W559" s="32"/>
      <c r="X559" s="32"/>
      <c r="Y559" s="26"/>
      <c r="Z559" s="26"/>
      <c r="AA559" s="27">
        <f>IF(TA[[#This Row],[Work Start time on Fault]]="NA","",(TA[[#This Row],[Fault Acknowledgement Time ]]-TA[[#This Row],[Fault Time]])*24)</f>
        <v>0</v>
      </c>
      <c r="AB559" s="27">
        <f>(TA[[#This Row],[Work Start time on Fault]]-TA[[#This Row],[Fault Time]])*24</f>
        <v>0</v>
      </c>
      <c r="AC559" s="26">
        <f>(TA[[#This Row],[Work Completion time on fault]]-TA[[#This Row],[Fault Time]])*24</f>
        <v>0</v>
      </c>
      <c r="AD559" s="27">
        <f>IFERROR((TA[[#This Row],[Work Completion time on fault]]-TA[[#This Row],[Fault Time]])*24,"")</f>
        <v>0</v>
      </c>
      <c r="AE559" t="s">
        <v>319</v>
      </c>
      <c r="AF559" t="s">
        <v>247</v>
      </c>
      <c r="AG559" s="2"/>
      <c r="AH559" s="35">
        <f>1-COS(RADIANS(TA[[#This Row],[Avg. Target Angle during Fault Time (Radians)]]-TA[[#This Row],[Angle of affected equipment ]]))</f>
        <v>0.11705240714107301</v>
      </c>
      <c r="AI559" s="27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43">
        <f t="shared" si="27"/>
        <v>2026</v>
      </c>
      <c r="C560" s="116">
        <f t="shared" si="28"/>
        <v>2025</v>
      </c>
      <c r="D560" s="2" t="s">
        <v>155</v>
      </c>
      <c r="E560" s="2" t="s">
        <v>155</v>
      </c>
      <c r="F560" s="30">
        <v>45778</v>
      </c>
      <c r="G560" s="2">
        <f>DAY(EOMONTH(TA[[#This Row],[Month Year]],0))</f>
        <v>31</v>
      </c>
      <c r="H560" s="21">
        <v>45782</v>
      </c>
      <c r="I560" s="32">
        <f>IFERROR(VLOOKUP(TA[[#This Row],[Date]],Raw_Data[[Date]:[Sunset Time (POA&lt;20 W/m2)]],3,0),"")</f>
        <v>0.25208333333333333</v>
      </c>
      <c r="J560" s="32">
        <f>IFERROR(VLOOKUP(TA[[#This Row],[Date]],Raw_Data[[Date]:[Sunset Time (POA&lt;20 W/m2)]],4,0),"")</f>
        <v>0.77152777777777781</v>
      </c>
      <c r="K560" s="27">
        <f>IFERROR((TA[[#This Row],[Sunset Time (POA&lt;20 W/m2)]]-TA[[#This Row],[Sunrise Time (POA&gt;20 W/m2)]])*24,"")</f>
        <v>12.466666666666669</v>
      </c>
      <c r="L560" s="2" t="s">
        <v>287</v>
      </c>
      <c r="M560" s="33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321</v>
      </c>
      <c r="Q560" s="2" t="s">
        <v>314</v>
      </c>
      <c r="R560">
        <v>30</v>
      </c>
      <c r="S560" s="2">
        <v>57</v>
      </c>
      <c r="T560" t="s">
        <v>288</v>
      </c>
      <c r="U560" t="s">
        <v>291</v>
      </c>
      <c r="V560" t="s">
        <v>292</v>
      </c>
      <c r="W560" s="32"/>
      <c r="X560" s="32"/>
      <c r="Y560" s="26"/>
      <c r="Z560" s="26"/>
      <c r="AA560" s="27">
        <f>IF(TA[[#This Row],[Work Start time on Fault]]="NA","",(TA[[#This Row],[Fault Acknowledgement Time ]]-TA[[#This Row],[Fault Time]])*24)</f>
        <v>0</v>
      </c>
      <c r="AB560" s="27">
        <f>(TA[[#This Row],[Work Start time on Fault]]-TA[[#This Row],[Fault Time]])*24</f>
        <v>0</v>
      </c>
      <c r="AC560" s="26">
        <f>(TA[[#This Row],[Work Completion time on fault]]-TA[[#This Row],[Fault Time]])*24</f>
        <v>0</v>
      </c>
      <c r="AD560" s="27">
        <f>IFERROR((TA[[#This Row],[Work Completion time on fault]]-TA[[#This Row],[Fault Time]])*24,"")</f>
        <v>0</v>
      </c>
      <c r="AE560" t="s">
        <v>319</v>
      </c>
      <c r="AF560" t="s">
        <v>247</v>
      </c>
      <c r="AG560" s="2"/>
      <c r="AH560" s="35">
        <f>1-COS(RADIANS(TA[[#This Row],[Avg. Target Angle during Fault Time (Radians)]]-TA[[#This Row],[Angle of affected equipment ]]))</f>
        <v>0.11705240714107301</v>
      </c>
      <c r="AI560" s="27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43">
        <f t="shared" si="27"/>
        <v>2026</v>
      </c>
      <c r="C561" s="116">
        <f t="shared" si="28"/>
        <v>2025</v>
      </c>
      <c r="D561" s="2" t="s">
        <v>155</v>
      </c>
      <c r="E561" s="2" t="s">
        <v>155</v>
      </c>
      <c r="F561" s="30">
        <v>45778</v>
      </c>
      <c r="G561" s="2">
        <f>DAY(EOMONTH(TA[[#This Row],[Month Year]],0))</f>
        <v>31</v>
      </c>
      <c r="H561" s="21">
        <v>45782</v>
      </c>
      <c r="I561" s="32">
        <f>IFERROR(VLOOKUP(TA[[#This Row],[Date]],Raw_Data[[Date]:[Sunset Time (POA&lt;20 W/m2)]],3,0),"")</f>
        <v>0.25208333333333333</v>
      </c>
      <c r="J561" s="32">
        <f>IFERROR(VLOOKUP(TA[[#This Row],[Date]],Raw_Data[[Date]:[Sunset Time (POA&lt;20 W/m2)]],4,0),"")</f>
        <v>0.77152777777777781</v>
      </c>
      <c r="K561" s="27">
        <f>IFERROR((TA[[#This Row],[Sunset Time (POA&lt;20 W/m2)]]-TA[[#This Row],[Sunrise Time (POA&gt;20 W/m2)]])*24,"")</f>
        <v>12.466666666666669</v>
      </c>
      <c r="L561" s="2" t="s">
        <v>287</v>
      </c>
      <c r="M561" s="33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321</v>
      </c>
      <c r="Q561" s="2" t="s">
        <v>314</v>
      </c>
      <c r="R561">
        <v>31</v>
      </c>
      <c r="S561" s="2">
        <v>61</v>
      </c>
      <c r="T561" t="s">
        <v>288</v>
      </c>
      <c r="U561" t="s">
        <v>291</v>
      </c>
      <c r="V561" t="s">
        <v>292</v>
      </c>
      <c r="W561" s="32"/>
      <c r="X561" s="32"/>
      <c r="Y561" s="26"/>
      <c r="Z561" s="26"/>
      <c r="AA561" s="27">
        <f>IF(TA[[#This Row],[Work Start time on Fault]]="NA","",(TA[[#This Row],[Fault Acknowledgement Time ]]-TA[[#This Row],[Fault Time]])*24)</f>
        <v>0</v>
      </c>
      <c r="AB561" s="27">
        <f>(TA[[#This Row],[Work Start time on Fault]]-TA[[#This Row],[Fault Time]])*24</f>
        <v>0</v>
      </c>
      <c r="AC561" s="26">
        <f>(TA[[#This Row],[Work Completion time on fault]]-TA[[#This Row],[Fault Time]])*24</f>
        <v>0</v>
      </c>
      <c r="AD561" s="27">
        <f>IFERROR((TA[[#This Row],[Work Completion time on fault]]-TA[[#This Row],[Fault Time]])*24,"")</f>
        <v>0</v>
      </c>
      <c r="AE561" t="s">
        <v>319</v>
      </c>
      <c r="AF561" t="s">
        <v>247</v>
      </c>
      <c r="AG561" s="2"/>
      <c r="AH561" s="35">
        <f>1-COS(RADIANS(TA[[#This Row],[Avg. Target Angle during Fault Time (Radians)]]-TA[[#This Row],[Angle of affected equipment ]]))</f>
        <v>0.11705240714107301</v>
      </c>
      <c r="AI561" s="27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43">
        <f t="shared" si="27"/>
        <v>2026</v>
      </c>
      <c r="C562" s="116">
        <f t="shared" si="28"/>
        <v>2025</v>
      </c>
      <c r="D562" s="2" t="s">
        <v>155</v>
      </c>
      <c r="E562" s="2" t="s">
        <v>155</v>
      </c>
      <c r="F562" s="30">
        <v>45778</v>
      </c>
      <c r="G562" s="2">
        <f>DAY(EOMONTH(TA[[#This Row],[Month Year]],0))</f>
        <v>31</v>
      </c>
      <c r="H562" s="21">
        <v>45782</v>
      </c>
      <c r="I562" s="32">
        <f>IFERROR(VLOOKUP(TA[[#This Row],[Date]],Raw_Data[[Date]:[Sunset Time (POA&lt;20 W/m2)]],3,0),"")</f>
        <v>0.25208333333333333</v>
      </c>
      <c r="J562" s="32">
        <f>IFERROR(VLOOKUP(TA[[#This Row],[Date]],Raw_Data[[Date]:[Sunset Time (POA&lt;20 W/m2)]],4,0),"")</f>
        <v>0.77152777777777781</v>
      </c>
      <c r="K562" s="27">
        <f>IFERROR((TA[[#This Row],[Sunset Time (POA&lt;20 W/m2)]]-TA[[#This Row],[Sunrise Time (POA&gt;20 W/m2)]])*24,"")</f>
        <v>12.466666666666669</v>
      </c>
      <c r="L562" s="2" t="s">
        <v>303</v>
      </c>
      <c r="M562" s="33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321</v>
      </c>
      <c r="Q562" s="2" t="s">
        <v>314</v>
      </c>
      <c r="R562">
        <v>26</v>
      </c>
      <c r="S562" s="2">
        <v>37</v>
      </c>
      <c r="T562" t="s">
        <v>288</v>
      </c>
      <c r="U562" t="s">
        <v>291</v>
      </c>
      <c r="V562" t="s">
        <v>292</v>
      </c>
      <c r="W562" s="32"/>
      <c r="X562" s="32"/>
      <c r="Y562" s="26"/>
      <c r="Z562" s="26"/>
      <c r="AA562" s="27">
        <f>IF(TA[[#This Row],[Work Start time on Fault]]="NA","",(TA[[#This Row],[Fault Acknowledgement Time ]]-TA[[#This Row],[Fault Time]])*24)</f>
        <v>0</v>
      </c>
      <c r="AB562" s="27">
        <f>(TA[[#This Row],[Work Start time on Fault]]-TA[[#This Row],[Fault Time]])*24</f>
        <v>0</v>
      </c>
      <c r="AC562" s="26">
        <f>(TA[[#This Row],[Work Completion time on fault]]-TA[[#This Row],[Fault Time]])*24</f>
        <v>0</v>
      </c>
      <c r="AD562" s="27">
        <f>IFERROR((TA[[#This Row],[Work Completion time on fault]]-TA[[#This Row],[Fault Time]])*24,"")</f>
        <v>0</v>
      </c>
      <c r="AE562" t="s">
        <v>319</v>
      </c>
      <c r="AF562" t="s">
        <v>247</v>
      </c>
      <c r="AG562" s="2"/>
      <c r="AH562" s="35">
        <f>1-COS(RADIANS(TA[[#This Row],[Avg. Target Angle during Fault Time (Radians)]]-TA[[#This Row],[Angle of affected equipment ]]))</f>
        <v>0.11705240714107301</v>
      </c>
      <c r="AI562" s="27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43">
        <f t="shared" si="27"/>
        <v>2026</v>
      </c>
      <c r="C563" s="116">
        <f t="shared" si="28"/>
        <v>2025</v>
      </c>
      <c r="D563" s="2" t="s">
        <v>155</v>
      </c>
      <c r="E563" s="2" t="s">
        <v>155</v>
      </c>
      <c r="F563" s="30">
        <v>45778</v>
      </c>
      <c r="G563" s="2">
        <f>DAY(EOMONTH(TA[[#This Row],[Month Year]],0))</f>
        <v>31</v>
      </c>
      <c r="H563" s="21">
        <v>45782</v>
      </c>
      <c r="I563" s="32">
        <f>IFERROR(VLOOKUP(TA[[#This Row],[Date]],Raw_Data[[Date]:[Sunset Time (POA&lt;20 W/m2)]],3,0),"")</f>
        <v>0.25208333333333333</v>
      </c>
      <c r="J563" s="32">
        <f>IFERROR(VLOOKUP(TA[[#This Row],[Date]],Raw_Data[[Date]:[Sunset Time (POA&lt;20 W/m2)]],4,0),"")</f>
        <v>0.77152777777777781</v>
      </c>
      <c r="K563" s="27">
        <f>IFERROR((TA[[#This Row],[Sunset Time (POA&lt;20 W/m2)]]-TA[[#This Row],[Sunrise Time (POA&gt;20 W/m2)]])*24,"")</f>
        <v>12.466666666666669</v>
      </c>
      <c r="L563" s="2" t="s">
        <v>303</v>
      </c>
      <c r="M563" s="33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321</v>
      </c>
      <c r="Q563" s="2" t="s">
        <v>314</v>
      </c>
      <c r="R563">
        <v>27</v>
      </c>
      <c r="S563" s="2">
        <v>42</v>
      </c>
      <c r="T563" t="s">
        <v>288</v>
      </c>
      <c r="U563" t="s">
        <v>291</v>
      </c>
      <c r="V563" t="s">
        <v>292</v>
      </c>
      <c r="W563" s="32"/>
      <c r="X563" s="32"/>
      <c r="Y563" s="26"/>
      <c r="Z563" s="26"/>
      <c r="AA563" s="27">
        <f>IF(TA[[#This Row],[Work Start time on Fault]]="NA","",(TA[[#This Row],[Fault Acknowledgement Time ]]-TA[[#This Row],[Fault Time]])*24)</f>
        <v>0</v>
      </c>
      <c r="AB563" s="27">
        <f>(TA[[#This Row],[Work Start time on Fault]]-TA[[#This Row],[Fault Time]])*24</f>
        <v>0</v>
      </c>
      <c r="AC563" s="26">
        <f>(TA[[#This Row],[Work Completion time on fault]]-TA[[#This Row],[Fault Time]])*24</f>
        <v>0</v>
      </c>
      <c r="AD563" s="27">
        <f>IFERROR((TA[[#This Row],[Work Completion time on fault]]-TA[[#This Row],[Fault Time]])*24,"")</f>
        <v>0</v>
      </c>
      <c r="AE563" t="s">
        <v>300</v>
      </c>
      <c r="AF563" t="s">
        <v>247</v>
      </c>
      <c r="AG563" s="2"/>
      <c r="AH563" s="35">
        <f>1-COS(RADIANS(TA[[#This Row],[Avg. Target Angle during Fault Time (Radians)]]-TA[[#This Row],[Angle of affected equipment ]]))</f>
        <v>0.11705240714107301</v>
      </c>
      <c r="AI563" s="27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43">
        <f t="shared" si="27"/>
        <v>2026</v>
      </c>
      <c r="C564" s="116">
        <f t="shared" si="28"/>
        <v>2025</v>
      </c>
      <c r="D564" s="2" t="s">
        <v>155</v>
      </c>
      <c r="E564" s="2" t="s">
        <v>155</v>
      </c>
      <c r="F564" s="30">
        <v>45778</v>
      </c>
      <c r="G564" s="2">
        <f>DAY(EOMONTH(TA[[#This Row],[Month Year]],0))</f>
        <v>31</v>
      </c>
      <c r="H564" s="21">
        <v>45783</v>
      </c>
      <c r="I564" s="32">
        <f>IFERROR(VLOOKUP(TA[[#This Row],[Date]],Raw_Data[[Date]:[Sunset Time (POA&lt;20 W/m2)]],3,0),"")</f>
        <v>0.2638888888888889</v>
      </c>
      <c r="J564" s="32">
        <f>IFERROR(VLOOKUP(TA[[#This Row],[Date]],Raw_Data[[Date]:[Sunset Time (POA&lt;20 W/m2)]],4,0),"")</f>
        <v>0.76944444444444449</v>
      </c>
      <c r="K564" s="27">
        <f>IFERROR((TA[[#This Row],[Sunset Time (POA&lt;20 W/m2)]]-TA[[#This Row],[Sunrise Time (POA&gt;20 W/m2)]])*24,"")</f>
        <v>12.133333333333333</v>
      </c>
      <c r="L564" s="2" t="s">
        <v>285</v>
      </c>
      <c r="M564" s="33">
        <f>IFERROR(VLOOKUP(TA[[#This Row],[Affected Equipment]],'Basic Data'!$I$2:$K$40,3,0),"")</f>
        <v>1.7241379310344799E-3</v>
      </c>
      <c r="N564">
        <v>-28</v>
      </c>
      <c r="O564" t="s">
        <v>135</v>
      </c>
      <c r="P564" s="114" t="s">
        <v>309</v>
      </c>
      <c r="Q564" s="113" t="s">
        <v>309</v>
      </c>
      <c r="R564">
        <v>130</v>
      </c>
      <c r="S564" s="2">
        <v>37</v>
      </c>
      <c r="T564" t="s">
        <v>286</v>
      </c>
      <c r="U564" t="s">
        <v>291</v>
      </c>
      <c r="V564" t="s">
        <v>289</v>
      </c>
      <c r="W564" s="32"/>
      <c r="X564" s="32"/>
      <c r="Y564" s="26"/>
      <c r="Z564" s="26"/>
      <c r="AA564" s="27">
        <f>IF(TA[[#This Row],[Work Start time on Fault]]="NA","",(TA[[#This Row],[Fault Acknowledgement Time ]]-TA[[#This Row],[Fault Time]])*24)</f>
        <v>0</v>
      </c>
      <c r="AB564" s="27">
        <f>(TA[[#This Row],[Work Start time on Fault]]-TA[[#This Row],[Fault Time]])*24</f>
        <v>0</v>
      </c>
      <c r="AC564" s="26">
        <f>(TA[[#This Row],[Work Completion time on fault]]-TA[[#This Row],[Fault Time]])*24</f>
        <v>0</v>
      </c>
      <c r="AD564" s="27">
        <f>IFERROR((TA[[#This Row],[Work Completion time on fault]]-TA[[#This Row],[Fault Time]])*24,"")</f>
        <v>0</v>
      </c>
      <c r="AE564" t="s">
        <v>319</v>
      </c>
      <c r="AF564" t="s">
        <v>247</v>
      </c>
      <c r="AG564" s="2"/>
      <c r="AH564" s="35">
        <f>1-COS(RADIANS(TA[[#This Row],[Avg. Target Angle during Fault Time (Radians)]]-TA[[#This Row],[Angle of affected equipment ]]))</f>
        <v>0.11705240714107301</v>
      </c>
      <c r="AI564" s="27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43">
        <f t="shared" si="27"/>
        <v>2026</v>
      </c>
      <c r="C565" s="116">
        <f t="shared" si="28"/>
        <v>2025</v>
      </c>
      <c r="D565" s="2" t="s">
        <v>155</v>
      </c>
      <c r="E565" s="2" t="s">
        <v>155</v>
      </c>
      <c r="F565" s="30">
        <v>45778</v>
      </c>
      <c r="G565" s="2">
        <f>DAY(EOMONTH(TA[[#This Row],[Month Year]],0))</f>
        <v>31</v>
      </c>
      <c r="H565" s="21">
        <v>45783</v>
      </c>
      <c r="I565" s="32">
        <f>IFERROR(VLOOKUP(TA[[#This Row],[Date]],Raw_Data[[Date]:[Sunset Time (POA&lt;20 W/m2)]],3,0),"")</f>
        <v>0.2638888888888889</v>
      </c>
      <c r="J565" s="32">
        <f>IFERROR(VLOOKUP(TA[[#This Row],[Date]],Raw_Data[[Date]:[Sunset Time (POA&lt;20 W/m2)]],4,0),"")</f>
        <v>0.76944444444444449</v>
      </c>
      <c r="K565" s="27">
        <f>IFERROR((TA[[#This Row],[Sunset Time (POA&lt;20 W/m2)]]-TA[[#This Row],[Sunrise Time (POA&gt;20 W/m2)]])*24,"")</f>
        <v>12.133333333333333</v>
      </c>
      <c r="L565" s="2" t="s">
        <v>285</v>
      </c>
      <c r="M565" s="33">
        <f>IFERROR(VLOOKUP(TA[[#This Row],[Affected Equipment]],'Basic Data'!$I$2:$K$40,3,0),"")</f>
        <v>1.7241379310344799E-3</v>
      </c>
      <c r="N565">
        <v>-28</v>
      </c>
      <c r="O565" t="s">
        <v>135</v>
      </c>
      <c r="P565" s="114" t="s">
        <v>309</v>
      </c>
      <c r="Q565" s="113" t="s">
        <v>309</v>
      </c>
      <c r="R565">
        <v>131</v>
      </c>
      <c r="S565" s="2">
        <v>38</v>
      </c>
      <c r="T565" t="s">
        <v>286</v>
      </c>
      <c r="U565" t="s">
        <v>291</v>
      </c>
      <c r="V565" t="s">
        <v>289</v>
      </c>
      <c r="W565" s="32"/>
      <c r="X565" s="32"/>
      <c r="Y565" s="26"/>
      <c r="Z565" s="26"/>
      <c r="AA565" s="27">
        <f>IF(TA[[#This Row],[Work Start time on Fault]]="NA","",(TA[[#This Row],[Fault Acknowledgement Time ]]-TA[[#This Row],[Fault Time]])*24)</f>
        <v>0</v>
      </c>
      <c r="AB565" s="27">
        <f>(TA[[#This Row],[Work Start time on Fault]]-TA[[#This Row],[Fault Time]])*24</f>
        <v>0</v>
      </c>
      <c r="AC565" s="26">
        <f>(TA[[#This Row],[Work Completion time on fault]]-TA[[#This Row],[Fault Time]])*24</f>
        <v>0</v>
      </c>
      <c r="AD565" s="27">
        <f>IFERROR((TA[[#This Row],[Work Completion time on fault]]-TA[[#This Row],[Fault Time]])*24,"")</f>
        <v>0</v>
      </c>
      <c r="AE565" t="s">
        <v>319</v>
      </c>
      <c r="AF565" t="s">
        <v>247</v>
      </c>
      <c r="AG565" s="2"/>
      <c r="AH565" s="35">
        <f>1-COS(RADIANS(TA[[#This Row],[Avg. Target Angle during Fault Time (Radians)]]-TA[[#This Row],[Angle of affected equipment ]]))</f>
        <v>0.11705240714107301</v>
      </c>
      <c r="AI565" s="27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43">
        <f t="shared" si="27"/>
        <v>2026</v>
      </c>
      <c r="C566" s="116">
        <f t="shared" si="28"/>
        <v>2025</v>
      </c>
      <c r="D566" s="2" t="s">
        <v>155</v>
      </c>
      <c r="E566" s="2" t="s">
        <v>155</v>
      </c>
      <c r="F566" s="30">
        <v>45778</v>
      </c>
      <c r="G566" s="2">
        <f>DAY(EOMONTH(TA[[#This Row],[Month Year]],0))</f>
        <v>31</v>
      </c>
      <c r="H566" s="21">
        <v>45783</v>
      </c>
      <c r="I566" s="32">
        <f>IFERROR(VLOOKUP(TA[[#This Row],[Date]],Raw_Data[[Date]:[Sunset Time (POA&lt;20 W/m2)]],3,0),"")</f>
        <v>0.2638888888888889</v>
      </c>
      <c r="J566" s="32">
        <f>IFERROR(VLOOKUP(TA[[#This Row],[Date]],Raw_Data[[Date]:[Sunset Time (POA&lt;20 W/m2)]],4,0),"")</f>
        <v>0.76944444444444449</v>
      </c>
      <c r="K566" s="27">
        <f>IFERROR((TA[[#This Row],[Sunset Time (POA&lt;20 W/m2)]]-TA[[#This Row],[Sunrise Time (POA&gt;20 W/m2)]])*24,"")</f>
        <v>12.133333333333333</v>
      </c>
      <c r="L566" s="2" t="s">
        <v>285</v>
      </c>
      <c r="M566" s="33">
        <f>IFERROR(VLOOKUP(TA[[#This Row],[Affected Equipment]],'Basic Data'!$I$2:$K$40,3,0),"")</f>
        <v>1.7241379310344799E-3</v>
      </c>
      <c r="N566">
        <v>-28</v>
      </c>
      <c r="O566" t="s">
        <v>135</v>
      </c>
      <c r="P566" s="114" t="s">
        <v>309</v>
      </c>
      <c r="Q566" s="113" t="s">
        <v>309</v>
      </c>
      <c r="R566">
        <v>131</v>
      </c>
      <c r="S566" s="2">
        <v>39</v>
      </c>
      <c r="T566" t="s">
        <v>286</v>
      </c>
      <c r="U566" t="s">
        <v>291</v>
      </c>
      <c r="V566" t="s">
        <v>289</v>
      </c>
      <c r="W566" s="32"/>
      <c r="X566" s="32"/>
      <c r="Y566" s="26"/>
      <c r="Z566" s="26"/>
      <c r="AA566" s="27">
        <f>IF(TA[[#This Row],[Work Start time on Fault]]="NA","",(TA[[#This Row],[Fault Acknowledgement Time ]]-TA[[#This Row],[Fault Time]])*24)</f>
        <v>0</v>
      </c>
      <c r="AB566" s="27">
        <f>(TA[[#This Row],[Work Start time on Fault]]-TA[[#This Row],[Fault Time]])*24</f>
        <v>0</v>
      </c>
      <c r="AC566" s="26">
        <f>(TA[[#This Row],[Work Completion time on fault]]-TA[[#This Row],[Fault Time]])*24</f>
        <v>0</v>
      </c>
      <c r="AD566" s="27">
        <f>IFERROR((TA[[#This Row],[Work Completion time on fault]]-TA[[#This Row],[Fault Time]])*24,"")</f>
        <v>0</v>
      </c>
      <c r="AE566" t="s">
        <v>319</v>
      </c>
      <c r="AF566" t="s">
        <v>247</v>
      </c>
      <c r="AG566" s="2"/>
      <c r="AH566" s="35">
        <f>1-COS(RADIANS(TA[[#This Row],[Avg. Target Angle during Fault Time (Radians)]]-TA[[#This Row],[Angle of affected equipment ]]))</f>
        <v>0.11705240714107301</v>
      </c>
      <c r="AI566" s="27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43">
        <f t="shared" si="27"/>
        <v>2026</v>
      </c>
      <c r="C567" s="116">
        <f t="shared" si="28"/>
        <v>2025</v>
      </c>
      <c r="D567" s="2" t="s">
        <v>155</v>
      </c>
      <c r="E567" s="2" t="s">
        <v>155</v>
      </c>
      <c r="F567" s="30">
        <v>45778</v>
      </c>
      <c r="G567" s="2">
        <f>DAY(EOMONTH(TA[[#This Row],[Month Year]],0))</f>
        <v>31</v>
      </c>
      <c r="H567" s="21">
        <v>45783</v>
      </c>
      <c r="I567" s="32">
        <f>IFERROR(VLOOKUP(TA[[#This Row],[Date]],Raw_Data[[Date]:[Sunset Time (POA&lt;20 W/m2)]],3,0),"")</f>
        <v>0.2638888888888889</v>
      </c>
      <c r="J567" s="32">
        <f>IFERROR(VLOOKUP(TA[[#This Row],[Date]],Raw_Data[[Date]:[Sunset Time (POA&lt;20 W/m2)]],4,0),"")</f>
        <v>0.76944444444444449</v>
      </c>
      <c r="K567" s="27">
        <f>IFERROR((TA[[#This Row],[Sunset Time (POA&lt;20 W/m2)]]-TA[[#This Row],[Sunrise Time (POA&gt;20 W/m2)]])*24,"")</f>
        <v>12.133333333333333</v>
      </c>
      <c r="L567" s="2" t="s">
        <v>287</v>
      </c>
      <c r="M567" s="33">
        <f>IFERROR(VLOOKUP(TA[[#This Row],[Affected Equipment]],'Basic Data'!$I$2:$K$40,3,0),"")</f>
        <v>8.6206896551724102E-3</v>
      </c>
      <c r="N567">
        <v>-28</v>
      </c>
      <c r="O567" t="s">
        <v>135</v>
      </c>
      <c r="P567" s="114" t="s">
        <v>309</v>
      </c>
      <c r="Q567" s="2" t="s">
        <v>312</v>
      </c>
      <c r="R567">
        <v>133</v>
      </c>
      <c r="S567" s="2">
        <v>26</v>
      </c>
      <c r="T567" t="s">
        <v>288</v>
      </c>
      <c r="U567" t="s">
        <v>291</v>
      </c>
      <c r="V567" t="s">
        <v>305</v>
      </c>
      <c r="W567" s="32">
        <f>IFERROR(VLOOKUP(TA[[#This Row],[Date]],Raw_Data[[Date]:[Sunset Time (POA&lt;20 W/m2)]],3,0),"")</f>
        <v>0.2638888888888889</v>
      </c>
      <c r="X567" s="32">
        <f>IFERROR(VLOOKUP(TA[[#This Row],[Date]],Raw_Data[[Date]:[Sunset Time (POA&lt;20 W/m2)]],3,0),"")</f>
        <v>0.2638888888888889</v>
      </c>
      <c r="Y567" s="26"/>
      <c r="Z567" s="26">
        <v>0.76041666666666663</v>
      </c>
      <c r="AA567" s="27">
        <f>IF(TA[[#This Row],[Work Start time on Fault]]="NA","",(TA[[#This Row],[Fault Acknowledgement Time ]]-TA[[#This Row],[Fault Time]])*24)</f>
        <v>0</v>
      </c>
      <c r="AB567" s="27">
        <f>(TA[[#This Row],[Work Start time on Fault]]-TA[[#This Row],[Fault Time]])*24</f>
        <v>-6.3333333333333339</v>
      </c>
      <c r="AC567" s="26">
        <f>(TA[[#This Row],[Work Completion time on fault]]-TA[[#This Row],[Fault Time]])*24</f>
        <v>11.916666666666666</v>
      </c>
      <c r="AD567" s="27">
        <f>IFERROR((TA[[#This Row],[Work Completion time on fault]]-TA[[#This Row],[Fault Time]])*24,"")</f>
        <v>11.916666666666666</v>
      </c>
      <c r="AE567" t="s">
        <v>319</v>
      </c>
      <c r="AF567" t="s">
        <v>247</v>
      </c>
      <c r="AG567" s="2"/>
      <c r="AH567" s="35">
        <f>1-COS(RADIANS(TA[[#This Row],[Avg. Target Angle during Fault Time (Radians)]]-TA[[#This Row],[Angle of affected equipment ]]))</f>
        <v>0.11705240714107301</v>
      </c>
      <c r="AI567" s="27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43">
        <f t="shared" si="27"/>
        <v>2026</v>
      </c>
      <c r="C568" s="116">
        <f t="shared" si="28"/>
        <v>2025</v>
      </c>
      <c r="D568" s="2" t="s">
        <v>155</v>
      </c>
      <c r="E568" s="2" t="s">
        <v>155</v>
      </c>
      <c r="F568" s="30">
        <v>45778</v>
      </c>
      <c r="G568" s="2">
        <f>DAY(EOMONTH(TA[[#This Row],[Month Year]],0))</f>
        <v>31</v>
      </c>
      <c r="H568" s="21">
        <v>45783</v>
      </c>
      <c r="I568" s="32">
        <f>IFERROR(VLOOKUP(TA[[#This Row],[Date]],Raw_Data[[Date]:[Sunset Time (POA&lt;20 W/m2)]],3,0),"")</f>
        <v>0.2638888888888889</v>
      </c>
      <c r="J568" s="32">
        <f>IFERROR(VLOOKUP(TA[[#This Row],[Date]],Raw_Data[[Date]:[Sunset Time (POA&lt;20 W/m2)]],4,0),"")</f>
        <v>0.76944444444444449</v>
      </c>
      <c r="K568" s="27">
        <f>IFERROR((TA[[#This Row],[Sunset Time (POA&lt;20 W/m2)]]-TA[[#This Row],[Sunrise Time (POA&gt;20 W/m2)]])*24,"")</f>
        <v>12.133333333333333</v>
      </c>
      <c r="L568" s="2" t="s">
        <v>285</v>
      </c>
      <c r="M568" s="33">
        <f>IFERROR(VLOOKUP(TA[[#This Row],[Affected Equipment]],'Basic Data'!$I$2:$K$40,3,0),"")</f>
        <v>1.7241379310344799E-3</v>
      </c>
      <c r="N568">
        <v>-28</v>
      </c>
      <c r="O568" t="s">
        <v>133</v>
      </c>
      <c r="P568" s="114" t="s">
        <v>307</v>
      </c>
      <c r="Q568" s="113" t="s">
        <v>308</v>
      </c>
      <c r="R568">
        <v>7</v>
      </c>
      <c r="S568" s="2">
        <v>32</v>
      </c>
      <c r="T568" t="s">
        <v>286</v>
      </c>
      <c r="U568" t="s">
        <v>291</v>
      </c>
      <c r="V568" t="s">
        <v>289</v>
      </c>
      <c r="W568" s="32"/>
      <c r="X568" s="32"/>
      <c r="Y568" s="26"/>
      <c r="Z568" s="26"/>
      <c r="AA568" s="27">
        <f>IF(TA[[#This Row],[Work Start time on Fault]]="NA","",(TA[[#This Row],[Fault Acknowledgement Time ]]-TA[[#This Row],[Fault Time]])*24)</f>
        <v>0</v>
      </c>
      <c r="AB568" s="27">
        <f>(TA[[#This Row],[Work Start time on Fault]]-TA[[#This Row],[Fault Time]])*24</f>
        <v>0</v>
      </c>
      <c r="AC568" s="26">
        <f>(TA[[#This Row],[Work Completion time on fault]]-TA[[#This Row],[Fault Time]])*24</f>
        <v>0</v>
      </c>
      <c r="AD568" s="27">
        <f>IFERROR((TA[[#This Row],[Work Completion time on fault]]-TA[[#This Row],[Fault Time]])*24,"")</f>
        <v>0</v>
      </c>
      <c r="AE568" t="s">
        <v>319</v>
      </c>
      <c r="AF568" t="s">
        <v>247</v>
      </c>
      <c r="AG568" s="2"/>
      <c r="AH568" s="35">
        <f>1-COS(RADIANS(TA[[#This Row],[Avg. Target Angle during Fault Time (Radians)]]-TA[[#This Row],[Angle of affected equipment ]]))</f>
        <v>0.11705240714107301</v>
      </c>
      <c r="AI568" s="27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43">
        <f t="shared" si="27"/>
        <v>2026</v>
      </c>
      <c r="C569" s="116">
        <f t="shared" si="28"/>
        <v>2025</v>
      </c>
      <c r="D569" s="2" t="s">
        <v>155</v>
      </c>
      <c r="E569" s="2" t="s">
        <v>155</v>
      </c>
      <c r="F569" s="30">
        <v>45778</v>
      </c>
      <c r="G569" s="2">
        <f>DAY(EOMONTH(TA[[#This Row],[Month Year]],0))</f>
        <v>31</v>
      </c>
      <c r="H569" s="21">
        <v>45783</v>
      </c>
      <c r="I569" s="32">
        <f>IFERROR(VLOOKUP(TA[[#This Row],[Date]],Raw_Data[[Date]:[Sunset Time (POA&lt;20 W/m2)]],3,0),"")</f>
        <v>0.2638888888888889</v>
      </c>
      <c r="J569" s="32">
        <f>IFERROR(VLOOKUP(TA[[#This Row],[Date]],Raw_Data[[Date]:[Sunset Time (POA&lt;20 W/m2)]],4,0),"")</f>
        <v>0.76944444444444449</v>
      </c>
      <c r="K569" s="27">
        <f>IFERROR((TA[[#This Row],[Sunset Time (POA&lt;20 W/m2)]]-TA[[#This Row],[Sunrise Time (POA&gt;20 W/m2)]])*24,"")</f>
        <v>12.133333333333333</v>
      </c>
      <c r="L569" s="2" t="s">
        <v>285</v>
      </c>
      <c r="M569" s="33">
        <f>IFERROR(VLOOKUP(TA[[#This Row],[Affected Equipment]],'Basic Data'!$I$2:$K$40,3,0),"")</f>
        <v>1.7241379310344799E-3</v>
      </c>
      <c r="N569">
        <v>-28</v>
      </c>
      <c r="O569" t="s">
        <v>137</v>
      </c>
      <c r="P569" s="114" t="s">
        <v>306</v>
      </c>
      <c r="Q569" s="113" t="s">
        <v>310</v>
      </c>
      <c r="R569">
        <v>166</v>
      </c>
      <c r="S569" s="2">
        <v>91</v>
      </c>
      <c r="T569" t="s">
        <v>286</v>
      </c>
      <c r="U569" t="s">
        <v>291</v>
      </c>
      <c r="V569" t="s">
        <v>289</v>
      </c>
      <c r="W569" s="32"/>
      <c r="X569" s="32"/>
      <c r="Y569" s="26"/>
      <c r="Z569" s="26"/>
      <c r="AA569" s="27">
        <f>IF(TA[[#This Row],[Work Start time on Fault]]="NA","",(TA[[#This Row],[Fault Acknowledgement Time ]]-TA[[#This Row],[Fault Time]])*24)</f>
        <v>0</v>
      </c>
      <c r="AB569" s="27">
        <f>(TA[[#This Row],[Work Start time on Fault]]-TA[[#This Row],[Fault Time]])*24</f>
        <v>0</v>
      </c>
      <c r="AC569" s="26">
        <f>(TA[[#This Row],[Work Completion time on fault]]-TA[[#This Row],[Fault Time]])*24</f>
        <v>0</v>
      </c>
      <c r="AD569" s="27">
        <f>IFERROR((TA[[#This Row],[Work Completion time on fault]]-TA[[#This Row],[Fault Time]])*24,"")</f>
        <v>0</v>
      </c>
      <c r="AE569" t="s">
        <v>319</v>
      </c>
      <c r="AF569" t="s">
        <v>247</v>
      </c>
      <c r="AG569" s="2"/>
      <c r="AH569" s="35">
        <f>1-COS(RADIANS(TA[[#This Row],[Avg. Target Angle during Fault Time (Radians)]]-TA[[#This Row],[Angle of affected equipment ]]))</f>
        <v>0.11705240714107301</v>
      </c>
      <c r="AI569" s="27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43">
        <f t="shared" si="27"/>
        <v>2026</v>
      </c>
      <c r="C570" s="116">
        <f t="shared" si="28"/>
        <v>2025</v>
      </c>
      <c r="D570" s="2" t="s">
        <v>155</v>
      </c>
      <c r="E570" s="2" t="s">
        <v>155</v>
      </c>
      <c r="F570" s="30">
        <v>45778</v>
      </c>
      <c r="G570" s="2">
        <f>DAY(EOMONTH(TA[[#This Row],[Month Year]],0))</f>
        <v>31</v>
      </c>
      <c r="H570" s="21">
        <v>45783</v>
      </c>
      <c r="I570" s="32">
        <f>IFERROR(VLOOKUP(TA[[#This Row],[Date]],Raw_Data[[Date]:[Sunset Time (POA&lt;20 W/m2)]],3,0),"")</f>
        <v>0.2638888888888889</v>
      </c>
      <c r="J570" s="32">
        <f>IFERROR(VLOOKUP(TA[[#This Row],[Date]],Raw_Data[[Date]:[Sunset Time (POA&lt;20 W/m2)]],4,0),"")</f>
        <v>0.76944444444444449</v>
      </c>
      <c r="K570" s="27">
        <f>IFERROR((TA[[#This Row],[Sunset Time (POA&lt;20 W/m2)]]-TA[[#This Row],[Sunrise Time (POA&gt;20 W/m2)]])*24,"")</f>
        <v>12.133333333333333</v>
      </c>
      <c r="L570" s="2" t="s">
        <v>285</v>
      </c>
      <c r="M570" s="33">
        <f>IFERROR(VLOOKUP(TA[[#This Row],[Affected Equipment]],'Basic Data'!$I$2:$K$40,3,0),"")</f>
        <v>1.7241379310344799E-3</v>
      </c>
      <c r="N570">
        <v>-28</v>
      </c>
      <c r="O570" t="s">
        <v>133</v>
      </c>
      <c r="P570" s="114" t="s">
        <v>307</v>
      </c>
      <c r="Q570" s="113" t="s">
        <v>307</v>
      </c>
      <c r="R570">
        <v>117</v>
      </c>
      <c r="S570" s="2">
        <v>20</v>
      </c>
      <c r="T570" t="s">
        <v>286</v>
      </c>
      <c r="U570" t="s">
        <v>291</v>
      </c>
      <c r="V570" t="s">
        <v>289</v>
      </c>
      <c r="W570" s="32"/>
      <c r="X570" s="32"/>
      <c r="Y570" s="26"/>
      <c r="Z570" s="26"/>
      <c r="AA570" s="27">
        <f>IF(TA[[#This Row],[Work Start time on Fault]]="NA","",(TA[[#This Row],[Fault Acknowledgement Time ]]-TA[[#This Row],[Fault Time]])*24)</f>
        <v>0</v>
      </c>
      <c r="AB570" s="27">
        <f>(TA[[#This Row],[Work Start time on Fault]]-TA[[#This Row],[Fault Time]])*24</f>
        <v>0</v>
      </c>
      <c r="AC570" s="26">
        <f>(TA[[#This Row],[Work Completion time on fault]]-TA[[#This Row],[Fault Time]])*24</f>
        <v>0</v>
      </c>
      <c r="AD570" s="27">
        <f>IFERROR((TA[[#This Row],[Work Completion time on fault]]-TA[[#This Row],[Fault Time]])*24,"")</f>
        <v>0</v>
      </c>
      <c r="AE570" t="s">
        <v>319</v>
      </c>
      <c r="AF570" t="s">
        <v>247</v>
      </c>
      <c r="AG570" s="2"/>
      <c r="AH570" s="35">
        <f>1-COS(RADIANS(TA[[#This Row],[Avg. Target Angle during Fault Time (Radians)]]-TA[[#This Row],[Angle of affected equipment ]]))</f>
        <v>0.11705240714107301</v>
      </c>
      <c r="AI570" s="27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43">
        <f t="shared" si="27"/>
        <v>2026</v>
      </c>
      <c r="C571" s="116">
        <f t="shared" si="28"/>
        <v>2025</v>
      </c>
      <c r="D571" s="2" t="s">
        <v>155</v>
      </c>
      <c r="E571" s="2" t="s">
        <v>155</v>
      </c>
      <c r="F571" s="30">
        <v>45778</v>
      </c>
      <c r="G571" s="2">
        <f>DAY(EOMONTH(TA[[#This Row],[Month Year]],0))</f>
        <v>31</v>
      </c>
      <c r="H571" s="21">
        <v>45783</v>
      </c>
      <c r="I571" s="32">
        <f>IFERROR(VLOOKUP(TA[[#This Row],[Date]],Raw_Data[[Date]:[Sunset Time (POA&lt;20 W/m2)]],3,0),"")</f>
        <v>0.2638888888888889</v>
      </c>
      <c r="J571" s="32">
        <f>IFERROR(VLOOKUP(TA[[#This Row],[Date]],Raw_Data[[Date]:[Sunset Time (POA&lt;20 W/m2)]],4,0),"")</f>
        <v>0.76944444444444449</v>
      </c>
      <c r="K571" s="27">
        <f>IFERROR((TA[[#This Row],[Sunset Time (POA&lt;20 W/m2)]]-TA[[#This Row],[Sunrise Time (POA&gt;20 W/m2)]])*24,"")</f>
        <v>12.133333333333333</v>
      </c>
      <c r="L571" s="2" t="s">
        <v>285</v>
      </c>
      <c r="M571" s="33">
        <f>IFERROR(VLOOKUP(TA[[#This Row],[Affected Equipment]],'Basic Data'!$I$2:$K$40,3,0),"")</f>
        <v>1.7241379310344799E-3</v>
      </c>
      <c r="N571">
        <v>-28</v>
      </c>
      <c r="O571" t="s">
        <v>133</v>
      </c>
      <c r="P571" s="114" t="s">
        <v>307</v>
      </c>
      <c r="Q571" s="113" t="s">
        <v>307</v>
      </c>
      <c r="R571">
        <v>118</v>
      </c>
      <c r="S571" s="2">
        <v>22</v>
      </c>
      <c r="T571" t="s">
        <v>286</v>
      </c>
      <c r="U571" t="s">
        <v>291</v>
      </c>
      <c r="V571" t="s">
        <v>289</v>
      </c>
      <c r="W571" s="32"/>
      <c r="X571" s="32"/>
      <c r="Y571" s="26"/>
      <c r="Z571" s="26"/>
      <c r="AA571" s="27">
        <f>IF(TA[[#This Row],[Work Start time on Fault]]="NA","",(TA[[#This Row],[Fault Acknowledgement Time ]]-TA[[#This Row],[Fault Time]])*24)</f>
        <v>0</v>
      </c>
      <c r="AB571" s="27">
        <f>(TA[[#This Row],[Work Start time on Fault]]-TA[[#This Row],[Fault Time]])*24</f>
        <v>0</v>
      </c>
      <c r="AC571" s="26">
        <f>(TA[[#This Row],[Work Completion time on fault]]-TA[[#This Row],[Fault Time]])*24</f>
        <v>0</v>
      </c>
      <c r="AD571" s="27">
        <f>IFERROR((TA[[#This Row],[Work Completion time on fault]]-TA[[#This Row],[Fault Time]])*24,"")</f>
        <v>0</v>
      </c>
      <c r="AE571" t="s">
        <v>319</v>
      </c>
      <c r="AF571" t="s">
        <v>247</v>
      </c>
      <c r="AG571" s="2"/>
      <c r="AH571" s="35">
        <f>1-COS(RADIANS(TA[[#This Row],[Avg. Target Angle during Fault Time (Radians)]]-TA[[#This Row],[Angle of affected equipment ]]))</f>
        <v>0.11705240714107301</v>
      </c>
      <c r="AI571" s="27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43">
        <f t="shared" si="27"/>
        <v>2026</v>
      </c>
      <c r="C572" s="116">
        <f t="shared" si="28"/>
        <v>2025</v>
      </c>
      <c r="D572" s="2" t="s">
        <v>155</v>
      </c>
      <c r="E572" s="2" t="s">
        <v>155</v>
      </c>
      <c r="F572" s="30">
        <v>45778</v>
      </c>
      <c r="G572" s="2">
        <f>DAY(EOMONTH(TA[[#This Row],[Month Year]],0))</f>
        <v>31</v>
      </c>
      <c r="H572" s="21">
        <v>45783</v>
      </c>
      <c r="I572" s="32">
        <f>IFERROR(VLOOKUP(TA[[#This Row],[Date]],Raw_Data[[Date]:[Sunset Time (POA&lt;20 W/m2)]],3,0),"")</f>
        <v>0.2638888888888889</v>
      </c>
      <c r="J572" s="32">
        <f>IFERROR(VLOOKUP(TA[[#This Row],[Date]],Raw_Data[[Date]:[Sunset Time (POA&lt;20 W/m2)]],4,0),"")</f>
        <v>0.76944444444444449</v>
      </c>
      <c r="K572" s="27">
        <f>IFERROR((TA[[#This Row],[Sunset Time (POA&lt;20 W/m2)]]-TA[[#This Row],[Sunrise Time (POA&gt;20 W/m2)]])*24,"")</f>
        <v>12.133333333333333</v>
      </c>
      <c r="L572" s="2" t="s">
        <v>287</v>
      </c>
      <c r="M572" s="33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314</v>
      </c>
      <c r="Q572" s="2" t="s">
        <v>320</v>
      </c>
      <c r="R572">
        <v>45</v>
      </c>
      <c r="S572" s="2">
        <v>8</v>
      </c>
      <c r="T572" t="s">
        <v>288</v>
      </c>
      <c r="U572" t="s">
        <v>291</v>
      </c>
      <c r="V572" t="s">
        <v>292</v>
      </c>
      <c r="W572" s="32"/>
      <c r="X572" s="32"/>
      <c r="Y572" s="26"/>
      <c r="Z572" s="26"/>
      <c r="AA572" s="27">
        <f>IF(TA[[#This Row],[Work Start time on Fault]]="NA","",(TA[[#This Row],[Fault Acknowledgement Time ]]-TA[[#This Row],[Fault Time]])*24)</f>
        <v>0</v>
      </c>
      <c r="AB572" s="27">
        <f>(TA[[#This Row],[Work Start time on Fault]]-TA[[#This Row],[Fault Time]])*24</f>
        <v>0</v>
      </c>
      <c r="AC572" s="26">
        <f>(TA[[#This Row],[Work Completion time on fault]]-TA[[#This Row],[Fault Time]])*24</f>
        <v>0</v>
      </c>
      <c r="AD572" s="27">
        <f>IFERROR((TA[[#This Row],[Work Completion time on fault]]-TA[[#This Row],[Fault Time]])*24,"")</f>
        <v>0</v>
      </c>
      <c r="AE572" t="s">
        <v>319</v>
      </c>
      <c r="AF572" t="s">
        <v>247</v>
      </c>
      <c r="AG572" s="2"/>
      <c r="AH572" s="35">
        <f>1-COS(RADIANS(TA[[#This Row],[Avg. Target Angle during Fault Time (Radians)]]-TA[[#This Row],[Angle of affected equipment ]]))</f>
        <v>0.11705240714107301</v>
      </c>
      <c r="AI572" s="27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43">
        <f t="shared" si="27"/>
        <v>2026</v>
      </c>
      <c r="C573" s="116">
        <f t="shared" si="28"/>
        <v>2025</v>
      </c>
      <c r="D573" s="2" t="s">
        <v>155</v>
      </c>
      <c r="E573" s="2" t="s">
        <v>155</v>
      </c>
      <c r="F573" s="30">
        <v>45778</v>
      </c>
      <c r="G573" s="2">
        <f>DAY(EOMONTH(TA[[#This Row],[Month Year]],0))</f>
        <v>31</v>
      </c>
      <c r="H573" s="21">
        <v>45783</v>
      </c>
      <c r="I573" s="32">
        <f>IFERROR(VLOOKUP(TA[[#This Row],[Date]],Raw_Data[[Date]:[Sunset Time (POA&lt;20 W/m2)]],3,0),"")</f>
        <v>0.2638888888888889</v>
      </c>
      <c r="J573" s="32">
        <f>IFERROR(VLOOKUP(TA[[#This Row],[Date]],Raw_Data[[Date]:[Sunset Time (POA&lt;20 W/m2)]],4,0),"")</f>
        <v>0.76944444444444449</v>
      </c>
      <c r="K573" s="27">
        <f>IFERROR((TA[[#This Row],[Sunset Time (POA&lt;20 W/m2)]]-TA[[#This Row],[Sunrise Time (POA&gt;20 W/m2)]])*24,"")</f>
        <v>12.133333333333333</v>
      </c>
      <c r="L573" s="2" t="s">
        <v>287</v>
      </c>
      <c r="M573" s="33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314</v>
      </c>
      <c r="Q573" s="2" t="s">
        <v>320</v>
      </c>
      <c r="R573">
        <v>47</v>
      </c>
      <c r="S573" s="2">
        <v>18</v>
      </c>
      <c r="T573" t="s">
        <v>288</v>
      </c>
      <c r="U573" t="s">
        <v>291</v>
      </c>
      <c r="V573" t="s">
        <v>292</v>
      </c>
      <c r="W573" s="32"/>
      <c r="X573" s="32"/>
      <c r="Y573" s="26"/>
      <c r="Z573" s="26"/>
      <c r="AA573" s="27">
        <f>IF(TA[[#This Row],[Work Start time on Fault]]="NA","",(TA[[#This Row],[Fault Acknowledgement Time ]]-TA[[#This Row],[Fault Time]])*24)</f>
        <v>0</v>
      </c>
      <c r="AB573" s="27">
        <f>(TA[[#This Row],[Work Start time on Fault]]-TA[[#This Row],[Fault Time]])*24</f>
        <v>0</v>
      </c>
      <c r="AC573" s="26">
        <f>(TA[[#This Row],[Work Completion time on fault]]-TA[[#This Row],[Fault Time]])*24</f>
        <v>0</v>
      </c>
      <c r="AD573" s="27">
        <f>IFERROR((TA[[#This Row],[Work Completion time on fault]]-TA[[#This Row],[Fault Time]])*24,"")</f>
        <v>0</v>
      </c>
      <c r="AE573" t="s">
        <v>319</v>
      </c>
      <c r="AF573" t="s">
        <v>247</v>
      </c>
      <c r="AG573" s="2"/>
      <c r="AH573" s="35">
        <f>1-COS(RADIANS(TA[[#This Row],[Avg. Target Angle during Fault Time (Radians)]]-TA[[#This Row],[Angle of affected equipment ]]))</f>
        <v>0.11705240714107301</v>
      </c>
      <c r="AI573" s="27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43">
        <f t="shared" si="27"/>
        <v>2026</v>
      </c>
      <c r="C574" s="116">
        <f t="shared" si="28"/>
        <v>2025</v>
      </c>
      <c r="D574" s="2" t="s">
        <v>155</v>
      </c>
      <c r="E574" s="2" t="s">
        <v>155</v>
      </c>
      <c r="F574" s="30">
        <v>45778</v>
      </c>
      <c r="G574" s="2">
        <f>DAY(EOMONTH(TA[[#This Row],[Month Year]],0))</f>
        <v>31</v>
      </c>
      <c r="H574" s="21">
        <v>45783</v>
      </c>
      <c r="I574" s="32">
        <f>IFERROR(VLOOKUP(TA[[#This Row],[Date]],Raw_Data[[Date]:[Sunset Time (POA&lt;20 W/m2)]],3,0),"")</f>
        <v>0.2638888888888889</v>
      </c>
      <c r="J574" s="32">
        <f>IFERROR(VLOOKUP(TA[[#This Row],[Date]],Raw_Data[[Date]:[Sunset Time (POA&lt;20 W/m2)]],4,0),"")</f>
        <v>0.76944444444444449</v>
      </c>
      <c r="K574" s="27">
        <f>IFERROR((TA[[#This Row],[Sunset Time (POA&lt;20 W/m2)]]-TA[[#This Row],[Sunrise Time (POA&gt;20 W/m2)]])*24,"")</f>
        <v>12.133333333333333</v>
      </c>
      <c r="L574" s="2" t="s">
        <v>287</v>
      </c>
      <c r="M574" s="33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321</v>
      </c>
      <c r="Q574" s="2" t="s">
        <v>314</v>
      </c>
      <c r="R574">
        <v>30</v>
      </c>
      <c r="S574" s="2">
        <v>57</v>
      </c>
      <c r="T574" t="s">
        <v>288</v>
      </c>
      <c r="U574" t="s">
        <v>291</v>
      </c>
      <c r="V574" t="s">
        <v>292</v>
      </c>
      <c r="W574" s="32"/>
      <c r="X574" s="32"/>
      <c r="Y574" s="26"/>
      <c r="Z574" s="26"/>
      <c r="AA574" s="27">
        <f>IF(TA[[#This Row],[Work Start time on Fault]]="NA","",(TA[[#This Row],[Fault Acknowledgement Time ]]-TA[[#This Row],[Fault Time]])*24)</f>
        <v>0</v>
      </c>
      <c r="AB574" s="27">
        <f>(TA[[#This Row],[Work Start time on Fault]]-TA[[#This Row],[Fault Time]])*24</f>
        <v>0</v>
      </c>
      <c r="AC574" s="26">
        <f>(TA[[#This Row],[Work Completion time on fault]]-TA[[#This Row],[Fault Time]])*24</f>
        <v>0</v>
      </c>
      <c r="AD574" s="27">
        <f>IFERROR((TA[[#This Row],[Work Completion time on fault]]-TA[[#This Row],[Fault Time]])*24,"")</f>
        <v>0</v>
      </c>
      <c r="AE574" t="s">
        <v>319</v>
      </c>
      <c r="AF574" t="s">
        <v>247</v>
      </c>
      <c r="AG574" s="2"/>
      <c r="AH574" s="35">
        <f>1-COS(RADIANS(TA[[#This Row],[Avg. Target Angle during Fault Time (Radians)]]-TA[[#This Row],[Angle of affected equipment ]]))</f>
        <v>0.11705240714107301</v>
      </c>
      <c r="AI574" s="27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43">
        <f t="shared" si="27"/>
        <v>2026</v>
      </c>
      <c r="C575" s="116">
        <f t="shared" si="28"/>
        <v>2025</v>
      </c>
      <c r="D575" s="2" t="s">
        <v>155</v>
      </c>
      <c r="E575" s="2" t="s">
        <v>155</v>
      </c>
      <c r="F575" s="30">
        <v>45778</v>
      </c>
      <c r="G575" s="2">
        <f>DAY(EOMONTH(TA[[#This Row],[Month Year]],0))</f>
        <v>31</v>
      </c>
      <c r="H575" s="21">
        <v>45783</v>
      </c>
      <c r="I575" s="32">
        <f>IFERROR(VLOOKUP(TA[[#This Row],[Date]],Raw_Data[[Date]:[Sunset Time (POA&lt;20 W/m2)]],3,0),"")</f>
        <v>0.2638888888888889</v>
      </c>
      <c r="J575" s="32">
        <f>IFERROR(VLOOKUP(TA[[#This Row],[Date]],Raw_Data[[Date]:[Sunset Time (POA&lt;20 W/m2)]],4,0),"")</f>
        <v>0.76944444444444449</v>
      </c>
      <c r="K575" s="27">
        <f>IFERROR((TA[[#This Row],[Sunset Time (POA&lt;20 W/m2)]]-TA[[#This Row],[Sunrise Time (POA&gt;20 W/m2)]])*24,"")</f>
        <v>12.133333333333333</v>
      </c>
      <c r="L575" s="2" t="s">
        <v>287</v>
      </c>
      <c r="M575" s="33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321</v>
      </c>
      <c r="Q575" s="2" t="s">
        <v>314</v>
      </c>
      <c r="R575">
        <v>31</v>
      </c>
      <c r="S575" s="2">
        <v>61</v>
      </c>
      <c r="T575" t="s">
        <v>288</v>
      </c>
      <c r="U575" t="s">
        <v>291</v>
      </c>
      <c r="V575" t="s">
        <v>292</v>
      </c>
      <c r="W575" s="32"/>
      <c r="X575" s="32"/>
      <c r="Y575" s="26"/>
      <c r="Z575" s="26"/>
      <c r="AA575" s="27">
        <f>IF(TA[[#This Row],[Work Start time on Fault]]="NA","",(TA[[#This Row],[Fault Acknowledgement Time ]]-TA[[#This Row],[Fault Time]])*24)</f>
        <v>0</v>
      </c>
      <c r="AB575" s="27">
        <f>(TA[[#This Row],[Work Start time on Fault]]-TA[[#This Row],[Fault Time]])*24</f>
        <v>0</v>
      </c>
      <c r="AC575" s="26">
        <f>(TA[[#This Row],[Work Completion time on fault]]-TA[[#This Row],[Fault Time]])*24</f>
        <v>0</v>
      </c>
      <c r="AD575" s="27">
        <f>IFERROR((TA[[#This Row],[Work Completion time on fault]]-TA[[#This Row],[Fault Time]])*24,"")</f>
        <v>0</v>
      </c>
      <c r="AE575" t="s">
        <v>319</v>
      </c>
      <c r="AF575" t="s">
        <v>247</v>
      </c>
      <c r="AG575" s="2"/>
      <c r="AH575" s="35">
        <f>1-COS(RADIANS(TA[[#This Row],[Avg. Target Angle during Fault Time (Radians)]]-TA[[#This Row],[Angle of affected equipment ]]))</f>
        <v>0.11705240714107301</v>
      </c>
      <c r="AI575" s="27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43">
        <f t="shared" si="27"/>
        <v>2026</v>
      </c>
      <c r="C576" s="116">
        <f t="shared" si="28"/>
        <v>2025</v>
      </c>
      <c r="D576" s="2" t="s">
        <v>155</v>
      </c>
      <c r="E576" s="2" t="s">
        <v>155</v>
      </c>
      <c r="F576" s="30">
        <v>45778</v>
      </c>
      <c r="G576" s="2">
        <f>DAY(EOMONTH(TA[[#This Row],[Month Year]],0))</f>
        <v>31</v>
      </c>
      <c r="H576" s="21">
        <v>45783</v>
      </c>
      <c r="I576" s="32">
        <f>IFERROR(VLOOKUP(TA[[#This Row],[Date]],Raw_Data[[Date]:[Sunset Time (POA&lt;20 W/m2)]],3,0),"")</f>
        <v>0.2638888888888889</v>
      </c>
      <c r="J576" s="32">
        <f>IFERROR(VLOOKUP(TA[[#This Row],[Date]],Raw_Data[[Date]:[Sunset Time (POA&lt;20 W/m2)]],4,0),"")</f>
        <v>0.76944444444444449</v>
      </c>
      <c r="K576" s="27">
        <f>IFERROR((TA[[#This Row],[Sunset Time (POA&lt;20 W/m2)]]-TA[[#This Row],[Sunrise Time (POA&gt;20 W/m2)]])*24,"")</f>
        <v>12.133333333333333</v>
      </c>
      <c r="L576" s="2" t="s">
        <v>303</v>
      </c>
      <c r="M576" s="33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321</v>
      </c>
      <c r="Q576" s="2" t="s">
        <v>314</v>
      </c>
      <c r="R576">
        <v>26</v>
      </c>
      <c r="S576" s="2">
        <v>37</v>
      </c>
      <c r="T576" t="s">
        <v>288</v>
      </c>
      <c r="U576" t="s">
        <v>291</v>
      </c>
      <c r="V576" t="s">
        <v>292</v>
      </c>
      <c r="W576" s="32"/>
      <c r="X576" s="32"/>
      <c r="Y576" s="26"/>
      <c r="Z576" s="26"/>
      <c r="AA576" s="27">
        <f>IF(TA[[#This Row],[Work Start time on Fault]]="NA","",(TA[[#This Row],[Fault Acknowledgement Time ]]-TA[[#This Row],[Fault Time]])*24)</f>
        <v>0</v>
      </c>
      <c r="AB576" s="27">
        <f>(TA[[#This Row],[Work Start time on Fault]]-TA[[#This Row],[Fault Time]])*24</f>
        <v>0</v>
      </c>
      <c r="AC576" s="26">
        <f>(TA[[#This Row],[Work Completion time on fault]]-TA[[#This Row],[Fault Time]])*24</f>
        <v>0</v>
      </c>
      <c r="AD576" s="27">
        <f>IFERROR((TA[[#This Row],[Work Completion time on fault]]-TA[[#This Row],[Fault Time]])*24,"")</f>
        <v>0</v>
      </c>
      <c r="AE576" t="s">
        <v>319</v>
      </c>
      <c r="AF576" t="s">
        <v>247</v>
      </c>
      <c r="AG576" s="2"/>
      <c r="AH576" s="35">
        <f>1-COS(RADIANS(TA[[#This Row],[Avg. Target Angle during Fault Time (Radians)]]-TA[[#This Row],[Angle of affected equipment ]]))</f>
        <v>0.11705240714107301</v>
      </c>
      <c r="AI576" s="27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43">
        <f t="shared" si="27"/>
        <v>2026</v>
      </c>
      <c r="C577" s="116">
        <f t="shared" si="28"/>
        <v>2025</v>
      </c>
      <c r="D577" s="2" t="s">
        <v>155</v>
      </c>
      <c r="E577" s="2" t="s">
        <v>155</v>
      </c>
      <c r="F577" s="30">
        <v>45778</v>
      </c>
      <c r="G577" s="2">
        <f>DAY(EOMONTH(TA[[#This Row],[Month Year]],0))</f>
        <v>31</v>
      </c>
      <c r="H577" s="21">
        <v>45783</v>
      </c>
      <c r="I577" s="32">
        <f>IFERROR(VLOOKUP(TA[[#This Row],[Date]],Raw_Data[[Date]:[Sunset Time (POA&lt;20 W/m2)]],3,0),"")</f>
        <v>0.2638888888888889</v>
      </c>
      <c r="J577" s="32">
        <f>IFERROR(VLOOKUP(TA[[#This Row],[Date]],Raw_Data[[Date]:[Sunset Time (POA&lt;20 W/m2)]],4,0),"")</f>
        <v>0.76944444444444449</v>
      </c>
      <c r="K577" s="27">
        <f>IFERROR((TA[[#This Row],[Sunset Time (POA&lt;20 W/m2)]]-TA[[#This Row],[Sunrise Time (POA&gt;20 W/m2)]])*24,"")</f>
        <v>12.133333333333333</v>
      </c>
      <c r="L577" s="2" t="s">
        <v>303</v>
      </c>
      <c r="M577" s="33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321</v>
      </c>
      <c r="Q577" s="2" t="s">
        <v>314</v>
      </c>
      <c r="R577">
        <v>27</v>
      </c>
      <c r="S577" s="2">
        <v>42</v>
      </c>
      <c r="T577" t="s">
        <v>288</v>
      </c>
      <c r="U577" t="s">
        <v>291</v>
      </c>
      <c r="V577" t="s">
        <v>292</v>
      </c>
      <c r="W577" s="32">
        <f>IFERROR(VLOOKUP(TA[[#This Row],[Date]],Raw_Data[[Date]:[Sunset Time (POA&lt;20 W/m2)]],3,0),"")</f>
        <v>0.2638888888888889</v>
      </c>
      <c r="X577" s="32">
        <f>IFERROR(VLOOKUP(TA[[#This Row],[Date]],Raw_Data[[Date]:[Sunset Time (POA&lt;20 W/m2)]],3,0),"")</f>
        <v>0.2638888888888889</v>
      </c>
      <c r="Y577" s="26"/>
      <c r="Z577" s="26">
        <v>0.76041666666666663</v>
      </c>
      <c r="AA577" s="27">
        <f>IF(TA[[#This Row],[Work Start time on Fault]]="NA","",(TA[[#This Row],[Fault Acknowledgement Time ]]-TA[[#This Row],[Fault Time]])*24)</f>
        <v>0</v>
      </c>
      <c r="AB577" s="27">
        <f>(TA[[#This Row],[Work Start time on Fault]]-TA[[#This Row],[Fault Time]])*24</f>
        <v>-6.3333333333333339</v>
      </c>
      <c r="AC577" s="26">
        <f>(TA[[#This Row],[Work Completion time on fault]]-TA[[#This Row],[Fault Time]])*24</f>
        <v>11.916666666666666</v>
      </c>
      <c r="AD577" s="27">
        <f>IFERROR((TA[[#This Row],[Work Completion time on fault]]-TA[[#This Row],[Fault Time]])*24,"")</f>
        <v>11.916666666666666</v>
      </c>
      <c r="AE577" t="s">
        <v>300</v>
      </c>
      <c r="AF577" t="s">
        <v>247</v>
      </c>
      <c r="AG577" s="2"/>
      <c r="AH577" s="35">
        <f>1-COS(RADIANS(TA[[#This Row],[Avg. Target Angle during Fault Time (Radians)]]-TA[[#This Row],[Angle of affected equipment ]]))</f>
        <v>0.11705240714107301</v>
      </c>
      <c r="AI577" s="27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43">
        <f t="shared" ref="B578:B591" si="30">YEAR(H578)+IF(MONTH(H578)&gt;=4,1,0)</f>
        <v>2026</v>
      </c>
      <c r="C578" s="116">
        <f t="shared" ref="C578:C591" si="31">YEAR(H578)</f>
        <v>2025</v>
      </c>
      <c r="D578" s="2" t="s">
        <v>155</v>
      </c>
      <c r="E578" s="2" t="s">
        <v>155</v>
      </c>
      <c r="F578" s="30">
        <v>45778</v>
      </c>
      <c r="G578" s="2">
        <f>DAY(EOMONTH(TA[[#This Row],[Month Year]],0))</f>
        <v>31</v>
      </c>
      <c r="H578" s="21">
        <v>45784</v>
      </c>
      <c r="I578" s="32">
        <f>IFERROR(VLOOKUP(TA[[#This Row],[Date]],Raw_Data[[Date]:[Sunset Time (POA&lt;20 W/m2)]],3,0),"")</f>
        <v>0.25208333333333333</v>
      </c>
      <c r="J578" s="32">
        <f>IFERROR(VLOOKUP(TA[[#This Row],[Date]],Raw_Data[[Date]:[Sunset Time (POA&lt;20 W/m2)]],4,0),"")</f>
        <v>0.76944444444444449</v>
      </c>
      <c r="K578" s="27">
        <f>IFERROR((TA[[#This Row],[Sunset Time (POA&lt;20 W/m2)]]-TA[[#This Row],[Sunrise Time (POA&gt;20 W/m2)]])*24,"")</f>
        <v>12.416666666666668</v>
      </c>
      <c r="L578" s="2" t="s">
        <v>285</v>
      </c>
      <c r="M578" s="33">
        <f>IFERROR(VLOOKUP(TA[[#This Row],[Affected Equipment]],'Basic Data'!$I$2:$K$40,3,0),"")</f>
        <v>1.7241379310344799E-3</v>
      </c>
      <c r="N578">
        <v>-28</v>
      </c>
      <c r="O578" t="s">
        <v>135</v>
      </c>
      <c r="P578" s="114" t="s">
        <v>309</v>
      </c>
      <c r="Q578" s="113" t="s">
        <v>309</v>
      </c>
      <c r="R578">
        <v>130</v>
      </c>
      <c r="S578" s="2">
        <v>37</v>
      </c>
      <c r="T578" t="s">
        <v>286</v>
      </c>
      <c r="U578" t="s">
        <v>291</v>
      </c>
      <c r="V578" t="s">
        <v>289</v>
      </c>
      <c r="W578" s="32"/>
      <c r="X578" s="32"/>
      <c r="Y578" s="26"/>
      <c r="Z578" s="26"/>
      <c r="AA578" s="27">
        <f>IF(TA[[#This Row],[Work Start time on Fault]]="NA","",(TA[[#This Row],[Fault Acknowledgement Time ]]-TA[[#This Row],[Fault Time]])*24)</f>
        <v>0</v>
      </c>
      <c r="AB578" s="27">
        <f>(TA[[#This Row],[Work Start time on Fault]]-TA[[#This Row],[Fault Time]])*24</f>
        <v>0</v>
      </c>
      <c r="AC578" s="26">
        <f>(TA[[#This Row],[Work Completion time on fault]]-TA[[#This Row],[Fault Time]])*24</f>
        <v>0</v>
      </c>
      <c r="AD578" s="27">
        <f>IFERROR((TA[[#This Row],[Work Completion time on fault]]-TA[[#This Row],[Fault Time]])*24,"")</f>
        <v>0</v>
      </c>
      <c r="AE578" t="s">
        <v>319</v>
      </c>
      <c r="AF578" t="s">
        <v>247</v>
      </c>
      <c r="AG578" s="2"/>
      <c r="AH578" s="35">
        <f>1-COS(RADIANS(TA[[#This Row],[Avg. Target Angle during Fault Time (Radians)]]-TA[[#This Row],[Angle of affected equipment ]]))</f>
        <v>0.11705240714107301</v>
      </c>
      <c r="AI578" s="27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43">
        <f t="shared" si="30"/>
        <v>2026</v>
      </c>
      <c r="C579" s="116">
        <f t="shared" si="31"/>
        <v>2025</v>
      </c>
      <c r="D579" s="2" t="s">
        <v>155</v>
      </c>
      <c r="E579" s="2" t="s">
        <v>155</v>
      </c>
      <c r="F579" s="30">
        <v>45778</v>
      </c>
      <c r="G579" s="2">
        <f>DAY(EOMONTH(TA[[#This Row],[Month Year]],0))</f>
        <v>31</v>
      </c>
      <c r="H579" s="21">
        <v>45784</v>
      </c>
      <c r="I579" s="32">
        <f>IFERROR(VLOOKUP(TA[[#This Row],[Date]],Raw_Data[[Date]:[Sunset Time (POA&lt;20 W/m2)]],3,0),"")</f>
        <v>0.25208333333333333</v>
      </c>
      <c r="J579" s="32">
        <f>IFERROR(VLOOKUP(TA[[#This Row],[Date]],Raw_Data[[Date]:[Sunset Time (POA&lt;20 W/m2)]],4,0),"")</f>
        <v>0.76944444444444449</v>
      </c>
      <c r="K579" s="27">
        <f>IFERROR((TA[[#This Row],[Sunset Time (POA&lt;20 W/m2)]]-TA[[#This Row],[Sunrise Time (POA&gt;20 W/m2)]])*24,"")</f>
        <v>12.416666666666668</v>
      </c>
      <c r="L579" s="2" t="s">
        <v>285</v>
      </c>
      <c r="M579" s="33">
        <f>IFERROR(VLOOKUP(TA[[#This Row],[Affected Equipment]],'Basic Data'!$I$2:$K$40,3,0),"")</f>
        <v>1.7241379310344799E-3</v>
      </c>
      <c r="N579">
        <v>-28</v>
      </c>
      <c r="O579" t="s">
        <v>135</v>
      </c>
      <c r="P579" s="114" t="s">
        <v>309</v>
      </c>
      <c r="Q579" s="113" t="s">
        <v>309</v>
      </c>
      <c r="R579">
        <v>131</v>
      </c>
      <c r="S579" s="2">
        <v>38</v>
      </c>
      <c r="T579" t="s">
        <v>286</v>
      </c>
      <c r="U579" t="s">
        <v>291</v>
      </c>
      <c r="V579" t="s">
        <v>289</v>
      </c>
      <c r="W579" s="32"/>
      <c r="X579" s="32"/>
      <c r="Y579" s="26"/>
      <c r="Z579" s="26"/>
      <c r="AA579" s="27">
        <f>IF(TA[[#This Row],[Work Start time on Fault]]="NA","",(TA[[#This Row],[Fault Acknowledgement Time ]]-TA[[#This Row],[Fault Time]])*24)</f>
        <v>0</v>
      </c>
      <c r="AB579" s="27">
        <f>(TA[[#This Row],[Work Start time on Fault]]-TA[[#This Row],[Fault Time]])*24</f>
        <v>0</v>
      </c>
      <c r="AC579" s="26">
        <f>(TA[[#This Row],[Work Completion time on fault]]-TA[[#This Row],[Fault Time]])*24</f>
        <v>0</v>
      </c>
      <c r="AD579" s="27">
        <f>IFERROR((TA[[#This Row],[Work Completion time on fault]]-TA[[#This Row],[Fault Time]])*24,"")</f>
        <v>0</v>
      </c>
      <c r="AE579" t="s">
        <v>319</v>
      </c>
      <c r="AF579" t="s">
        <v>247</v>
      </c>
      <c r="AG579" s="2"/>
      <c r="AH579" s="35">
        <f>1-COS(RADIANS(TA[[#This Row],[Avg. Target Angle during Fault Time (Radians)]]-TA[[#This Row],[Angle of affected equipment ]]))</f>
        <v>0.11705240714107301</v>
      </c>
      <c r="AI579" s="27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43">
        <f t="shared" si="30"/>
        <v>2026</v>
      </c>
      <c r="C580" s="116">
        <f t="shared" si="31"/>
        <v>2025</v>
      </c>
      <c r="D580" s="2" t="s">
        <v>155</v>
      </c>
      <c r="E580" s="2" t="s">
        <v>155</v>
      </c>
      <c r="F580" s="30">
        <v>45778</v>
      </c>
      <c r="G580" s="2">
        <f>DAY(EOMONTH(TA[[#This Row],[Month Year]],0))</f>
        <v>31</v>
      </c>
      <c r="H580" s="21">
        <v>45784</v>
      </c>
      <c r="I580" s="32">
        <f>IFERROR(VLOOKUP(TA[[#This Row],[Date]],Raw_Data[[Date]:[Sunset Time (POA&lt;20 W/m2)]],3,0),"")</f>
        <v>0.25208333333333333</v>
      </c>
      <c r="J580" s="32">
        <f>IFERROR(VLOOKUP(TA[[#This Row],[Date]],Raw_Data[[Date]:[Sunset Time (POA&lt;20 W/m2)]],4,0),"")</f>
        <v>0.76944444444444449</v>
      </c>
      <c r="K580" s="27">
        <f>IFERROR((TA[[#This Row],[Sunset Time (POA&lt;20 W/m2)]]-TA[[#This Row],[Sunrise Time (POA&gt;20 W/m2)]])*24,"")</f>
        <v>12.416666666666668</v>
      </c>
      <c r="L580" s="2" t="s">
        <v>285</v>
      </c>
      <c r="M580" s="33">
        <f>IFERROR(VLOOKUP(TA[[#This Row],[Affected Equipment]],'Basic Data'!$I$2:$K$40,3,0),"")</f>
        <v>1.7241379310344799E-3</v>
      </c>
      <c r="N580">
        <v>-28</v>
      </c>
      <c r="O580" t="s">
        <v>135</v>
      </c>
      <c r="P580" s="114" t="s">
        <v>309</v>
      </c>
      <c r="Q580" s="113" t="s">
        <v>309</v>
      </c>
      <c r="R580">
        <v>131</v>
      </c>
      <c r="S580" s="2">
        <v>39</v>
      </c>
      <c r="T580" t="s">
        <v>286</v>
      </c>
      <c r="U580" t="s">
        <v>291</v>
      </c>
      <c r="V580" t="s">
        <v>289</v>
      </c>
      <c r="W580" s="32"/>
      <c r="X580" s="32"/>
      <c r="Y580" s="26"/>
      <c r="Z580" s="26"/>
      <c r="AA580" s="27">
        <f>IF(TA[[#This Row],[Work Start time on Fault]]="NA","",(TA[[#This Row],[Fault Acknowledgement Time ]]-TA[[#This Row],[Fault Time]])*24)</f>
        <v>0</v>
      </c>
      <c r="AB580" s="27">
        <f>(TA[[#This Row],[Work Start time on Fault]]-TA[[#This Row],[Fault Time]])*24</f>
        <v>0</v>
      </c>
      <c r="AC580" s="26">
        <f>(TA[[#This Row],[Work Completion time on fault]]-TA[[#This Row],[Fault Time]])*24</f>
        <v>0</v>
      </c>
      <c r="AD580" s="27">
        <f>IFERROR((TA[[#This Row],[Work Completion time on fault]]-TA[[#This Row],[Fault Time]])*24,"")</f>
        <v>0</v>
      </c>
      <c r="AE580" t="s">
        <v>319</v>
      </c>
      <c r="AF580" t="s">
        <v>247</v>
      </c>
      <c r="AG580" s="2"/>
      <c r="AH580" s="35">
        <f>1-COS(RADIANS(TA[[#This Row],[Avg. Target Angle during Fault Time (Radians)]]-TA[[#This Row],[Angle of affected equipment ]]))</f>
        <v>0.11705240714107301</v>
      </c>
      <c r="AI580" s="27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43">
        <f t="shared" si="30"/>
        <v>2026</v>
      </c>
      <c r="C581" s="116">
        <f t="shared" si="31"/>
        <v>2025</v>
      </c>
      <c r="D581" s="2" t="s">
        <v>155</v>
      </c>
      <c r="E581" s="2" t="s">
        <v>155</v>
      </c>
      <c r="F581" s="30">
        <v>45778</v>
      </c>
      <c r="G581" s="2">
        <f>DAY(EOMONTH(TA[[#This Row],[Month Year]],0))</f>
        <v>31</v>
      </c>
      <c r="H581" s="21">
        <v>45784</v>
      </c>
      <c r="I581" s="32">
        <f>IFERROR(VLOOKUP(TA[[#This Row],[Date]],Raw_Data[[Date]:[Sunset Time (POA&lt;20 W/m2)]],3,0),"")</f>
        <v>0.25208333333333333</v>
      </c>
      <c r="J581" s="32">
        <f>IFERROR(VLOOKUP(TA[[#This Row],[Date]],Raw_Data[[Date]:[Sunset Time (POA&lt;20 W/m2)]],4,0),"")</f>
        <v>0.76944444444444449</v>
      </c>
      <c r="K581" s="27">
        <f>IFERROR((TA[[#This Row],[Sunset Time (POA&lt;20 W/m2)]]-TA[[#This Row],[Sunrise Time (POA&gt;20 W/m2)]])*24,"")</f>
        <v>12.416666666666668</v>
      </c>
      <c r="L581" s="2" t="s">
        <v>287</v>
      </c>
      <c r="M581" s="33">
        <f>IFERROR(VLOOKUP(TA[[#This Row],[Affected Equipment]],'Basic Data'!$I$2:$K$40,3,0),"")</f>
        <v>8.6206896551724102E-3</v>
      </c>
      <c r="N581">
        <v>-28</v>
      </c>
      <c r="O581" t="s">
        <v>135</v>
      </c>
      <c r="P581" s="114" t="s">
        <v>309</v>
      </c>
      <c r="Q581" s="2" t="s">
        <v>312</v>
      </c>
      <c r="R581">
        <v>133</v>
      </c>
      <c r="S581" s="2">
        <v>26</v>
      </c>
      <c r="T581" t="s">
        <v>288</v>
      </c>
      <c r="U581" t="s">
        <v>291</v>
      </c>
      <c r="V581" t="s">
        <v>305</v>
      </c>
      <c r="W581" s="32">
        <f>IFERROR(VLOOKUP(TA[[#This Row],[Date]],Raw_Data[[Date]:[Sunset Time (POA&lt;20 W/m2)]],3,0),"")</f>
        <v>0.25208333333333333</v>
      </c>
      <c r="X581" s="32">
        <f>IFERROR(VLOOKUP(TA[[#This Row],[Date]],Raw_Data[[Date]:[Sunset Time (POA&lt;20 W/m2)]],3,0),"")</f>
        <v>0.25208333333333333</v>
      </c>
      <c r="Y581" s="26"/>
      <c r="Z581" s="26">
        <v>0.76041666666666663</v>
      </c>
      <c r="AA581" s="27">
        <f>IF(TA[[#This Row],[Work Start time on Fault]]="NA","",(TA[[#This Row],[Fault Acknowledgement Time ]]-TA[[#This Row],[Fault Time]])*24)</f>
        <v>0</v>
      </c>
      <c r="AB581" s="27">
        <f>(TA[[#This Row],[Work Start time on Fault]]-TA[[#This Row],[Fault Time]])*24</f>
        <v>-6.05</v>
      </c>
      <c r="AC581" s="26">
        <f>(TA[[#This Row],[Work Completion time on fault]]-TA[[#This Row],[Fault Time]])*24</f>
        <v>12.2</v>
      </c>
      <c r="AD581" s="27">
        <f>IFERROR((TA[[#This Row],[Work Completion time on fault]]-TA[[#This Row],[Fault Time]])*24,"")</f>
        <v>12.2</v>
      </c>
      <c r="AE581" t="s">
        <v>319</v>
      </c>
      <c r="AF581" t="s">
        <v>247</v>
      </c>
      <c r="AG581" s="2"/>
      <c r="AH581" s="35">
        <f>1-COS(RADIANS(TA[[#This Row],[Avg. Target Angle during Fault Time (Radians)]]-TA[[#This Row],[Angle of affected equipment ]]))</f>
        <v>0.11705240714107301</v>
      </c>
      <c r="AI581" s="27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43">
        <f t="shared" si="30"/>
        <v>2026</v>
      </c>
      <c r="C582" s="116">
        <f t="shared" si="31"/>
        <v>2025</v>
      </c>
      <c r="D582" s="2" t="s">
        <v>155</v>
      </c>
      <c r="E582" s="2" t="s">
        <v>155</v>
      </c>
      <c r="F582" s="30">
        <v>45778</v>
      </c>
      <c r="G582" s="2">
        <f>DAY(EOMONTH(TA[[#This Row],[Month Year]],0))</f>
        <v>31</v>
      </c>
      <c r="H582" s="21">
        <v>45784</v>
      </c>
      <c r="I582" s="32">
        <f>IFERROR(VLOOKUP(TA[[#This Row],[Date]],Raw_Data[[Date]:[Sunset Time (POA&lt;20 W/m2)]],3,0),"")</f>
        <v>0.25208333333333333</v>
      </c>
      <c r="J582" s="32">
        <f>IFERROR(VLOOKUP(TA[[#This Row],[Date]],Raw_Data[[Date]:[Sunset Time (POA&lt;20 W/m2)]],4,0),"")</f>
        <v>0.76944444444444449</v>
      </c>
      <c r="K582" s="27">
        <f>IFERROR((TA[[#This Row],[Sunset Time (POA&lt;20 W/m2)]]-TA[[#This Row],[Sunrise Time (POA&gt;20 W/m2)]])*24,"")</f>
        <v>12.416666666666668</v>
      </c>
      <c r="L582" s="2" t="s">
        <v>285</v>
      </c>
      <c r="M582" s="33">
        <f>IFERROR(VLOOKUP(TA[[#This Row],[Affected Equipment]],'Basic Data'!$I$2:$K$40,3,0),"")</f>
        <v>1.7241379310344799E-3</v>
      </c>
      <c r="N582">
        <v>-28</v>
      </c>
      <c r="O582" t="s">
        <v>133</v>
      </c>
      <c r="P582" s="114" t="s">
        <v>307</v>
      </c>
      <c r="Q582" s="113" t="s">
        <v>308</v>
      </c>
      <c r="R582">
        <v>7</v>
      </c>
      <c r="S582" s="2">
        <v>32</v>
      </c>
      <c r="T582" t="s">
        <v>286</v>
      </c>
      <c r="U582" t="s">
        <v>291</v>
      </c>
      <c r="V582" t="s">
        <v>289</v>
      </c>
      <c r="W582" s="32"/>
      <c r="X582" s="32"/>
      <c r="Y582" s="26"/>
      <c r="Z582" s="26"/>
      <c r="AA582" s="27">
        <f>IF(TA[[#This Row],[Work Start time on Fault]]="NA","",(TA[[#This Row],[Fault Acknowledgement Time ]]-TA[[#This Row],[Fault Time]])*24)</f>
        <v>0</v>
      </c>
      <c r="AB582" s="27">
        <f>(TA[[#This Row],[Work Start time on Fault]]-TA[[#This Row],[Fault Time]])*24</f>
        <v>0</v>
      </c>
      <c r="AC582" s="26">
        <f>(TA[[#This Row],[Work Completion time on fault]]-TA[[#This Row],[Fault Time]])*24</f>
        <v>0</v>
      </c>
      <c r="AD582" s="27">
        <f>IFERROR((TA[[#This Row],[Work Completion time on fault]]-TA[[#This Row],[Fault Time]])*24,"")</f>
        <v>0</v>
      </c>
      <c r="AE582" t="s">
        <v>319</v>
      </c>
      <c r="AF582" t="s">
        <v>247</v>
      </c>
      <c r="AG582" s="2"/>
      <c r="AH582" s="35">
        <f>1-COS(RADIANS(TA[[#This Row],[Avg. Target Angle during Fault Time (Radians)]]-TA[[#This Row],[Angle of affected equipment ]]))</f>
        <v>0.11705240714107301</v>
      </c>
      <c r="AI582" s="27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43">
        <f t="shared" si="30"/>
        <v>2026</v>
      </c>
      <c r="C583" s="116">
        <f t="shared" si="31"/>
        <v>2025</v>
      </c>
      <c r="D583" s="2" t="s">
        <v>155</v>
      </c>
      <c r="E583" s="2" t="s">
        <v>155</v>
      </c>
      <c r="F583" s="30">
        <v>45778</v>
      </c>
      <c r="G583" s="2">
        <f>DAY(EOMONTH(TA[[#This Row],[Month Year]],0))</f>
        <v>31</v>
      </c>
      <c r="H583" s="21">
        <v>45784</v>
      </c>
      <c r="I583" s="32">
        <f>IFERROR(VLOOKUP(TA[[#This Row],[Date]],Raw_Data[[Date]:[Sunset Time (POA&lt;20 W/m2)]],3,0),"")</f>
        <v>0.25208333333333333</v>
      </c>
      <c r="J583" s="32">
        <f>IFERROR(VLOOKUP(TA[[#This Row],[Date]],Raw_Data[[Date]:[Sunset Time (POA&lt;20 W/m2)]],4,0),"")</f>
        <v>0.76944444444444449</v>
      </c>
      <c r="K583" s="27">
        <f>IFERROR((TA[[#This Row],[Sunset Time (POA&lt;20 W/m2)]]-TA[[#This Row],[Sunrise Time (POA&gt;20 W/m2)]])*24,"")</f>
        <v>12.416666666666668</v>
      </c>
      <c r="L583" s="2" t="s">
        <v>285</v>
      </c>
      <c r="M583" s="33">
        <f>IFERROR(VLOOKUP(TA[[#This Row],[Affected Equipment]],'Basic Data'!$I$2:$K$40,3,0),"")</f>
        <v>1.7241379310344799E-3</v>
      </c>
      <c r="N583">
        <v>-28</v>
      </c>
      <c r="O583" t="s">
        <v>137</v>
      </c>
      <c r="P583" s="114" t="s">
        <v>306</v>
      </c>
      <c r="Q583" s="113" t="s">
        <v>310</v>
      </c>
      <c r="R583">
        <v>166</v>
      </c>
      <c r="S583" s="2">
        <v>91</v>
      </c>
      <c r="T583" t="s">
        <v>286</v>
      </c>
      <c r="U583" t="s">
        <v>291</v>
      </c>
      <c r="V583" t="s">
        <v>289</v>
      </c>
      <c r="W583" s="32"/>
      <c r="X583" s="32"/>
      <c r="Y583" s="26"/>
      <c r="Z583" s="26"/>
      <c r="AA583" s="27">
        <f>IF(TA[[#This Row],[Work Start time on Fault]]="NA","",(TA[[#This Row],[Fault Acknowledgement Time ]]-TA[[#This Row],[Fault Time]])*24)</f>
        <v>0</v>
      </c>
      <c r="AB583" s="27">
        <f>(TA[[#This Row],[Work Start time on Fault]]-TA[[#This Row],[Fault Time]])*24</f>
        <v>0</v>
      </c>
      <c r="AC583" s="26">
        <f>(TA[[#This Row],[Work Completion time on fault]]-TA[[#This Row],[Fault Time]])*24</f>
        <v>0</v>
      </c>
      <c r="AD583" s="27">
        <f>IFERROR((TA[[#This Row],[Work Completion time on fault]]-TA[[#This Row],[Fault Time]])*24,"")</f>
        <v>0</v>
      </c>
      <c r="AE583" t="s">
        <v>319</v>
      </c>
      <c r="AF583" t="s">
        <v>247</v>
      </c>
      <c r="AG583" s="2"/>
      <c r="AH583" s="35">
        <f>1-COS(RADIANS(TA[[#This Row],[Avg. Target Angle during Fault Time (Radians)]]-TA[[#This Row],[Angle of affected equipment ]]))</f>
        <v>0.11705240714107301</v>
      </c>
      <c r="AI583" s="27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43">
        <f t="shared" si="30"/>
        <v>2026</v>
      </c>
      <c r="C584" s="116">
        <f t="shared" si="31"/>
        <v>2025</v>
      </c>
      <c r="D584" s="2" t="s">
        <v>155</v>
      </c>
      <c r="E584" s="2" t="s">
        <v>155</v>
      </c>
      <c r="F584" s="30">
        <v>45778</v>
      </c>
      <c r="G584" s="2">
        <f>DAY(EOMONTH(TA[[#This Row],[Month Year]],0))</f>
        <v>31</v>
      </c>
      <c r="H584" s="21">
        <v>45784</v>
      </c>
      <c r="I584" s="32">
        <f>IFERROR(VLOOKUP(TA[[#This Row],[Date]],Raw_Data[[Date]:[Sunset Time (POA&lt;20 W/m2)]],3,0),"")</f>
        <v>0.25208333333333333</v>
      </c>
      <c r="J584" s="32">
        <f>IFERROR(VLOOKUP(TA[[#This Row],[Date]],Raw_Data[[Date]:[Sunset Time (POA&lt;20 W/m2)]],4,0),"")</f>
        <v>0.76944444444444449</v>
      </c>
      <c r="K584" s="27">
        <f>IFERROR((TA[[#This Row],[Sunset Time (POA&lt;20 W/m2)]]-TA[[#This Row],[Sunrise Time (POA&gt;20 W/m2)]])*24,"")</f>
        <v>12.416666666666668</v>
      </c>
      <c r="L584" s="2" t="s">
        <v>285</v>
      </c>
      <c r="M584" s="33">
        <f>IFERROR(VLOOKUP(TA[[#This Row],[Affected Equipment]],'Basic Data'!$I$2:$K$40,3,0),"")</f>
        <v>1.7241379310344799E-3</v>
      </c>
      <c r="N584">
        <v>-28</v>
      </c>
      <c r="O584" t="s">
        <v>133</v>
      </c>
      <c r="P584" s="114" t="s">
        <v>307</v>
      </c>
      <c r="Q584" s="113" t="s">
        <v>307</v>
      </c>
      <c r="R584">
        <v>117</v>
      </c>
      <c r="S584" s="2">
        <v>20</v>
      </c>
      <c r="T584" t="s">
        <v>286</v>
      </c>
      <c r="U584" t="s">
        <v>291</v>
      </c>
      <c r="V584" t="s">
        <v>289</v>
      </c>
      <c r="W584" s="32"/>
      <c r="X584" s="32"/>
      <c r="Y584" s="26"/>
      <c r="Z584" s="26"/>
      <c r="AA584" s="27">
        <f>IF(TA[[#This Row],[Work Start time on Fault]]="NA","",(TA[[#This Row],[Fault Acknowledgement Time ]]-TA[[#This Row],[Fault Time]])*24)</f>
        <v>0</v>
      </c>
      <c r="AB584" s="27">
        <f>(TA[[#This Row],[Work Start time on Fault]]-TA[[#This Row],[Fault Time]])*24</f>
        <v>0</v>
      </c>
      <c r="AC584" s="26">
        <f>(TA[[#This Row],[Work Completion time on fault]]-TA[[#This Row],[Fault Time]])*24</f>
        <v>0</v>
      </c>
      <c r="AD584" s="27">
        <f>IFERROR((TA[[#This Row],[Work Completion time on fault]]-TA[[#This Row],[Fault Time]])*24,"")</f>
        <v>0</v>
      </c>
      <c r="AE584" t="s">
        <v>319</v>
      </c>
      <c r="AF584" t="s">
        <v>247</v>
      </c>
      <c r="AG584" s="2"/>
      <c r="AH584" s="35">
        <f>1-COS(RADIANS(TA[[#This Row],[Avg. Target Angle during Fault Time (Radians)]]-TA[[#This Row],[Angle of affected equipment ]]))</f>
        <v>0.11705240714107301</v>
      </c>
      <c r="AI584" s="27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43">
        <f t="shared" si="30"/>
        <v>2026</v>
      </c>
      <c r="C585" s="116">
        <f t="shared" si="31"/>
        <v>2025</v>
      </c>
      <c r="D585" s="2" t="s">
        <v>155</v>
      </c>
      <c r="E585" s="2" t="s">
        <v>155</v>
      </c>
      <c r="F585" s="30">
        <v>45778</v>
      </c>
      <c r="G585" s="2">
        <f>DAY(EOMONTH(TA[[#This Row],[Month Year]],0))</f>
        <v>31</v>
      </c>
      <c r="H585" s="21">
        <v>45784</v>
      </c>
      <c r="I585" s="32">
        <f>IFERROR(VLOOKUP(TA[[#This Row],[Date]],Raw_Data[[Date]:[Sunset Time (POA&lt;20 W/m2)]],3,0),"")</f>
        <v>0.25208333333333333</v>
      </c>
      <c r="J585" s="32">
        <f>IFERROR(VLOOKUP(TA[[#This Row],[Date]],Raw_Data[[Date]:[Sunset Time (POA&lt;20 W/m2)]],4,0),"")</f>
        <v>0.76944444444444449</v>
      </c>
      <c r="K585" s="27">
        <f>IFERROR((TA[[#This Row],[Sunset Time (POA&lt;20 W/m2)]]-TA[[#This Row],[Sunrise Time (POA&gt;20 W/m2)]])*24,"")</f>
        <v>12.416666666666668</v>
      </c>
      <c r="L585" s="2" t="s">
        <v>285</v>
      </c>
      <c r="M585" s="33">
        <f>IFERROR(VLOOKUP(TA[[#This Row],[Affected Equipment]],'Basic Data'!$I$2:$K$40,3,0),"")</f>
        <v>1.7241379310344799E-3</v>
      </c>
      <c r="N585">
        <v>-28</v>
      </c>
      <c r="O585" t="s">
        <v>133</v>
      </c>
      <c r="P585" s="114" t="s">
        <v>307</v>
      </c>
      <c r="Q585" s="113" t="s">
        <v>307</v>
      </c>
      <c r="R585">
        <v>118</v>
      </c>
      <c r="S585" s="2">
        <v>22</v>
      </c>
      <c r="T585" t="s">
        <v>286</v>
      </c>
      <c r="U585" t="s">
        <v>291</v>
      </c>
      <c r="V585" t="s">
        <v>289</v>
      </c>
      <c r="W585" s="32"/>
      <c r="X585" s="32"/>
      <c r="Y585" s="26"/>
      <c r="Z585" s="26"/>
      <c r="AA585" s="27">
        <f>IF(TA[[#This Row],[Work Start time on Fault]]="NA","",(TA[[#This Row],[Fault Acknowledgement Time ]]-TA[[#This Row],[Fault Time]])*24)</f>
        <v>0</v>
      </c>
      <c r="AB585" s="27">
        <f>(TA[[#This Row],[Work Start time on Fault]]-TA[[#This Row],[Fault Time]])*24</f>
        <v>0</v>
      </c>
      <c r="AC585" s="26">
        <f>(TA[[#This Row],[Work Completion time on fault]]-TA[[#This Row],[Fault Time]])*24</f>
        <v>0</v>
      </c>
      <c r="AD585" s="27">
        <f>IFERROR((TA[[#This Row],[Work Completion time on fault]]-TA[[#This Row],[Fault Time]])*24,"")</f>
        <v>0</v>
      </c>
      <c r="AE585" t="s">
        <v>319</v>
      </c>
      <c r="AF585" t="s">
        <v>247</v>
      </c>
      <c r="AG585" s="2"/>
      <c r="AH585" s="35">
        <f>1-COS(RADIANS(TA[[#This Row],[Avg. Target Angle during Fault Time (Radians)]]-TA[[#This Row],[Angle of affected equipment ]]))</f>
        <v>0.11705240714107301</v>
      </c>
      <c r="AI585" s="27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43">
        <f t="shared" si="30"/>
        <v>2026</v>
      </c>
      <c r="C586" s="116">
        <f t="shared" si="31"/>
        <v>2025</v>
      </c>
      <c r="D586" s="2" t="s">
        <v>155</v>
      </c>
      <c r="E586" s="2" t="s">
        <v>155</v>
      </c>
      <c r="F586" s="30">
        <v>45778</v>
      </c>
      <c r="G586" s="2">
        <f>DAY(EOMONTH(TA[[#This Row],[Month Year]],0))</f>
        <v>31</v>
      </c>
      <c r="H586" s="21">
        <v>45784</v>
      </c>
      <c r="I586" s="32">
        <f>IFERROR(VLOOKUP(TA[[#This Row],[Date]],Raw_Data[[Date]:[Sunset Time (POA&lt;20 W/m2)]],3,0),"")</f>
        <v>0.25208333333333333</v>
      </c>
      <c r="J586" s="32">
        <f>IFERROR(VLOOKUP(TA[[#This Row],[Date]],Raw_Data[[Date]:[Sunset Time (POA&lt;20 W/m2)]],4,0),"")</f>
        <v>0.76944444444444449</v>
      </c>
      <c r="K586" s="27">
        <f>IFERROR((TA[[#This Row],[Sunset Time (POA&lt;20 W/m2)]]-TA[[#This Row],[Sunrise Time (POA&gt;20 W/m2)]])*24,"")</f>
        <v>12.416666666666668</v>
      </c>
      <c r="L586" s="2" t="s">
        <v>287</v>
      </c>
      <c r="M586" s="33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314</v>
      </c>
      <c r="Q586" s="2" t="s">
        <v>320</v>
      </c>
      <c r="R586">
        <v>45</v>
      </c>
      <c r="S586" s="2">
        <v>8</v>
      </c>
      <c r="T586" t="s">
        <v>288</v>
      </c>
      <c r="U586" t="s">
        <v>291</v>
      </c>
      <c r="V586" t="s">
        <v>292</v>
      </c>
      <c r="W586" s="32"/>
      <c r="X586" s="32"/>
      <c r="Y586" s="26"/>
      <c r="Z586" s="26"/>
      <c r="AA586" s="27">
        <f>IF(TA[[#This Row],[Work Start time on Fault]]="NA","",(TA[[#This Row],[Fault Acknowledgement Time ]]-TA[[#This Row],[Fault Time]])*24)</f>
        <v>0</v>
      </c>
      <c r="AB586" s="27">
        <f>(TA[[#This Row],[Work Start time on Fault]]-TA[[#This Row],[Fault Time]])*24</f>
        <v>0</v>
      </c>
      <c r="AC586" s="26">
        <f>(TA[[#This Row],[Work Completion time on fault]]-TA[[#This Row],[Fault Time]])*24</f>
        <v>0</v>
      </c>
      <c r="AD586" s="27">
        <f>IFERROR((TA[[#This Row],[Work Completion time on fault]]-TA[[#This Row],[Fault Time]])*24,"")</f>
        <v>0</v>
      </c>
      <c r="AE586" t="s">
        <v>319</v>
      </c>
      <c r="AF586" t="s">
        <v>247</v>
      </c>
      <c r="AG586" s="2"/>
      <c r="AH586" s="35">
        <f>1-COS(RADIANS(TA[[#This Row],[Avg. Target Angle during Fault Time (Radians)]]-TA[[#This Row],[Angle of affected equipment ]]))</f>
        <v>0.11705240714107301</v>
      </c>
      <c r="AI586" s="27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43">
        <f t="shared" si="30"/>
        <v>2026</v>
      </c>
      <c r="C587" s="116">
        <f t="shared" si="31"/>
        <v>2025</v>
      </c>
      <c r="D587" s="2" t="s">
        <v>155</v>
      </c>
      <c r="E587" s="2" t="s">
        <v>155</v>
      </c>
      <c r="F587" s="30">
        <v>45778</v>
      </c>
      <c r="G587" s="2">
        <f>DAY(EOMONTH(TA[[#This Row],[Month Year]],0))</f>
        <v>31</v>
      </c>
      <c r="H587" s="21">
        <v>45784</v>
      </c>
      <c r="I587" s="32">
        <f>IFERROR(VLOOKUP(TA[[#This Row],[Date]],Raw_Data[[Date]:[Sunset Time (POA&lt;20 W/m2)]],3,0),"")</f>
        <v>0.25208333333333333</v>
      </c>
      <c r="J587" s="32">
        <f>IFERROR(VLOOKUP(TA[[#This Row],[Date]],Raw_Data[[Date]:[Sunset Time (POA&lt;20 W/m2)]],4,0),"")</f>
        <v>0.76944444444444449</v>
      </c>
      <c r="K587" s="27">
        <f>IFERROR((TA[[#This Row],[Sunset Time (POA&lt;20 W/m2)]]-TA[[#This Row],[Sunrise Time (POA&gt;20 W/m2)]])*24,"")</f>
        <v>12.416666666666668</v>
      </c>
      <c r="L587" s="2" t="s">
        <v>287</v>
      </c>
      <c r="M587" s="33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314</v>
      </c>
      <c r="Q587" s="2" t="s">
        <v>320</v>
      </c>
      <c r="R587">
        <v>47</v>
      </c>
      <c r="S587" s="2">
        <v>18</v>
      </c>
      <c r="T587" t="s">
        <v>288</v>
      </c>
      <c r="U587" t="s">
        <v>291</v>
      </c>
      <c r="V587" t="s">
        <v>292</v>
      </c>
      <c r="W587" s="32"/>
      <c r="X587" s="32"/>
      <c r="Y587" s="26"/>
      <c r="Z587" s="26"/>
      <c r="AA587" s="27">
        <f>IF(TA[[#This Row],[Work Start time on Fault]]="NA","",(TA[[#This Row],[Fault Acknowledgement Time ]]-TA[[#This Row],[Fault Time]])*24)</f>
        <v>0</v>
      </c>
      <c r="AB587" s="27">
        <f>(TA[[#This Row],[Work Start time on Fault]]-TA[[#This Row],[Fault Time]])*24</f>
        <v>0</v>
      </c>
      <c r="AC587" s="26">
        <f>(TA[[#This Row],[Work Completion time on fault]]-TA[[#This Row],[Fault Time]])*24</f>
        <v>0</v>
      </c>
      <c r="AD587" s="27">
        <f>IFERROR((TA[[#This Row],[Work Completion time on fault]]-TA[[#This Row],[Fault Time]])*24,"")</f>
        <v>0</v>
      </c>
      <c r="AE587" t="s">
        <v>319</v>
      </c>
      <c r="AF587" t="s">
        <v>247</v>
      </c>
      <c r="AG587" s="2"/>
      <c r="AH587" s="35">
        <f>1-COS(RADIANS(TA[[#This Row],[Avg. Target Angle during Fault Time (Radians)]]-TA[[#This Row],[Angle of affected equipment ]]))</f>
        <v>0.11705240714107301</v>
      </c>
      <c r="AI587" s="27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43">
        <f t="shared" si="30"/>
        <v>2026</v>
      </c>
      <c r="C588" s="116">
        <f t="shared" si="31"/>
        <v>2025</v>
      </c>
      <c r="D588" s="2" t="s">
        <v>155</v>
      </c>
      <c r="E588" s="2" t="s">
        <v>155</v>
      </c>
      <c r="F588" s="30">
        <v>45778</v>
      </c>
      <c r="G588" s="2">
        <f>DAY(EOMONTH(TA[[#This Row],[Month Year]],0))</f>
        <v>31</v>
      </c>
      <c r="H588" s="21">
        <v>45784</v>
      </c>
      <c r="I588" s="32">
        <f>IFERROR(VLOOKUP(TA[[#This Row],[Date]],Raw_Data[[Date]:[Sunset Time (POA&lt;20 W/m2)]],3,0),"")</f>
        <v>0.25208333333333333</v>
      </c>
      <c r="J588" s="32">
        <f>IFERROR(VLOOKUP(TA[[#This Row],[Date]],Raw_Data[[Date]:[Sunset Time (POA&lt;20 W/m2)]],4,0),"")</f>
        <v>0.76944444444444449</v>
      </c>
      <c r="K588" s="27">
        <f>IFERROR((TA[[#This Row],[Sunset Time (POA&lt;20 W/m2)]]-TA[[#This Row],[Sunrise Time (POA&gt;20 W/m2)]])*24,"")</f>
        <v>12.416666666666668</v>
      </c>
      <c r="L588" s="2" t="s">
        <v>287</v>
      </c>
      <c r="M588" s="33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321</v>
      </c>
      <c r="Q588" s="2" t="s">
        <v>314</v>
      </c>
      <c r="R588">
        <v>30</v>
      </c>
      <c r="S588" s="2">
        <v>57</v>
      </c>
      <c r="T588" t="s">
        <v>288</v>
      </c>
      <c r="U588" t="s">
        <v>291</v>
      </c>
      <c r="V588" t="s">
        <v>292</v>
      </c>
      <c r="W588" s="32"/>
      <c r="X588" s="32"/>
      <c r="Y588" s="26"/>
      <c r="Z588" s="26"/>
      <c r="AA588" s="27">
        <f>IF(TA[[#This Row],[Work Start time on Fault]]="NA","",(TA[[#This Row],[Fault Acknowledgement Time ]]-TA[[#This Row],[Fault Time]])*24)</f>
        <v>0</v>
      </c>
      <c r="AB588" s="27">
        <f>(TA[[#This Row],[Work Start time on Fault]]-TA[[#This Row],[Fault Time]])*24</f>
        <v>0</v>
      </c>
      <c r="AC588" s="26">
        <f>(TA[[#This Row],[Work Completion time on fault]]-TA[[#This Row],[Fault Time]])*24</f>
        <v>0</v>
      </c>
      <c r="AD588" s="27">
        <f>IFERROR((TA[[#This Row],[Work Completion time on fault]]-TA[[#This Row],[Fault Time]])*24,"")</f>
        <v>0</v>
      </c>
      <c r="AE588" t="s">
        <v>319</v>
      </c>
      <c r="AF588" t="s">
        <v>247</v>
      </c>
      <c r="AG588" s="2"/>
      <c r="AH588" s="35">
        <f>1-COS(RADIANS(TA[[#This Row],[Avg. Target Angle during Fault Time (Radians)]]-TA[[#This Row],[Angle of affected equipment ]]))</f>
        <v>0.11705240714107301</v>
      </c>
      <c r="AI588" s="27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43">
        <f t="shared" si="30"/>
        <v>2026</v>
      </c>
      <c r="C589" s="116">
        <f t="shared" si="31"/>
        <v>2025</v>
      </c>
      <c r="D589" s="2" t="s">
        <v>155</v>
      </c>
      <c r="E589" s="2" t="s">
        <v>155</v>
      </c>
      <c r="F589" s="30">
        <v>45778</v>
      </c>
      <c r="G589" s="2">
        <f>DAY(EOMONTH(TA[[#This Row],[Month Year]],0))</f>
        <v>31</v>
      </c>
      <c r="H589" s="21">
        <v>45784</v>
      </c>
      <c r="I589" s="32">
        <f>IFERROR(VLOOKUP(TA[[#This Row],[Date]],Raw_Data[[Date]:[Sunset Time (POA&lt;20 W/m2)]],3,0),"")</f>
        <v>0.25208333333333333</v>
      </c>
      <c r="J589" s="32">
        <f>IFERROR(VLOOKUP(TA[[#This Row],[Date]],Raw_Data[[Date]:[Sunset Time (POA&lt;20 W/m2)]],4,0),"")</f>
        <v>0.76944444444444449</v>
      </c>
      <c r="K589" s="27">
        <f>IFERROR((TA[[#This Row],[Sunset Time (POA&lt;20 W/m2)]]-TA[[#This Row],[Sunrise Time (POA&gt;20 W/m2)]])*24,"")</f>
        <v>12.416666666666668</v>
      </c>
      <c r="L589" s="2" t="s">
        <v>287</v>
      </c>
      <c r="M589" s="33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321</v>
      </c>
      <c r="Q589" s="2" t="s">
        <v>314</v>
      </c>
      <c r="R589">
        <v>31</v>
      </c>
      <c r="S589" s="2">
        <v>61</v>
      </c>
      <c r="T589" t="s">
        <v>288</v>
      </c>
      <c r="U589" t="s">
        <v>291</v>
      </c>
      <c r="V589" t="s">
        <v>292</v>
      </c>
      <c r="W589" s="32"/>
      <c r="X589" s="32"/>
      <c r="Y589" s="26"/>
      <c r="Z589" s="26"/>
      <c r="AA589" s="27">
        <f>IF(TA[[#This Row],[Work Start time on Fault]]="NA","",(TA[[#This Row],[Fault Acknowledgement Time ]]-TA[[#This Row],[Fault Time]])*24)</f>
        <v>0</v>
      </c>
      <c r="AB589" s="27">
        <f>(TA[[#This Row],[Work Start time on Fault]]-TA[[#This Row],[Fault Time]])*24</f>
        <v>0</v>
      </c>
      <c r="AC589" s="26">
        <f>(TA[[#This Row],[Work Completion time on fault]]-TA[[#This Row],[Fault Time]])*24</f>
        <v>0</v>
      </c>
      <c r="AD589" s="27">
        <f>IFERROR((TA[[#This Row],[Work Completion time on fault]]-TA[[#This Row],[Fault Time]])*24,"")</f>
        <v>0</v>
      </c>
      <c r="AE589" t="s">
        <v>319</v>
      </c>
      <c r="AF589" t="s">
        <v>247</v>
      </c>
      <c r="AG589" s="2"/>
      <c r="AH589" s="35">
        <f>1-COS(RADIANS(TA[[#This Row],[Avg. Target Angle during Fault Time (Radians)]]-TA[[#This Row],[Angle of affected equipment ]]))</f>
        <v>0.11705240714107301</v>
      </c>
      <c r="AI589" s="27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43">
        <f t="shared" si="30"/>
        <v>2026</v>
      </c>
      <c r="C590" s="116">
        <f t="shared" si="31"/>
        <v>2025</v>
      </c>
      <c r="D590" s="2" t="s">
        <v>155</v>
      </c>
      <c r="E590" s="2" t="s">
        <v>155</v>
      </c>
      <c r="F590" s="30">
        <v>45778</v>
      </c>
      <c r="G590" s="2">
        <f>DAY(EOMONTH(TA[[#This Row],[Month Year]],0))</f>
        <v>31</v>
      </c>
      <c r="H590" s="21">
        <v>45784</v>
      </c>
      <c r="I590" s="32">
        <f>IFERROR(VLOOKUP(TA[[#This Row],[Date]],Raw_Data[[Date]:[Sunset Time (POA&lt;20 W/m2)]],3,0),"")</f>
        <v>0.25208333333333333</v>
      </c>
      <c r="J590" s="32">
        <f>IFERROR(VLOOKUP(TA[[#This Row],[Date]],Raw_Data[[Date]:[Sunset Time (POA&lt;20 W/m2)]],4,0),"")</f>
        <v>0.76944444444444449</v>
      </c>
      <c r="K590" s="27">
        <f>IFERROR((TA[[#This Row],[Sunset Time (POA&lt;20 W/m2)]]-TA[[#This Row],[Sunrise Time (POA&gt;20 W/m2)]])*24,"")</f>
        <v>12.416666666666668</v>
      </c>
      <c r="L590" s="2" t="s">
        <v>303</v>
      </c>
      <c r="M590" s="33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321</v>
      </c>
      <c r="Q590" s="2" t="s">
        <v>314</v>
      </c>
      <c r="R590">
        <v>26</v>
      </c>
      <c r="S590" s="2">
        <v>37</v>
      </c>
      <c r="T590" t="s">
        <v>288</v>
      </c>
      <c r="U590" t="s">
        <v>291</v>
      </c>
      <c r="V590" t="s">
        <v>292</v>
      </c>
      <c r="W590" s="32"/>
      <c r="X590" s="32"/>
      <c r="Y590" s="26"/>
      <c r="Z590" s="26"/>
      <c r="AA590" s="27">
        <f>IF(TA[[#This Row],[Work Start time on Fault]]="NA","",(TA[[#This Row],[Fault Acknowledgement Time ]]-TA[[#This Row],[Fault Time]])*24)</f>
        <v>0</v>
      </c>
      <c r="AB590" s="27">
        <f>(TA[[#This Row],[Work Start time on Fault]]-TA[[#This Row],[Fault Time]])*24</f>
        <v>0</v>
      </c>
      <c r="AC590" s="26">
        <f>(TA[[#This Row],[Work Completion time on fault]]-TA[[#This Row],[Fault Time]])*24</f>
        <v>0</v>
      </c>
      <c r="AD590" s="27">
        <f>IFERROR((TA[[#This Row],[Work Completion time on fault]]-TA[[#This Row],[Fault Time]])*24,"")</f>
        <v>0</v>
      </c>
      <c r="AE590" t="s">
        <v>319</v>
      </c>
      <c r="AF590" t="s">
        <v>247</v>
      </c>
      <c r="AG590" s="2"/>
      <c r="AH590" s="35">
        <f>1-COS(RADIANS(TA[[#This Row],[Avg. Target Angle during Fault Time (Radians)]]-TA[[#This Row],[Angle of affected equipment ]]))</f>
        <v>0.11705240714107301</v>
      </c>
      <c r="AI590" s="27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43">
        <f t="shared" si="30"/>
        <v>2026</v>
      </c>
      <c r="C591" s="116">
        <f t="shared" si="31"/>
        <v>2025</v>
      </c>
      <c r="D591" s="2" t="s">
        <v>155</v>
      </c>
      <c r="E591" s="2" t="s">
        <v>155</v>
      </c>
      <c r="F591" s="30">
        <v>45778</v>
      </c>
      <c r="G591" s="2">
        <f>DAY(EOMONTH(TA[[#This Row],[Month Year]],0))</f>
        <v>31</v>
      </c>
      <c r="H591" s="21">
        <v>45784</v>
      </c>
      <c r="I591" s="32">
        <f>IFERROR(VLOOKUP(TA[[#This Row],[Date]],Raw_Data[[Date]:[Sunset Time (POA&lt;20 W/m2)]],3,0),"")</f>
        <v>0.25208333333333333</v>
      </c>
      <c r="J591" s="32">
        <f>IFERROR(VLOOKUP(TA[[#This Row],[Date]],Raw_Data[[Date]:[Sunset Time (POA&lt;20 W/m2)]],4,0),"")</f>
        <v>0.76944444444444449</v>
      </c>
      <c r="K591" s="27">
        <f>IFERROR((TA[[#This Row],[Sunset Time (POA&lt;20 W/m2)]]-TA[[#This Row],[Sunrise Time (POA&gt;20 W/m2)]])*24,"")</f>
        <v>12.416666666666668</v>
      </c>
      <c r="L591" s="2" t="s">
        <v>303</v>
      </c>
      <c r="M591" s="33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321</v>
      </c>
      <c r="Q591" s="2" t="s">
        <v>314</v>
      </c>
      <c r="R591">
        <v>27</v>
      </c>
      <c r="S591" s="2">
        <v>42</v>
      </c>
      <c r="T591" t="s">
        <v>288</v>
      </c>
      <c r="U591" t="s">
        <v>291</v>
      </c>
      <c r="V591" t="s">
        <v>292</v>
      </c>
      <c r="W591" s="32">
        <f>IFERROR(VLOOKUP(TA[[#This Row],[Date]],Raw_Data[[Date]:[Sunset Time (POA&lt;20 W/m2)]],3,0),"")</f>
        <v>0.25208333333333333</v>
      </c>
      <c r="X591" s="32">
        <f>IFERROR(VLOOKUP(TA[[#This Row],[Date]],Raw_Data[[Date]:[Sunset Time (POA&lt;20 W/m2)]],3,0),"")</f>
        <v>0.25208333333333333</v>
      </c>
      <c r="Y591" s="26"/>
      <c r="Z591" s="26">
        <v>0.76041666666666663</v>
      </c>
      <c r="AA591" s="27">
        <f>IF(TA[[#This Row],[Work Start time on Fault]]="NA","",(TA[[#This Row],[Fault Acknowledgement Time ]]-TA[[#This Row],[Fault Time]])*24)</f>
        <v>0</v>
      </c>
      <c r="AB591" s="27">
        <f>(TA[[#This Row],[Work Start time on Fault]]-TA[[#This Row],[Fault Time]])*24</f>
        <v>-6.05</v>
      </c>
      <c r="AC591" s="26">
        <f>(TA[[#This Row],[Work Completion time on fault]]-TA[[#This Row],[Fault Time]])*24</f>
        <v>12.2</v>
      </c>
      <c r="AD591" s="27">
        <f>IFERROR((TA[[#This Row],[Work Completion time on fault]]-TA[[#This Row],[Fault Time]])*24,"")</f>
        <v>12.2</v>
      </c>
      <c r="AE591" t="s">
        <v>300</v>
      </c>
      <c r="AF591" t="s">
        <v>247</v>
      </c>
      <c r="AG591" s="2"/>
      <c r="AH591" s="35">
        <f>1-COS(RADIANS(TA[[#This Row],[Avg. Target Angle during Fault Time (Radians)]]-TA[[#This Row],[Angle of affected equipment ]]))</f>
        <v>0.11705240714107301</v>
      </c>
      <c r="AI591" s="27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43">
        <f t="shared" ref="B592:B605" si="32">YEAR(H592)+IF(MONTH(H592)&gt;=4,1,0)</f>
        <v>2026</v>
      </c>
      <c r="C592" s="116">
        <f t="shared" ref="C592:C605" si="33">YEAR(H592)</f>
        <v>2025</v>
      </c>
      <c r="D592" s="2" t="s">
        <v>155</v>
      </c>
      <c r="E592" s="2" t="s">
        <v>155</v>
      </c>
      <c r="F592" s="30">
        <v>45778</v>
      </c>
      <c r="G592" s="2">
        <f>DAY(EOMONTH(TA[[#This Row],[Month Year]],0))</f>
        <v>31</v>
      </c>
      <c r="H592" s="21">
        <v>45785</v>
      </c>
      <c r="I592" s="32">
        <f>IFERROR(VLOOKUP(TA[[#This Row],[Date]],Raw_Data[[Date]:[Sunset Time (POA&lt;20 W/m2)]],3,0),"")</f>
        <v>0.25208333333333333</v>
      </c>
      <c r="J592" s="32">
        <f>IFERROR(VLOOKUP(TA[[#This Row],[Date]],Raw_Data[[Date]:[Sunset Time (POA&lt;20 W/m2)]],4,0),"")</f>
        <v>0.77222222222222225</v>
      </c>
      <c r="K592" s="27">
        <f>IFERROR((TA[[#This Row],[Sunset Time (POA&lt;20 W/m2)]]-TA[[#This Row],[Sunrise Time (POA&gt;20 W/m2)]])*24,"")</f>
        <v>12.483333333333334</v>
      </c>
      <c r="L592" s="2" t="s">
        <v>285</v>
      </c>
      <c r="M592" s="33">
        <f>IFERROR(VLOOKUP(TA[[#This Row],[Affected Equipment]],'Basic Data'!$I$2:$K$40,3,0),"")</f>
        <v>1.7241379310344799E-3</v>
      </c>
      <c r="N592">
        <v>-28</v>
      </c>
      <c r="O592" t="s">
        <v>135</v>
      </c>
      <c r="P592" s="114" t="s">
        <v>309</v>
      </c>
      <c r="Q592" s="113" t="s">
        <v>309</v>
      </c>
      <c r="R592">
        <v>130</v>
      </c>
      <c r="S592" s="2">
        <v>37</v>
      </c>
      <c r="T592" t="s">
        <v>286</v>
      </c>
      <c r="U592" t="s">
        <v>291</v>
      </c>
      <c r="V592" t="s">
        <v>289</v>
      </c>
      <c r="W592" s="32"/>
      <c r="X592" s="32"/>
      <c r="Y592" s="26"/>
      <c r="Z592" s="26"/>
      <c r="AA592" s="27">
        <f>IF(TA[[#This Row],[Work Start time on Fault]]="NA","",(TA[[#This Row],[Fault Acknowledgement Time ]]-TA[[#This Row],[Fault Time]])*24)</f>
        <v>0</v>
      </c>
      <c r="AB592" s="27">
        <f>(TA[[#This Row],[Work Start time on Fault]]-TA[[#This Row],[Fault Time]])*24</f>
        <v>0</v>
      </c>
      <c r="AC592" s="26">
        <f>(TA[[#This Row],[Work Completion time on fault]]-TA[[#This Row],[Fault Time]])*24</f>
        <v>0</v>
      </c>
      <c r="AD592" s="27">
        <f>IFERROR((TA[[#This Row],[Work Completion time on fault]]-TA[[#This Row],[Fault Time]])*24,"")</f>
        <v>0</v>
      </c>
      <c r="AE592" t="s">
        <v>319</v>
      </c>
      <c r="AF592" t="s">
        <v>247</v>
      </c>
      <c r="AG592" s="2"/>
      <c r="AH592" s="35">
        <f>1-COS(RADIANS(TA[[#This Row],[Avg. Target Angle during Fault Time (Radians)]]-TA[[#This Row],[Angle of affected equipment ]]))</f>
        <v>0.11705240714107301</v>
      </c>
      <c r="AI592" s="27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43">
        <f t="shared" si="32"/>
        <v>2026</v>
      </c>
      <c r="C593" s="116">
        <f t="shared" si="33"/>
        <v>2025</v>
      </c>
      <c r="D593" s="2" t="s">
        <v>155</v>
      </c>
      <c r="E593" s="2" t="s">
        <v>155</v>
      </c>
      <c r="F593" s="30">
        <v>45778</v>
      </c>
      <c r="G593" s="2">
        <f>DAY(EOMONTH(TA[[#This Row],[Month Year]],0))</f>
        <v>31</v>
      </c>
      <c r="H593" s="21">
        <v>45785</v>
      </c>
      <c r="I593" s="32">
        <f>IFERROR(VLOOKUP(TA[[#This Row],[Date]],Raw_Data[[Date]:[Sunset Time (POA&lt;20 W/m2)]],3,0),"")</f>
        <v>0.25208333333333333</v>
      </c>
      <c r="J593" s="32">
        <f>IFERROR(VLOOKUP(TA[[#This Row],[Date]],Raw_Data[[Date]:[Sunset Time (POA&lt;20 W/m2)]],4,0),"")</f>
        <v>0.77222222222222225</v>
      </c>
      <c r="K593" s="27">
        <f>IFERROR((TA[[#This Row],[Sunset Time (POA&lt;20 W/m2)]]-TA[[#This Row],[Sunrise Time (POA&gt;20 W/m2)]])*24,"")</f>
        <v>12.483333333333334</v>
      </c>
      <c r="L593" s="2" t="s">
        <v>285</v>
      </c>
      <c r="M593" s="33">
        <f>IFERROR(VLOOKUP(TA[[#This Row],[Affected Equipment]],'Basic Data'!$I$2:$K$40,3,0),"")</f>
        <v>1.7241379310344799E-3</v>
      </c>
      <c r="N593">
        <v>-28</v>
      </c>
      <c r="O593" t="s">
        <v>135</v>
      </c>
      <c r="P593" s="114" t="s">
        <v>309</v>
      </c>
      <c r="Q593" s="113" t="s">
        <v>309</v>
      </c>
      <c r="R593">
        <v>131</v>
      </c>
      <c r="S593" s="2">
        <v>38</v>
      </c>
      <c r="T593" t="s">
        <v>286</v>
      </c>
      <c r="U593" t="s">
        <v>291</v>
      </c>
      <c r="V593" t="s">
        <v>289</v>
      </c>
      <c r="W593" s="32"/>
      <c r="X593" s="32"/>
      <c r="Y593" s="26"/>
      <c r="Z593" s="26"/>
      <c r="AA593" s="27">
        <f>IF(TA[[#This Row],[Work Start time on Fault]]="NA","",(TA[[#This Row],[Fault Acknowledgement Time ]]-TA[[#This Row],[Fault Time]])*24)</f>
        <v>0</v>
      </c>
      <c r="AB593" s="27">
        <f>(TA[[#This Row],[Work Start time on Fault]]-TA[[#This Row],[Fault Time]])*24</f>
        <v>0</v>
      </c>
      <c r="AC593" s="26">
        <f>(TA[[#This Row],[Work Completion time on fault]]-TA[[#This Row],[Fault Time]])*24</f>
        <v>0</v>
      </c>
      <c r="AD593" s="27">
        <f>IFERROR((TA[[#This Row],[Work Completion time on fault]]-TA[[#This Row],[Fault Time]])*24,"")</f>
        <v>0</v>
      </c>
      <c r="AE593" t="s">
        <v>319</v>
      </c>
      <c r="AF593" t="s">
        <v>247</v>
      </c>
      <c r="AG593" s="2"/>
      <c r="AH593" s="35">
        <f>1-COS(RADIANS(TA[[#This Row],[Avg. Target Angle during Fault Time (Radians)]]-TA[[#This Row],[Angle of affected equipment ]]))</f>
        <v>0.11705240714107301</v>
      </c>
      <c r="AI593" s="27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43">
        <f t="shared" si="32"/>
        <v>2026</v>
      </c>
      <c r="C594" s="116">
        <f t="shared" si="33"/>
        <v>2025</v>
      </c>
      <c r="D594" s="2" t="s">
        <v>155</v>
      </c>
      <c r="E594" s="2" t="s">
        <v>155</v>
      </c>
      <c r="F594" s="30">
        <v>45778</v>
      </c>
      <c r="G594" s="2">
        <f>DAY(EOMONTH(TA[[#This Row],[Month Year]],0))</f>
        <v>31</v>
      </c>
      <c r="H594" s="21">
        <v>45785</v>
      </c>
      <c r="I594" s="32">
        <f>IFERROR(VLOOKUP(TA[[#This Row],[Date]],Raw_Data[[Date]:[Sunset Time (POA&lt;20 W/m2)]],3,0),"")</f>
        <v>0.25208333333333333</v>
      </c>
      <c r="J594" s="32">
        <f>IFERROR(VLOOKUP(TA[[#This Row],[Date]],Raw_Data[[Date]:[Sunset Time (POA&lt;20 W/m2)]],4,0),"")</f>
        <v>0.77222222222222225</v>
      </c>
      <c r="K594" s="27">
        <f>IFERROR((TA[[#This Row],[Sunset Time (POA&lt;20 W/m2)]]-TA[[#This Row],[Sunrise Time (POA&gt;20 W/m2)]])*24,"")</f>
        <v>12.483333333333334</v>
      </c>
      <c r="L594" s="2" t="s">
        <v>285</v>
      </c>
      <c r="M594" s="33">
        <f>IFERROR(VLOOKUP(TA[[#This Row],[Affected Equipment]],'Basic Data'!$I$2:$K$40,3,0),"")</f>
        <v>1.7241379310344799E-3</v>
      </c>
      <c r="N594">
        <v>-28</v>
      </c>
      <c r="O594" t="s">
        <v>135</v>
      </c>
      <c r="P594" s="114" t="s">
        <v>309</v>
      </c>
      <c r="Q594" s="113" t="s">
        <v>309</v>
      </c>
      <c r="R594">
        <v>131</v>
      </c>
      <c r="S594" s="2">
        <v>39</v>
      </c>
      <c r="T594" t="s">
        <v>286</v>
      </c>
      <c r="U594" t="s">
        <v>291</v>
      </c>
      <c r="V594" t="s">
        <v>289</v>
      </c>
      <c r="W594" s="32"/>
      <c r="X594" s="32"/>
      <c r="Y594" s="26"/>
      <c r="Z594" s="26"/>
      <c r="AA594" s="27">
        <f>IF(TA[[#This Row],[Work Start time on Fault]]="NA","",(TA[[#This Row],[Fault Acknowledgement Time ]]-TA[[#This Row],[Fault Time]])*24)</f>
        <v>0</v>
      </c>
      <c r="AB594" s="27">
        <f>(TA[[#This Row],[Work Start time on Fault]]-TA[[#This Row],[Fault Time]])*24</f>
        <v>0</v>
      </c>
      <c r="AC594" s="26">
        <f>(TA[[#This Row],[Work Completion time on fault]]-TA[[#This Row],[Fault Time]])*24</f>
        <v>0</v>
      </c>
      <c r="AD594" s="27">
        <f>IFERROR((TA[[#This Row],[Work Completion time on fault]]-TA[[#This Row],[Fault Time]])*24,"")</f>
        <v>0</v>
      </c>
      <c r="AE594" t="s">
        <v>319</v>
      </c>
      <c r="AF594" t="s">
        <v>247</v>
      </c>
      <c r="AG594" s="2"/>
      <c r="AH594" s="35">
        <f>1-COS(RADIANS(TA[[#This Row],[Avg. Target Angle during Fault Time (Radians)]]-TA[[#This Row],[Angle of affected equipment ]]))</f>
        <v>0.11705240714107301</v>
      </c>
      <c r="AI594" s="27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43">
        <f t="shared" si="32"/>
        <v>2026</v>
      </c>
      <c r="C595" s="116">
        <f t="shared" si="33"/>
        <v>2025</v>
      </c>
      <c r="D595" s="2" t="s">
        <v>155</v>
      </c>
      <c r="E595" s="2" t="s">
        <v>155</v>
      </c>
      <c r="F595" s="30">
        <v>45778</v>
      </c>
      <c r="G595" s="2">
        <f>DAY(EOMONTH(TA[[#This Row],[Month Year]],0))</f>
        <v>31</v>
      </c>
      <c r="H595" s="21">
        <v>45785</v>
      </c>
      <c r="I595" s="32">
        <f>IFERROR(VLOOKUP(TA[[#This Row],[Date]],Raw_Data[[Date]:[Sunset Time (POA&lt;20 W/m2)]],3,0),"")</f>
        <v>0.25208333333333333</v>
      </c>
      <c r="J595" s="32">
        <f>IFERROR(VLOOKUP(TA[[#This Row],[Date]],Raw_Data[[Date]:[Sunset Time (POA&lt;20 W/m2)]],4,0),"")</f>
        <v>0.77222222222222225</v>
      </c>
      <c r="K595" s="27">
        <f>IFERROR((TA[[#This Row],[Sunset Time (POA&lt;20 W/m2)]]-TA[[#This Row],[Sunrise Time (POA&gt;20 W/m2)]])*24,"")</f>
        <v>12.483333333333334</v>
      </c>
      <c r="L595" s="2" t="s">
        <v>287</v>
      </c>
      <c r="M595" s="33">
        <f>IFERROR(VLOOKUP(TA[[#This Row],[Affected Equipment]],'Basic Data'!$I$2:$K$40,3,0),"")</f>
        <v>8.6206896551724102E-3</v>
      </c>
      <c r="N595">
        <v>-28</v>
      </c>
      <c r="O595" t="s">
        <v>135</v>
      </c>
      <c r="P595" s="114" t="s">
        <v>309</v>
      </c>
      <c r="Q595" s="2" t="s">
        <v>312</v>
      </c>
      <c r="R595">
        <v>133</v>
      </c>
      <c r="S595" s="2">
        <v>26</v>
      </c>
      <c r="T595" t="s">
        <v>288</v>
      </c>
      <c r="U595" t="s">
        <v>291</v>
      </c>
      <c r="V595" t="s">
        <v>305</v>
      </c>
      <c r="W595" s="32">
        <f>IFERROR(VLOOKUP(TA[[#This Row],[Date]],Raw_Data[[Date]:[Sunset Time (POA&lt;20 W/m2)]],3,0),"")</f>
        <v>0.25208333333333333</v>
      </c>
      <c r="X595" s="32">
        <f>IFERROR(VLOOKUP(TA[[#This Row],[Date]],Raw_Data[[Date]:[Sunset Time (POA&lt;20 W/m2)]],3,0),"")</f>
        <v>0.25208333333333333</v>
      </c>
      <c r="Y595" s="26"/>
      <c r="Z595" s="26">
        <v>0.76041666666666663</v>
      </c>
      <c r="AA595" s="27">
        <f>IF(TA[[#This Row],[Work Start time on Fault]]="NA","",(TA[[#This Row],[Fault Acknowledgement Time ]]-TA[[#This Row],[Fault Time]])*24)</f>
        <v>0</v>
      </c>
      <c r="AB595" s="27">
        <f>(TA[[#This Row],[Work Start time on Fault]]-TA[[#This Row],[Fault Time]])*24</f>
        <v>-6.05</v>
      </c>
      <c r="AC595" s="26">
        <f>(TA[[#This Row],[Work Completion time on fault]]-TA[[#This Row],[Fault Time]])*24</f>
        <v>12.2</v>
      </c>
      <c r="AD595" s="27">
        <f>IFERROR((TA[[#This Row],[Work Completion time on fault]]-TA[[#This Row],[Fault Time]])*24,"")</f>
        <v>12.2</v>
      </c>
      <c r="AE595" t="s">
        <v>319</v>
      </c>
      <c r="AF595" t="s">
        <v>247</v>
      </c>
      <c r="AG595" s="2"/>
      <c r="AH595" s="35">
        <f>1-COS(RADIANS(TA[[#This Row],[Avg. Target Angle during Fault Time (Radians)]]-TA[[#This Row],[Angle of affected equipment ]]))</f>
        <v>0.11705240714107301</v>
      </c>
      <c r="AI595" s="27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43">
        <f t="shared" si="32"/>
        <v>2026</v>
      </c>
      <c r="C596" s="116">
        <f t="shared" si="33"/>
        <v>2025</v>
      </c>
      <c r="D596" s="2" t="s">
        <v>155</v>
      </c>
      <c r="E596" s="2" t="s">
        <v>155</v>
      </c>
      <c r="F596" s="30">
        <v>45778</v>
      </c>
      <c r="G596" s="2">
        <f>DAY(EOMONTH(TA[[#This Row],[Month Year]],0))</f>
        <v>31</v>
      </c>
      <c r="H596" s="21">
        <v>45785</v>
      </c>
      <c r="I596" s="32">
        <f>IFERROR(VLOOKUP(TA[[#This Row],[Date]],Raw_Data[[Date]:[Sunset Time (POA&lt;20 W/m2)]],3,0),"")</f>
        <v>0.25208333333333333</v>
      </c>
      <c r="J596" s="32">
        <f>IFERROR(VLOOKUP(TA[[#This Row],[Date]],Raw_Data[[Date]:[Sunset Time (POA&lt;20 W/m2)]],4,0),"")</f>
        <v>0.77222222222222225</v>
      </c>
      <c r="K596" s="27">
        <f>IFERROR((TA[[#This Row],[Sunset Time (POA&lt;20 W/m2)]]-TA[[#This Row],[Sunrise Time (POA&gt;20 W/m2)]])*24,"")</f>
        <v>12.483333333333334</v>
      </c>
      <c r="L596" s="2" t="s">
        <v>285</v>
      </c>
      <c r="M596" s="33">
        <f>IFERROR(VLOOKUP(TA[[#This Row],[Affected Equipment]],'Basic Data'!$I$2:$K$40,3,0),"")</f>
        <v>1.7241379310344799E-3</v>
      </c>
      <c r="N596">
        <v>-28</v>
      </c>
      <c r="O596" t="s">
        <v>133</v>
      </c>
      <c r="P596" s="114" t="s">
        <v>307</v>
      </c>
      <c r="Q596" s="113" t="s">
        <v>308</v>
      </c>
      <c r="R596">
        <v>7</v>
      </c>
      <c r="S596" s="2">
        <v>32</v>
      </c>
      <c r="T596" t="s">
        <v>286</v>
      </c>
      <c r="U596" t="s">
        <v>291</v>
      </c>
      <c r="V596" t="s">
        <v>289</v>
      </c>
      <c r="W596" s="32"/>
      <c r="X596" s="32"/>
      <c r="Y596" s="26"/>
      <c r="Z596" s="26"/>
      <c r="AA596" s="27">
        <f>IF(TA[[#This Row],[Work Start time on Fault]]="NA","",(TA[[#This Row],[Fault Acknowledgement Time ]]-TA[[#This Row],[Fault Time]])*24)</f>
        <v>0</v>
      </c>
      <c r="AB596" s="27">
        <f>(TA[[#This Row],[Work Start time on Fault]]-TA[[#This Row],[Fault Time]])*24</f>
        <v>0</v>
      </c>
      <c r="AC596" s="26">
        <f>(TA[[#This Row],[Work Completion time on fault]]-TA[[#This Row],[Fault Time]])*24</f>
        <v>0</v>
      </c>
      <c r="AD596" s="27">
        <f>IFERROR((TA[[#This Row],[Work Completion time on fault]]-TA[[#This Row],[Fault Time]])*24,"")</f>
        <v>0</v>
      </c>
      <c r="AE596" t="s">
        <v>319</v>
      </c>
      <c r="AF596" t="s">
        <v>247</v>
      </c>
      <c r="AG596" s="2"/>
      <c r="AH596" s="35">
        <f>1-COS(RADIANS(TA[[#This Row],[Avg. Target Angle during Fault Time (Radians)]]-TA[[#This Row],[Angle of affected equipment ]]))</f>
        <v>0.11705240714107301</v>
      </c>
      <c r="AI596" s="27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43">
        <f t="shared" si="32"/>
        <v>2026</v>
      </c>
      <c r="C597" s="116">
        <f t="shared" si="33"/>
        <v>2025</v>
      </c>
      <c r="D597" s="2" t="s">
        <v>155</v>
      </c>
      <c r="E597" s="2" t="s">
        <v>155</v>
      </c>
      <c r="F597" s="30">
        <v>45778</v>
      </c>
      <c r="G597" s="2">
        <f>DAY(EOMONTH(TA[[#This Row],[Month Year]],0))</f>
        <v>31</v>
      </c>
      <c r="H597" s="21">
        <v>45785</v>
      </c>
      <c r="I597" s="32">
        <f>IFERROR(VLOOKUP(TA[[#This Row],[Date]],Raw_Data[[Date]:[Sunset Time (POA&lt;20 W/m2)]],3,0),"")</f>
        <v>0.25208333333333333</v>
      </c>
      <c r="J597" s="32">
        <f>IFERROR(VLOOKUP(TA[[#This Row],[Date]],Raw_Data[[Date]:[Sunset Time (POA&lt;20 W/m2)]],4,0),"")</f>
        <v>0.77222222222222225</v>
      </c>
      <c r="K597" s="27">
        <f>IFERROR((TA[[#This Row],[Sunset Time (POA&lt;20 W/m2)]]-TA[[#This Row],[Sunrise Time (POA&gt;20 W/m2)]])*24,"")</f>
        <v>12.483333333333334</v>
      </c>
      <c r="L597" s="2" t="s">
        <v>285</v>
      </c>
      <c r="M597" s="33">
        <f>IFERROR(VLOOKUP(TA[[#This Row],[Affected Equipment]],'Basic Data'!$I$2:$K$40,3,0),"")</f>
        <v>1.7241379310344799E-3</v>
      </c>
      <c r="N597">
        <v>-28</v>
      </c>
      <c r="O597" t="s">
        <v>137</v>
      </c>
      <c r="P597" s="114" t="s">
        <v>306</v>
      </c>
      <c r="Q597" s="113" t="s">
        <v>310</v>
      </c>
      <c r="R597">
        <v>166</v>
      </c>
      <c r="S597" s="2">
        <v>91</v>
      </c>
      <c r="T597" t="s">
        <v>286</v>
      </c>
      <c r="U597" t="s">
        <v>291</v>
      </c>
      <c r="V597" t="s">
        <v>289</v>
      </c>
      <c r="W597" s="32"/>
      <c r="X597" s="32"/>
      <c r="Y597" s="26"/>
      <c r="Z597" s="26"/>
      <c r="AA597" s="27">
        <f>IF(TA[[#This Row],[Work Start time on Fault]]="NA","",(TA[[#This Row],[Fault Acknowledgement Time ]]-TA[[#This Row],[Fault Time]])*24)</f>
        <v>0</v>
      </c>
      <c r="AB597" s="27">
        <f>(TA[[#This Row],[Work Start time on Fault]]-TA[[#This Row],[Fault Time]])*24</f>
        <v>0</v>
      </c>
      <c r="AC597" s="26">
        <f>(TA[[#This Row],[Work Completion time on fault]]-TA[[#This Row],[Fault Time]])*24</f>
        <v>0</v>
      </c>
      <c r="AD597" s="27">
        <f>IFERROR((TA[[#This Row],[Work Completion time on fault]]-TA[[#This Row],[Fault Time]])*24,"")</f>
        <v>0</v>
      </c>
      <c r="AE597" t="s">
        <v>319</v>
      </c>
      <c r="AF597" t="s">
        <v>247</v>
      </c>
      <c r="AG597" s="2"/>
      <c r="AH597" s="35">
        <f>1-COS(RADIANS(TA[[#This Row],[Avg. Target Angle during Fault Time (Radians)]]-TA[[#This Row],[Angle of affected equipment ]]))</f>
        <v>0.11705240714107301</v>
      </c>
      <c r="AI597" s="27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43">
        <f t="shared" si="32"/>
        <v>2026</v>
      </c>
      <c r="C598" s="116">
        <f t="shared" si="33"/>
        <v>2025</v>
      </c>
      <c r="D598" s="2" t="s">
        <v>155</v>
      </c>
      <c r="E598" s="2" t="s">
        <v>155</v>
      </c>
      <c r="F598" s="30">
        <v>45778</v>
      </c>
      <c r="G598" s="2">
        <f>DAY(EOMONTH(TA[[#This Row],[Month Year]],0))</f>
        <v>31</v>
      </c>
      <c r="H598" s="21">
        <v>45785</v>
      </c>
      <c r="I598" s="32">
        <f>IFERROR(VLOOKUP(TA[[#This Row],[Date]],Raw_Data[[Date]:[Sunset Time (POA&lt;20 W/m2)]],3,0),"")</f>
        <v>0.25208333333333333</v>
      </c>
      <c r="J598" s="32">
        <f>IFERROR(VLOOKUP(TA[[#This Row],[Date]],Raw_Data[[Date]:[Sunset Time (POA&lt;20 W/m2)]],4,0),"")</f>
        <v>0.77222222222222225</v>
      </c>
      <c r="K598" s="27">
        <f>IFERROR((TA[[#This Row],[Sunset Time (POA&lt;20 W/m2)]]-TA[[#This Row],[Sunrise Time (POA&gt;20 W/m2)]])*24,"")</f>
        <v>12.483333333333334</v>
      </c>
      <c r="L598" s="2" t="s">
        <v>285</v>
      </c>
      <c r="M598" s="33">
        <f>IFERROR(VLOOKUP(TA[[#This Row],[Affected Equipment]],'Basic Data'!$I$2:$K$40,3,0),"")</f>
        <v>1.7241379310344799E-3</v>
      </c>
      <c r="N598">
        <v>-28</v>
      </c>
      <c r="O598" t="s">
        <v>133</v>
      </c>
      <c r="P598" s="114" t="s">
        <v>307</v>
      </c>
      <c r="Q598" s="113" t="s">
        <v>307</v>
      </c>
      <c r="R598">
        <v>117</v>
      </c>
      <c r="S598" s="2">
        <v>20</v>
      </c>
      <c r="T598" t="s">
        <v>286</v>
      </c>
      <c r="U598" t="s">
        <v>291</v>
      </c>
      <c r="V598" t="s">
        <v>289</v>
      </c>
      <c r="W598" s="32"/>
      <c r="X598" s="32"/>
      <c r="Y598" s="26"/>
      <c r="Z598" s="26"/>
      <c r="AA598" s="27">
        <f>IF(TA[[#This Row],[Work Start time on Fault]]="NA","",(TA[[#This Row],[Fault Acknowledgement Time ]]-TA[[#This Row],[Fault Time]])*24)</f>
        <v>0</v>
      </c>
      <c r="AB598" s="27">
        <f>(TA[[#This Row],[Work Start time on Fault]]-TA[[#This Row],[Fault Time]])*24</f>
        <v>0</v>
      </c>
      <c r="AC598" s="26">
        <f>(TA[[#This Row],[Work Completion time on fault]]-TA[[#This Row],[Fault Time]])*24</f>
        <v>0</v>
      </c>
      <c r="AD598" s="27">
        <f>IFERROR((TA[[#This Row],[Work Completion time on fault]]-TA[[#This Row],[Fault Time]])*24,"")</f>
        <v>0</v>
      </c>
      <c r="AE598" t="s">
        <v>319</v>
      </c>
      <c r="AF598" t="s">
        <v>247</v>
      </c>
      <c r="AG598" s="2"/>
      <c r="AH598" s="35">
        <f>1-COS(RADIANS(TA[[#This Row],[Avg. Target Angle during Fault Time (Radians)]]-TA[[#This Row],[Angle of affected equipment ]]))</f>
        <v>0.11705240714107301</v>
      </c>
      <c r="AI598" s="27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43">
        <f t="shared" si="32"/>
        <v>2026</v>
      </c>
      <c r="C599" s="116">
        <f t="shared" si="33"/>
        <v>2025</v>
      </c>
      <c r="D599" s="2" t="s">
        <v>155</v>
      </c>
      <c r="E599" s="2" t="s">
        <v>155</v>
      </c>
      <c r="F599" s="30">
        <v>45778</v>
      </c>
      <c r="G599" s="2">
        <f>DAY(EOMONTH(TA[[#This Row],[Month Year]],0))</f>
        <v>31</v>
      </c>
      <c r="H599" s="21">
        <v>45785</v>
      </c>
      <c r="I599" s="32">
        <f>IFERROR(VLOOKUP(TA[[#This Row],[Date]],Raw_Data[[Date]:[Sunset Time (POA&lt;20 W/m2)]],3,0),"")</f>
        <v>0.25208333333333333</v>
      </c>
      <c r="J599" s="32">
        <f>IFERROR(VLOOKUP(TA[[#This Row],[Date]],Raw_Data[[Date]:[Sunset Time (POA&lt;20 W/m2)]],4,0),"")</f>
        <v>0.77222222222222225</v>
      </c>
      <c r="K599" s="27">
        <f>IFERROR((TA[[#This Row],[Sunset Time (POA&lt;20 W/m2)]]-TA[[#This Row],[Sunrise Time (POA&gt;20 W/m2)]])*24,"")</f>
        <v>12.483333333333334</v>
      </c>
      <c r="L599" s="2" t="s">
        <v>285</v>
      </c>
      <c r="M599" s="33">
        <f>IFERROR(VLOOKUP(TA[[#This Row],[Affected Equipment]],'Basic Data'!$I$2:$K$40,3,0),"")</f>
        <v>1.7241379310344799E-3</v>
      </c>
      <c r="N599">
        <v>-28</v>
      </c>
      <c r="O599" t="s">
        <v>133</v>
      </c>
      <c r="P599" s="114" t="s">
        <v>307</v>
      </c>
      <c r="Q599" s="113" t="s">
        <v>307</v>
      </c>
      <c r="R599">
        <v>118</v>
      </c>
      <c r="S599" s="2">
        <v>22</v>
      </c>
      <c r="T599" t="s">
        <v>286</v>
      </c>
      <c r="U599" t="s">
        <v>291</v>
      </c>
      <c r="V599" t="s">
        <v>289</v>
      </c>
      <c r="W599" s="32"/>
      <c r="X599" s="32"/>
      <c r="Y599" s="26"/>
      <c r="Z599" s="26"/>
      <c r="AA599" s="27">
        <f>IF(TA[[#This Row],[Work Start time on Fault]]="NA","",(TA[[#This Row],[Fault Acknowledgement Time ]]-TA[[#This Row],[Fault Time]])*24)</f>
        <v>0</v>
      </c>
      <c r="AB599" s="27">
        <f>(TA[[#This Row],[Work Start time on Fault]]-TA[[#This Row],[Fault Time]])*24</f>
        <v>0</v>
      </c>
      <c r="AC599" s="26">
        <f>(TA[[#This Row],[Work Completion time on fault]]-TA[[#This Row],[Fault Time]])*24</f>
        <v>0</v>
      </c>
      <c r="AD599" s="27">
        <f>IFERROR((TA[[#This Row],[Work Completion time on fault]]-TA[[#This Row],[Fault Time]])*24,"")</f>
        <v>0</v>
      </c>
      <c r="AE599" t="s">
        <v>319</v>
      </c>
      <c r="AF599" t="s">
        <v>247</v>
      </c>
      <c r="AG599" s="2"/>
      <c r="AH599" s="35">
        <f>1-COS(RADIANS(TA[[#This Row],[Avg. Target Angle during Fault Time (Radians)]]-TA[[#This Row],[Angle of affected equipment ]]))</f>
        <v>0.11705240714107301</v>
      </c>
      <c r="AI599" s="27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43">
        <f t="shared" si="32"/>
        <v>2026</v>
      </c>
      <c r="C600" s="116">
        <f t="shared" si="33"/>
        <v>2025</v>
      </c>
      <c r="D600" s="2" t="s">
        <v>155</v>
      </c>
      <c r="E600" s="2" t="s">
        <v>155</v>
      </c>
      <c r="F600" s="30">
        <v>45778</v>
      </c>
      <c r="G600" s="2">
        <f>DAY(EOMONTH(TA[[#This Row],[Month Year]],0))</f>
        <v>31</v>
      </c>
      <c r="H600" s="21">
        <v>45785</v>
      </c>
      <c r="I600" s="32">
        <f>IFERROR(VLOOKUP(TA[[#This Row],[Date]],Raw_Data[[Date]:[Sunset Time (POA&lt;20 W/m2)]],3,0),"")</f>
        <v>0.25208333333333333</v>
      </c>
      <c r="J600" s="32">
        <f>IFERROR(VLOOKUP(TA[[#This Row],[Date]],Raw_Data[[Date]:[Sunset Time (POA&lt;20 W/m2)]],4,0),"")</f>
        <v>0.77222222222222225</v>
      </c>
      <c r="K600" s="27">
        <f>IFERROR((TA[[#This Row],[Sunset Time (POA&lt;20 W/m2)]]-TA[[#This Row],[Sunrise Time (POA&gt;20 W/m2)]])*24,"")</f>
        <v>12.483333333333334</v>
      </c>
      <c r="L600" s="2" t="s">
        <v>287</v>
      </c>
      <c r="M600" s="33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314</v>
      </c>
      <c r="Q600" s="2" t="s">
        <v>320</v>
      </c>
      <c r="R600">
        <v>45</v>
      </c>
      <c r="S600" s="2">
        <v>8</v>
      </c>
      <c r="T600" t="s">
        <v>288</v>
      </c>
      <c r="U600" t="s">
        <v>291</v>
      </c>
      <c r="V600" t="s">
        <v>292</v>
      </c>
      <c r="W600" s="32"/>
      <c r="X600" s="32"/>
      <c r="Y600" s="26"/>
      <c r="Z600" s="26"/>
      <c r="AA600" s="27">
        <f>IF(TA[[#This Row],[Work Start time on Fault]]="NA","",(TA[[#This Row],[Fault Acknowledgement Time ]]-TA[[#This Row],[Fault Time]])*24)</f>
        <v>0</v>
      </c>
      <c r="AB600" s="27">
        <f>(TA[[#This Row],[Work Start time on Fault]]-TA[[#This Row],[Fault Time]])*24</f>
        <v>0</v>
      </c>
      <c r="AC600" s="26">
        <f>(TA[[#This Row],[Work Completion time on fault]]-TA[[#This Row],[Fault Time]])*24</f>
        <v>0</v>
      </c>
      <c r="AD600" s="27">
        <f>IFERROR((TA[[#This Row],[Work Completion time on fault]]-TA[[#This Row],[Fault Time]])*24,"")</f>
        <v>0</v>
      </c>
      <c r="AE600" t="s">
        <v>319</v>
      </c>
      <c r="AF600" t="s">
        <v>247</v>
      </c>
      <c r="AG600" s="2"/>
      <c r="AH600" s="35">
        <f>1-COS(RADIANS(TA[[#This Row],[Avg. Target Angle during Fault Time (Radians)]]-TA[[#This Row],[Angle of affected equipment ]]))</f>
        <v>0.11705240714107301</v>
      </c>
      <c r="AI600" s="27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43">
        <f t="shared" si="32"/>
        <v>2026</v>
      </c>
      <c r="C601" s="116">
        <f t="shared" si="33"/>
        <v>2025</v>
      </c>
      <c r="D601" s="2" t="s">
        <v>155</v>
      </c>
      <c r="E601" s="2" t="s">
        <v>155</v>
      </c>
      <c r="F601" s="30">
        <v>45778</v>
      </c>
      <c r="G601" s="2">
        <f>DAY(EOMONTH(TA[[#This Row],[Month Year]],0))</f>
        <v>31</v>
      </c>
      <c r="H601" s="21">
        <v>45785</v>
      </c>
      <c r="I601" s="32">
        <f>IFERROR(VLOOKUP(TA[[#This Row],[Date]],Raw_Data[[Date]:[Sunset Time (POA&lt;20 W/m2)]],3,0),"")</f>
        <v>0.25208333333333333</v>
      </c>
      <c r="J601" s="32">
        <f>IFERROR(VLOOKUP(TA[[#This Row],[Date]],Raw_Data[[Date]:[Sunset Time (POA&lt;20 W/m2)]],4,0),"")</f>
        <v>0.77222222222222225</v>
      </c>
      <c r="K601" s="27">
        <f>IFERROR((TA[[#This Row],[Sunset Time (POA&lt;20 W/m2)]]-TA[[#This Row],[Sunrise Time (POA&gt;20 W/m2)]])*24,"")</f>
        <v>12.483333333333334</v>
      </c>
      <c r="L601" s="2" t="s">
        <v>287</v>
      </c>
      <c r="M601" s="33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314</v>
      </c>
      <c r="Q601" s="2" t="s">
        <v>320</v>
      </c>
      <c r="R601">
        <v>47</v>
      </c>
      <c r="S601" s="2">
        <v>18</v>
      </c>
      <c r="T601" t="s">
        <v>288</v>
      </c>
      <c r="U601" t="s">
        <v>291</v>
      </c>
      <c r="V601" t="s">
        <v>292</v>
      </c>
      <c r="W601" s="32"/>
      <c r="X601" s="32"/>
      <c r="Y601" s="26"/>
      <c r="Z601" s="26"/>
      <c r="AA601" s="27">
        <f>IF(TA[[#This Row],[Work Start time on Fault]]="NA","",(TA[[#This Row],[Fault Acknowledgement Time ]]-TA[[#This Row],[Fault Time]])*24)</f>
        <v>0</v>
      </c>
      <c r="AB601" s="27">
        <f>(TA[[#This Row],[Work Start time on Fault]]-TA[[#This Row],[Fault Time]])*24</f>
        <v>0</v>
      </c>
      <c r="AC601" s="26">
        <f>(TA[[#This Row],[Work Completion time on fault]]-TA[[#This Row],[Fault Time]])*24</f>
        <v>0</v>
      </c>
      <c r="AD601" s="27">
        <f>IFERROR((TA[[#This Row],[Work Completion time on fault]]-TA[[#This Row],[Fault Time]])*24,"")</f>
        <v>0</v>
      </c>
      <c r="AE601" t="s">
        <v>319</v>
      </c>
      <c r="AF601" t="s">
        <v>247</v>
      </c>
      <c r="AG601" s="2"/>
      <c r="AH601" s="35">
        <f>1-COS(RADIANS(TA[[#This Row],[Avg. Target Angle during Fault Time (Radians)]]-TA[[#This Row],[Angle of affected equipment ]]))</f>
        <v>0.11705240714107301</v>
      </c>
      <c r="AI601" s="27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43">
        <f t="shared" si="32"/>
        <v>2026</v>
      </c>
      <c r="C602" s="116">
        <f t="shared" si="33"/>
        <v>2025</v>
      </c>
      <c r="D602" s="2" t="s">
        <v>155</v>
      </c>
      <c r="E602" s="2" t="s">
        <v>155</v>
      </c>
      <c r="F602" s="30">
        <v>45778</v>
      </c>
      <c r="G602" s="2">
        <f>DAY(EOMONTH(TA[[#This Row],[Month Year]],0))</f>
        <v>31</v>
      </c>
      <c r="H602" s="21">
        <v>45785</v>
      </c>
      <c r="I602" s="32">
        <f>IFERROR(VLOOKUP(TA[[#This Row],[Date]],Raw_Data[[Date]:[Sunset Time (POA&lt;20 W/m2)]],3,0),"")</f>
        <v>0.25208333333333333</v>
      </c>
      <c r="J602" s="32">
        <f>IFERROR(VLOOKUP(TA[[#This Row],[Date]],Raw_Data[[Date]:[Sunset Time (POA&lt;20 W/m2)]],4,0),"")</f>
        <v>0.77222222222222225</v>
      </c>
      <c r="K602" s="27">
        <f>IFERROR((TA[[#This Row],[Sunset Time (POA&lt;20 W/m2)]]-TA[[#This Row],[Sunrise Time (POA&gt;20 W/m2)]])*24,"")</f>
        <v>12.483333333333334</v>
      </c>
      <c r="L602" s="2" t="s">
        <v>287</v>
      </c>
      <c r="M602" s="33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321</v>
      </c>
      <c r="Q602" s="2" t="s">
        <v>314</v>
      </c>
      <c r="R602">
        <v>30</v>
      </c>
      <c r="S602" s="2">
        <v>57</v>
      </c>
      <c r="T602" t="s">
        <v>288</v>
      </c>
      <c r="U602" t="s">
        <v>291</v>
      </c>
      <c r="V602" t="s">
        <v>292</v>
      </c>
      <c r="W602" s="32"/>
      <c r="X602" s="32"/>
      <c r="Y602" s="26"/>
      <c r="Z602" s="26"/>
      <c r="AA602" s="27">
        <f>IF(TA[[#This Row],[Work Start time on Fault]]="NA","",(TA[[#This Row],[Fault Acknowledgement Time ]]-TA[[#This Row],[Fault Time]])*24)</f>
        <v>0</v>
      </c>
      <c r="AB602" s="27">
        <f>(TA[[#This Row],[Work Start time on Fault]]-TA[[#This Row],[Fault Time]])*24</f>
        <v>0</v>
      </c>
      <c r="AC602" s="26">
        <f>(TA[[#This Row],[Work Completion time on fault]]-TA[[#This Row],[Fault Time]])*24</f>
        <v>0</v>
      </c>
      <c r="AD602" s="27">
        <f>IFERROR((TA[[#This Row],[Work Completion time on fault]]-TA[[#This Row],[Fault Time]])*24,"")</f>
        <v>0</v>
      </c>
      <c r="AE602" t="s">
        <v>319</v>
      </c>
      <c r="AF602" t="s">
        <v>247</v>
      </c>
      <c r="AG602" s="2"/>
      <c r="AH602" s="35">
        <f>1-COS(RADIANS(TA[[#This Row],[Avg. Target Angle during Fault Time (Radians)]]-TA[[#This Row],[Angle of affected equipment ]]))</f>
        <v>0.11705240714107301</v>
      </c>
      <c r="AI602" s="27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43">
        <f t="shared" si="32"/>
        <v>2026</v>
      </c>
      <c r="C603" s="116">
        <f t="shared" si="33"/>
        <v>2025</v>
      </c>
      <c r="D603" s="2" t="s">
        <v>155</v>
      </c>
      <c r="E603" s="2" t="s">
        <v>155</v>
      </c>
      <c r="F603" s="30">
        <v>45778</v>
      </c>
      <c r="G603" s="2">
        <f>DAY(EOMONTH(TA[[#This Row],[Month Year]],0))</f>
        <v>31</v>
      </c>
      <c r="H603" s="21">
        <v>45785</v>
      </c>
      <c r="I603" s="32">
        <f>IFERROR(VLOOKUP(TA[[#This Row],[Date]],Raw_Data[[Date]:[Sunset Time (POA&lt;20 W/m2)]],3,0),"")</f>
        <v>0.25208333333333333</v>
      </c>
      <c r="J603" s="32">
        <f>IFERROR(VLOOKUP(TA[[#This Row],[Date]],Raw_Data[[Date]:[Sunset Time (POA&lt;20 W/m2)]],4,0),"")</f>
        <v>0.77222222222222225</v>
      </c>
      <c r="K603" s="27">
        <f>IFERROR((TA[[#This Row],[Sunset Time (POA&lt;20 W/m2)]]-TA[[#This Row],[Sunrise Time (POA&gt;20 W/m2)]])*24,"")</f>
        <v>12.483333333333334</v>
      </c>
      <c r="L603" s="2" t="s">
        <v>287</v>
      </c>
      <c r="M603" s="33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321</v>
      </c>
      <c r="Q603" s="2" t="s">
        <v>314</v>
      </c>
      <c r="R603">
        <v>31</v>
      </c>
      <c r="S603" s="2">
        <v>61</v>
      </c>
      <c r="T603" t="s">
        <v>288</v>
      </c>
      <c r="U603" t="s">
        <v>291</v>
      </c>
      <c r="V603" t="s">
        <v>292</v>
      </c>
      <c r="W603" s="32"/>
      <c r="X603" s="32"/>
      <c r="Y603" s="26"/>
      <c r="Z603" s="26"/>
      <c r="AA603" s="27">
        <f>IF(TA[[#This Row],[Work Start time on Fault]]="NA","",(TA[[#This Row],[Fault Acknowledgement Time ]]-TA[[#This Row],[Fault Time]])*24)</f>
        <v>0</v>
      </c>
      <c r="AB603" s="27">
        <f>(TA[[#This Row],[Work Start time on Fault]]-TA[[#This Row],[Fault Time]])*24</f>
        <v>0</v>
      </c>
      <c r="AC603" s="26">
        <f>(TA[[#This Row],[Work Completion time on fault]]-TA[[#This Row],[Fault Time]])*24</f>
        <v>0</v>
      </c>
      <c r="AD603" s="27">
        <f>IFERROR((TA[[#This Row],[Work Completion time on fault]]-TA[[#This Row],[Fault Time]])*24,"")</f>
        <v>0</v>
      </c>
      <c r="AE603" t="s">
        <v>319</v>
      </c>
      <c r="AF603" t="s">
        <v>247</v>
      </c>
      <c r="AG603" s="2"/>
      <c r="AH603" s="35">
        <f>1-COS(RADIANS(TA[[#This Row],[Avg. Target Angle during Fault Time (Radians)]]-TA[[#This Row],[Angle of affected equipment ]]))</f>
        <v>0.11705240714107301</v>
      </c>
      <c r="AI603" s="27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43">
        <f t="shared" si="32"/>
        <v>2026</v>
      </c>
      <c r="C604" s="116">
        <f t="shared" si="33"/>
        <v>2025</v>
      </c>
      <c r="D604" s="2" t="s">
        <v>155</v>
      </c>
      <c r="E604" s="2" t="s">
        <v>155</v>
      </c>
      <c r="F604" s="30">
        <v>45778</v>
      </c>
      <c r="G604" s="2">
        <f>DAY(EOMONTH(TA[[#This Row],[Month Year]],0))</f>
        <v>31</v>
      </c>
      <c r="H604" s="21">
        <v>45785</v>
      </c>
      <c r="I604" s="32">
        <f>IFERROR(VLOOKUP(TA[[#This Row],[Date]],Raw_Data[[Date]:[Sunset Time (POA&lt;20 W/m2)]],3,0),"")</f>
        <v>0.25208333333333333</v>
      </c>
      <c r="J604" s="32">
        <f>IFERROR(VLOOKUP(TA[[#This Row],[Date]],Raw_Data[[Date]:[Sunset Time (POA&lt;20 W/m2)]],4,0),"")</f>
        <v>0.77222222222222225</v>
      </c>
      <c r="K604" s="27">
        <f>IFERROR((TA[[#This Row],[Sunset Time (POA&lt;20 W/m2)]]-TA[[#This Row],[Sunrise Time (POA&gt;20 W/m2)]])*24,"")</f>
        <v>12.483333333333334</v>
      </c>
      <c r="L604" s="2" t="s">
        <v>303</v>
      </c>
      <c r="M604" s="33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321</v>
      </c>
      <c r="Q604" s="2" t="s">
        <v>314</v>
      </c>
      <c r="R604">
        <v>26</v>
      </c>
      <c r="S604" s="2">
        <v>37</v>
      </c>
      <c r="T604" t="s">
        <v>288</v>
      </c>
      <c r="U604" t="s">
        <v>291</v>
      </c>
      <c r="V604" t="s">
        <v>292</v>
      </c>
      <c r="W604" s="32"/>
      <c r="X604" s="32"/>
      <c r="Y604" s="26"/>
      <c r="Z604" s="26"/>
      <c r="AA604" s="27">
        <f>IF(TA[[#This Row],[Work Start time on Fault]]="NA","",(TA[[#This Row],[Fault Acknowledgement Time ]]-TA[[#This Row],[Fault Time]])*24)</f>
        <v>0</v>
      </c>
      <c r="AB604" s="27">
        <f>(TA[[#This Row],[Work Start time on Fault]]-TA[[#This Row],[Fault Time]])*24</f>
        <v>0</v>
      </c>
      <c r="AC604" s="26">
        <f>(TA[[#This Row],[Work Completion time on fault]]-TA[[#This Row],[Fault Time]])*24</f>
        <v>0</v>
      </c>
      <c r="AD604" s="27">
        <f>IFERROR((TA[[#This Row],[Work Completion time on fault]]-TA[[#This Row],[Fault Time]])*24,"")</f>
        <v>0</v>
      </c>
      <c r="AE604" t="s">
        <v>319</v>
      </c>
      <c r="AF604" t="s">
        <v>247</v>
      </c>
      <c r="AG604" s="2"/>
      <c r="AH604" s="35">
        <f>1-COS(RADIANS(TA[[#This Row],[Avg. Target Angle during Fault Time (Radians)]]-TA[[#This Row],[Angle of affected equipment ]]))</f>
        <v>0.11705240714107301</v>
      </c>
      <c r="AI604" s="27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43">
        <f t="shared" si="32"/>
        <v>2026</v>
      </c>
      <c r="C605" s="116">
        <f t="shared" si="33"/>
        <v>2025</v>
      </c>
      <c r="D605" s="2" t="s">
        <v>155</v>
      </c>
      <c r="E605" s="2" t="s">
        <v>155</v>
      </c>
      <c r="F605" s="30">
        <v>45778</v>
      </c>
      <c r="G605" s="2">
        <f>DAY(EOMONTH(TA[[#This Row],[Month Year]],0))</f>
        <v>31</v>
      </c>
      <c r="H605" s="21">
        <v>45785</v>
      </c>
      <c r="I605" s="32">
        <f>IFERROR(VLOOKUP(TA[[#This Row],[Date]],Raw_Data[[Date]:[Sunset Time (POA&lt;20 W/m2)]],3,0),"")</f>
        <v>0.25208333333333333</v>
      </c>
      <c r="J605" s="32">
        <f>IFERROR(VLOOKUP(TA[[#This Row],[Date]],Raw_Data[[Date]:[Sunset Time (POA&lt;20 W/m2)]],4,0),"")</f>
        <v>0.77222222222222225</v>
      </c>
      <c r="K605" s="27">
        <f>IFERROR((TA[[#This Row],[Sunset Time (POA&lt;20 W/m2)]]-TA[[#This Row],[Sunrise Time (POA&gt;20 W/m2)]])*24,"")</f>
        <v>12.483333333333334</v>
      </c>
      <c r="L605" s="2" t="s">
        <v>303</v>
      </c>
      <c r="M605" s="33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321</v>
      </c>
      <c r="Q605" s="2" t="s">
        <v>314</v>
      </c>
      <c r="R605">
        <v>27</v>
      </c>
      <c r="S605" s="2">
        <v>42</v>
      </c>
      <c r="T605" t="s">
        <v>288</v>
      </c>
      <c r="U605" t="s">
        <v>291</v>
      </c>
      <c r="V605" t="s">
        <v>292</v>
      </c>
      <c r="W605" s="32">
        <f>IFERROR(VLOOKUP(TA[[#This Row],[Date]],Raw_Data[[Date]:[Sunset Time (POA&lt;20 W/m2)]],3,0),"")</f>
        <v>0.25208333333333333</v>
      </c>
      <c r="X605" s="32">
        <f>IFERROR(VLOOKUP(TA[[#This Row],[Date]],Raw_Data[[Date]:[Sunset Time (POA&lt;20 W/m2)]],3,0),"")</f>
        <v>0.25208333333333333</v>
      </c>
      <c r="Y605" s="26"/>
      <c r="Z605" s="26">
        <v>0.76041666666666663</v>
      </c>
      <c r="AA605" s="27">
        <f>IF(TA[[#This Row],[Work Start time on Fault]]="NA","",(TA[[#This Row],[Fault Acknowledgement Time ]]-TA[[#This Row],[Fault Time]])*24)</f>
        <v>0</v>
      </c>
      <c r="AB605" s="27">
        <f>(TA[[#This Row],[Work Start time on Fault]]-TA[[#This Row],[Fault Time]])*24</f>
        <v>-6.05</v>
      </c>
      <c r="AC605" s="26">
        <f>(TA[[#This Row],[Work Completion time on fault]]-TA[[#This Row],[Fault Time]])*24</f>
        <v>12.2</v>
      </c>
      <c r="AD605" s="27">
        <f>IFERROR((TA[[#This Row],[Work Completion time on fault]]-TA[[#This Row],[Fault Time]])*24,"")</f>
        <v>12.2</v>
      </c>
      <c r="AE605" t="s">
        <v>300</v>
      </c>
      <c r="AF605" t="s">
        <v>247</v>
      </c>
      <c r="AG605" s="2"/>
      <c r="AH605" s="35">
        <f>1-COS(RADIANS(TA[[#This Row],[Avg. Target Angle during Fault Time (Radians)]]-TA[[#This Row],[Angle of affected equipment ]]))</f>
        <v>0.11705240714107301</v>
      </c>
      <c r="AI605" s="27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43">
        <f t="shared" ref="B606:B619" si="34">YEAR(H606)+IF(MONTH(H606)&gt;=4,1,0)</f>
        <v>2026</v>
      </c>
      <c r="C606" s="116">
        <f t="shared" ref="C606:C619" si="35">YEAR(H606)</f>
        <v>2025</v>
      </c>
      <c r="D606" s="2" t="s">
        <v>155</v>
      </c>
      <c r="E606" s="2" t="s">
        <v>155</v>
      </c>
      <c r="F606" s="30">
        <v>45778</v>
      </c>
      <c r="G606" s="2">
        <f>DAY(EOMONTH(TA[[#This Row],[Month Year]],0))</f>
        <v>31</v>
      </c>
      <c r="H606" s="21">
        <v>45786</v>
      </c>
      <c r="I606" s="32">
        <f>IFERROR(VLOOKUP(TA[[#This Row],[Date]],Raw_Data[[Date]:[Sunset Time (POA&lt;20 W/m2)]],3,0),"")</f>
        <v>0.25</v>
      </c>
      <c r="J606" s="32">
        <f>IFERROR(VLOOKUP(TA[[#This Row],[Date]],Raw_Data[[Date]:[Sunset Time (POA&lt;20 W/m2)]],4,0),"")</f>
        <v>0.77013888888888893</v>
      </c>
      <c r="K606" s="27">
        <f>IFERROR((TA[[#This Row],[Sunset Time (POA&lt;20 W/m2)]]-TA[[#This Row],[Sunrise Time (POA&gt;20 W/m2)]])*24,"")</f>
        <v>12.483333333333334</v>
      </c>
      <c r="L606" s="2" t="s">
        <v>285</v>
      </c>
      <c r="M606" s="33">
        <f>IFERROR(VLOOKUP(TA[[#This Row],[Affected Equipment]],'Basic Data'!$I$2:$K$40,3,0),"")</f>
        <v>1.7241379310344799E-3</v>
      </c>
      <c r="N606">
        <v>-28</v>
      </c>
      <c r="O606" t="s">
        <v>135</v>
      </c>
      <c r="P606" s="114" t="s">
        <v>309</v>
      </c>
      <c r="Q606" s="113" t="s">
        <v>309</v>
      </c>
      <c r="R606">
        <v>130</v>
      </c>
      <c r="S606" s="2">
        <v>37</v>
      </c>
      <c r="T606" t="s">
        <v>286</v>
      </c>
      <c r="U606" t="s">
        <v>291</v>
      </c>
      <c r="V606" t="s">
        <v>289</v>
      </c>
      <c r="W606" s="32"/>
      <c r="X606" s="32"/>
      <c r="Y606" s="26"/>
      <c r="Z606" s="26"/>
      <c r="AA606" s="27">
        <f>IF(TA[[#This Row],[Work Start time on Fault]]="NA","",(TA[[#This Row],[Fault Acknowledgement Time ]]-TA[[#This Row],[Fault Time]])*24)</f>
        <v>0</v>
      </c>
      <c r="AB606" s="27">
        <f>(TA[[#This Row],[Work Start time on Fault]]-TA[[#This Row],[Fault Time]])*24</f>
        <v>0</v>
      </c>
      <c r="AC606" s="26">
        <f>(TA[[#This Row],[Work Completion time on fault]]-TA[[#This Row],[Fault Time]])*24</f>
        <v>0</v>
      </c>
      <c r="AD606" s="27">
        <f>IFERROR((TA[[#This Row],[Work Completion time on fault]]-TA[[#This Row],[Fault Time]])*24,"")</f>
        <v>0</v>
      </c>
      <c r="AE606" t="s">
        <v>319</v>
      </c>
      <c r="AF606" t="s">
        <v>247</v>
      </c>
      <c r="AG606" s="2"/>
      <c r="AH606" s="35">
        <f>1-COS(RADIANS(TA[[#This Row],[Avg. Target Angle during Fault Time (Radians)]]-TA[[#This Row],[Angle of affected equipment ]]))</f>
        <v>0.11705240714107301</v>
      </c>
      <c r="AI606" s="27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43">
        <f t="shared" si="34"/>
        <v>2026</v>
      </c>
      <c r="C607" s="116">
        <f t="shared" si="35"/>
        <v>2025</v>
      </c>
      <c r="D607" s="2" t="s">
        <v>155</v>
      </c>
      <c r="E607" s="2" t="s">
        <v>155</v>
      </c>
      <c r="F607" s="30">
        <v>45778</v>
      </c>
      <c r="G607" s="2">
        <f>DAY(EOMONTH(TA[[#This Row],[Month Year]],0))</f>
        <v>31</v>
      </c>
      <c r="H607" s="21">
        <v>45786</v>
      </c>
      <c r="I607" s="32">
        <f>IFERROR(VLOOKUP(TA[[#This Row],[Date]],Raw_Data[[Date]:[Sunset Time (POA&lt;20 W/m2)]],3,0),"")</f>
        <v>0.25</v>
      </c>
      <c r="J607" s="32">
        <f>IFERROR(VLOOKUP(TA[[#This Row],[Date]],Raw_Data[[Date]:[Sunset Time (POA&lt;20 W/m2)]],4,0),"")</f>
        <v>0.77013888888888893</v>
      </c>
      <c r="K607" s="27">
        <f>IFERROR((TA[[#This Row],[Sunset Time (POA&lt;20 W/m2)]]-TA[[#This Row],[Sunrise Time (POA&gt;20 W/m2)]])*24,"")</f>
        <v>12.483333333333334</v>
      </c>
      <c r="L607" s="2" t="s">
        <v>285</v>
      </c>
      <c r="M607" s="33">
        <f>IFERROR(VLOOKUP(TA[[#This Row],[Affected Equipment]],'Basic Data'!$I$2:$K$40,3,0),"")</f>
        <v>1.7241379310344799E-3</v>
      </c>
      <c r="N607">
        <v>-28</v>
      </c>
      <c r="O607" t="s">
        <v>135</v>
      </c>
      <c r="P607" s="114" t="s">
        <v>309</v>
      </c>
      <c r="Q607" s="113" t="s">
        <v>309</v>
      </c>
      <c r="R607">
        <v>131</v>
      </c>
      <c r="S607" s="2">
        <v>38</v>
      </c>
      <c r="T607" t="s">
        <v>286</v>
      </c>
      <c r="U607" t="s">
        <v>291</v>
      </c>
      <c r="V607" t="s">
        <v>289</v>
      </c>
      <c r="W607" s="32"/>
      <c r="X607" s="32"/>
      <c r="Y607" s="26"/>
      <c r="Z607" s="26"/>
      <c r="AA607" s="27">
        <f>IF(TA[[#This Row],[Work Start time on Fault]]="NA","",(TA[[#This Row],[Fault Acknowledgement Time ]]-TA[[#This Row],[Fault Time]])*24)</f>
        <v>0</v>
      </c>
      <c r="AB607" s="27">
        <f>(TA[[#This Row],[Work Start time on Fault]]-TA[[#This Row],[Fault Time]])*24</f>
        <v>0</v>
      </c>
      <c r="AC607" s="26">
        <f>(TA[[#This Row],[Work Completion time on fault]]-TA[[#This Row],[Fault Time]])*24</f>
        <v>0</v>
      </c>
      <c r="AD607" s="27">
        <f>IFERROR((TA[[#This Row],[Work Completion time on fault]]-TA[[#This Row],[Fault Time]])*24,"")</f>
        <v>0</v>
      </c>
      <c r="AE607" t="s">
        <v>319</v>
      </c>
      <c r="AF607" t="s">
        <v>247</v>
      </c>
      <c r="AG607" s="2"/>
      <c r="AH607" s="35">
        <f>1-COS(RADIANS(TA[[#This Row],[Avg. Target Angle during Fault Time (Radians)]]-TA[[#This Row],[Angle of affected equipment ]]))</f>
        <v>0.11705240714107301</v>
      </c>
      <c r="AI607" s="27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43">
        <f t="shared" si="34"/>
        <v>2026</v>
      </c>
      <c r="C608" s="116">
        <f t="shared" si="35"/>
        <v>2025</v>
      </c>
      <c r="D608" s="2" t="s">
        <v>155</v>
      </c>
      <c r="E608" s="2" t="s">
        <v>155</v>
      </c>
      <c r="F608" s="30">
        <v>45778</v>
      </c>
      <c r="G608" s="2">
        <f>DAY(EOMONTH(TA[[#This Row],[Month Year]],0))</f>
        <v>31</v>
      </c>
      <c r="H608" s="21">
        <v>45786</v>
      </c>
      <c r="I608" s="32">
        <f>IFERROR(VLOOKUP(TA[[#This Row],[Date]],Raw_Data[[Date]:[Sunset Time (POA&lt;20 W/m2)]],3,0),"")</f>
        <v>0.25</v>
      </c>
      <c r="J608" s="32">
        <f>IFERROR(VLOOKUP(TA[[#This Row],[Date]],Raw_Data[[Date]:[Sunset Time (POA&lt;20 W/m2)]],4,0),"")</f>
        <v>0.77013888888888893</v>
      </c>
      <c r="K608" s="27">
        <f>IFERROR((TA[[#This Row],[Sunset Time (POA&lt;20 W/m2)]]-TA[[#This Row],[Sunrise Time (POA&gt;20 W/m2)]])*24,"")</f>
        <v>12.483333333333334</v>
      </c>
      <c r="L608" s="2" t="s">
        <v>285</v>
      </c>
      <c r="M608" s="33">
        <f>IFERROR(VLOOKUP(TA[[#This Row],[Affected Equipment]],'Basic Data'!$I$2:$K$40,3,0),"")</f>
        <v>1.7241379310344799E-3</v>
      </c>
      <c r="N608">
        <v>-28</v>
      </c>
      <c r="O608" t="s">
        <v>135</v>
      </c>
      <c r="P608" s="114" t="s">
        <v>309</v>
      </c>
      <c r="Q608" s="113" t="s">
        <v>309</v>
      </c>
      <c r="R608">
        <v>131</v>
      </c>
      <c r="S608" s="2">
        <v>39</v>
      </c>
      <c r="T608" t="s">
        <v>286</v>
      </c>
      <c r="U608" t="s">
        <v>291</v>
      </c>
      <c r="V608" t="s">
        <v>289</v>
      </c>
      <c r="W608" s="32"/>
      <c r="X608" s="32"/>
      <c r="Y608" s="26"/>
      <c r="Z608" s="26"/>
      <c r="AA608" s="27">
        <f>IF(TA[[#This Row],[Work Start time on Fault]]="NA","",(TA[[#This Row],[Fault Acknowledgement Time ]]-TA[[#This Row],[Fault Time]])*24)</f>
        <v>0</v>
      </c>
      <c r="AB608" s="27">
        <f>(TA[[#This Row],[Work Start time on Fault]]-TA[[#This Row],[Fault Time]])*24</f>
        <v>0</v>
      </c>
      <c r="AC608" s="26">
        <f>(TA[[#This Row],[Work Completion time on fault]]-TA[[#This Row],[Fault Time]])*24</f>
        <v>0</v>
      </c>
      <c r="AD608" s="27">
        <f>IFERROR((TA[[#This Row],[Work Completion time on fault]]-TA[[#This Row],[Fault Time]])*24,"")</f>
        <v>0</v>
      </c>
      <c r="AE608" t="s">
        <v>319</v>
      </c>
      <c r="AF608" t="s">
        <v>247</v>
      </c>
      <c r="AG608" s="2"/>
      <c r="AH608" s="35">
        <f>1-COS(RADIANS(TA[[#This Row],[Avg. Target Angle during Fault Time (Radians)]]-TA[[#This Row],[Angle of affected equipment ]]))</f>
        <v>0.11705240714107301</v>
      </c>
      <c r="AI608" s="27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43">
        <f t="shared" si="34"/>
        <v>2026</v>
      </c>
      <c r="C609" s="116">
        <f t="shared" si="35"/>
        <v>2025</v>
      </c>
      <c r="D609" s="2" t="s">
        <v>155</v>
      </c>
      <c r="E609" s="2" t="s">
        <v>155</v>
      </c>
      <c r="F609" s="30">
        <v>45778</v>
      </c>
      <c r="G609" s="2">
        <f>DAY(EOMONTH(TA[[#This Row],[Month Year]],0))</f>
        <v>31</v>
      </c>
      <c r="H609" s="21">
        <v>45786</v>
      </c>
      <c r="I609" s="32">
        <f>IFERROR(VLOOKUP(TA[[#This Row],[Date]],Raw_Data[[Date]:[Sunset Time (POA&lt;20 W/m2)]],3,0),"")</f>
        <v>0.25</v>
      </c>
      <c r="J609" s="32">
        <f>IFERROR(VLOOKUP(TA[[#This Row],[Date]],Raw_Data[[Date]:[Sunset Time (POA&lt;20 W/m2)]],4,0),"")</f>
        <v>0.77013888888888893</v>
      </c>
      <c r="K609" s="27">
        <f>IFERROR((TA[[#This Row],[Sunset Time (POA&lt;20 W/m2)]]-TA[[#This Row],[Sunrise Time (POA&gt;20 W/m2)]])*24,"")</f>
        <v>12.483333333333334</v>
      </c>
      <c r="L609" s="2" t="s">
        <v>287</v>
      </c>
      <c r="M609" s="33">
        <f>IFERROR(VLOOKUP(TA[[#This Row],[Affected Equipment]],'Basic Data'!$I$2:$K$40,3,0),"")</f>
        <v>8.6206896551724102E-3</v>
      </c>
      <c r="N609">
        <v>-28</v>
      </c>
      <c r="O609" t="s">
        <v>135</v>
      </c>
      <c r="P609" s="114" t="s">
        <v>309</v>
      </c>
      <c r="Q609" s="2" t="s">
        <v>312</v>
      </c>
      <c r="R609">
        <v>133</v>
      </c>
      <c r="S609" s="2">
        <v>26</v>
      </c>
      <c r="T609" t="s">
        <v>288</v>
      </c>
      <c r="U609" t="s">
        <v>291</v>
      </c>
      <c r="V609" t="s">
        <v>305</v>
      </c>
      <c r="W609" s="32">
        <f>IFERROR(VLOOKUP(TA[[#This Row],[Date]],Raw_Data[[Date]:[Sunset Time (POA&lt;20 W/m2)]],3,0),"")</f>
        <v>0.25</v>
      </c>
      <c r="X609" s="32">
        <f>IFERROR(VLOOKUP(TA[[#This Row],[Date]],Raw_Data[[Date]:[Sunset Time (POA&lt;20 W/m2)]],3,0),"")</f>
        <v>0.25</v>
      </c>
      <c r="Y609" s="26"/>
      <c r="Z609" s="26">
        <v>0.76041666666666663</v>
      </c>
      <c r="AA609" s="27">
        <f>IF(TA[[#This Row],[Work Start time on Fault]]="NA","",(TA[[#This Row],[Fault Acknowledgement Time ]]-TA[[#This Row],[Fault Time]])*24)</f>
        <v>0</v>
      </c>
      <c r="AB609" s="27">
        <f>(TA[[#This Row],[Work Start time on Fault]]-TA[[#This Row],[Fault Time]])*24</f>
        <v>-6</v>
      </c>
      <c r="AC609" s="26">
        <f>(TA[[#This Row],[Work Completion time on fault]]-TA[[#This Row],[Fault Time]])*24</f>
        <v>12.25</v>
      </c>
      <c r="AD609" s="27">
        <f>IFERROR((TA[[#This Row],[Work Completion time on fault]]-TA[[#This Row],[Fault Time]])*24,"")</f>
        <v>12.25</v>
      </c>
      <c r="AE609" t="s">
        <v>319</v>
      </c>
      <c r="AF609" t="s">
        <v>247</v>
      </c>
      <c r="AG609" s="2"/>
      <c r="AH609" s="35">
        <f>1-COS(RADIANS(TA[[#This Row],[Avg. Target Angle during Fault Time (Radians)]]-TA[[#This Row],[Angle of affected equipment ]]))</f>
        <v>0.11705240714107301</v>
      </c>
      <c r="AI609" s="27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43">
        <f t="shared" si="34"/>
        <v>2026</v>
      </c>
      <c r="C610" s="116">
        <f t="shared" si="35"/>
        <v>2025</v>
      </c>
      <c r="D610" s="2" t="s">
        <v>155</v>
      </c>
      <c r="E610" s="2" t="s">
        <v>155</v>
      </c>
      <c r="F610" s="30">
        <v>45778</v>
      </c>
      <c r="G610" s="2">
        <f>DAY(EOMONTH(TA[[#This Row],[Month Year]],0))</f>
        <v>31</v>
      </c>
      <c r="H610" s="21">
        <v>45786</v>
      </c>
      <c r="I610" s="32">
        <f>IFERROR(VLOOKUP(TA[[#This Row],[Date]],Raw_Data[[Date]:[Sunset Time (POA&lt;20 W/m2)]],3,0),"")</f>
        <v>0.25</v>
      </c>
      <c r="J610" s="32">
        <f>IFERROR(VLOOKUP(TA[[#This Row],[Date]],Raw_Data[[Date]:[Sunset Time (POA&lt;20 W/m2)]],4,0),"")</f>
        <v>0.77013888888888893</v>
      </c>
      <c r="K610" s="27">
        <f>IFERROR((TA[[#This Row],[Sunset Time (POA&lt;20 W/m2)]]-TA[[#This Row],[Sunrise Time (POA&gt;20 W/m2)]])*24,"")</f>
        <v>12.483333333333334</v>
      </c>
      <c r="L610" s="2" t="s">
        <v>285</v>
      </c>
      <c r="M610" s="33">
        <f>IFERROR(VLOOKUP(TA[[#This Row],[Affected Equipment]],'Basic Data'!$I$2:$K$40,3,0),"")</f>
        <v>1.7241379310344799E-3</v>
      </c>
      <c r="N610">
        <v>-28</v>
      </c>
      <c r="O610" t="s">
        <v>133</v>
      </c>
      <c r="P610" s="114" t="s">
        <v>307</v>
      </c>
      <c r="Q610" s="113" t="s">
        <v>308</v>
      </c>
      <c r="R610">
        <v>7</v>
      </c>
      <c r="S610" s="2">
        <v>32</v>
      </c>
      <c r="T610" t="s">
        <v>286</v>
      </c>
      <c r="U610" t="s">
        <v>291</v>
      </c>
      <c r="V610" t="s">
        <v>289</v>
      </c>
      <c r="W610" s="32"/>
      <c r="X610" s="32"/>
      <c r="Y610" s="26"/>
      <c r="Z610" s="26"/>
      <c r="AA610" s="27">
        <f>IF(TA[[#This Row],[Work Start time on Fault]]="NA","",(TA[[#This Row],[Fault Acknowledgement Time ]]-TA[[#This Row],[Fault Time]])*24)</f>
        <v>0</v>
      </c>
      <c r="AB610" s="27">
        <f>(TA[[#This Row],[Work Start time on Fault]]-TA[[#This Row],[Fault Time]])*24</f>
        <v>0</v>
      </c>
      <c r="AC610" s="26">
        <f>(TA[[#This Row],[Work Completion time on fault]]-TA[[#This Row],[Fault Time]])*24</f>
        <v>0</v>
      </c>
      <c r="AD610" s="27">
        <f>IFERROR((TA[[#This Row],[Work Completion time on fault]]-TA[[#This Row],[Fault Time]])*24,"")</f>
        <v>0</v>
      </c>
      <c r="AE610" t="s">
        <v>319</v>
      </c>
      <c r="AF610" t="s">
        <v>247</v>
      </c>
      <c r="AG610" s="2"/>
      <c r="AH610" s="35">
        <f>1-COS(RADIANS(TA[[#This Row],[Avg. Target Angle during Fault Time (Radians)]]-TA[[#This Row],[Angle of affected equipment ]]))</f>
        <v>0.11705240714107301</v>
      </c>
      <c r="AI610" s="27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43">
        <f t="shared" si="34"/>
        <v>2026</v>
      </c>
      <c r="C611" s="116">
        <f t="shared" si="35"/>
        <v>2025</v>
      </c>
      <c r="D611" s="2" t="s">
        <v>155</v>
      </c>
      <c r="E611" s="2" t="s">
        <v>155</v>
      </c>
      <c r="F611" s="30">
        <v>45778</v>
      </c>
      <c r="G611" s="2">
        <f>DAY(EOMONTH(TA[[#This Row],[Month Year]],0))</f>
        <v>31</v>
      </c>
      <c r="H611" s="21">
        <v>45786</v>
      </c>
      <c r="I611" s="32">
        <f>IFERROR(VLOOKUP(TA[[#This Row],[Date]],Raw_Data[[Date]:[Sunset Time (POA&lt;20 W/m2)]],3,0),"")</f>
        <v>0.25</v>
      </c>
      <c r="J611" s="32">
        <f>IFERROR(VLOOKUP(TA[[#This Row],[Date]],Raw_Data[[Date]:[Sunset Time (POA&lt;20 W/m2)]],4,0),"")</f>
        <v>0.77013888888888893</v>
      </c>
      <c r="K611" s="27">
        <f>IFERROR((TA[[#This Row],[Sunset Time (POA&lt;20 W/m2)]]-TA[[#This Row],[Sunrise Time (POA&gt;20 W/m2)]])*24,"")</f>
        <v>12.483333333333334</v>
      </c>
      <c r="L611" s="2" t="s">
        <v>285</v>
      </c>
      <c r="M611" s="33">
        <f>IFERROR(VLOOKUP(TA[[#This Row],[Affected Equipment]],'Basic Data'!$I$2:$K$40,3,0),"")</f>
        <v>1.7241379310344799E-3</v>
      </c>
      <c r="N611">
        <v>-28</v>
      </c>
      <c r="O611" t="s">
        <v>137</v>
      </c>
      <c r="P611" s="114" t="s">
        <v>306</v>
      </c>
      <c r="Q611" s="113" t="s">
        <v>310</v>
      </c>
      <c r="R611">
        <v>166</v>
      </c>
      <c r="S611" s="2">
        <v>91</v>
      </c>
      <c r="T611" t="s">
        <v>286</v>
      </c>
      <c r="U611" t="s">
        <v>291</v>
      </c>
      <c r="V611" t="s">
        <v>289</v>
      </c>
      <c r="W611" s="32"/>
      <c r="X611" s="32"/>
      <c r="Y611" s="26"/>
      <c r="Z611" s="26"/>
      <c r="AA611" s="27">
        <f>IF(TA[[#This Row],[Work Start time on Fault]]="NA","",(TA[[#This Row],[Fault Acknowledgement Time ]]-TA[[#This Row],[Fault Time]])*24)</f>
        <v>0</v>
      </c>
      <c r="AB611" s="27">
        <f>(TA[[#This Row],[Work Start time on Fault]]-TA[[#This Row],[Fault Time]])*24</f>
        <v>0</v>
      </c>
      <c r="AC611" s="26">
        <f>(TA[[#This Row],[Work Completion time on fault]]-TA[[#This Row],[Fault Time]])*24</f>
        <v>0</v>
      </c>
      <c r="AD611" s="27">
        <f>IFERROR((TA[[#This Row],[Work Completion time on fault]]-TA[[#This Row],[Fault Time]])*24,"")</f>
        <v>0</v>
      </c>
      <c r="AE611" t="s">
        <v>319</v>
      </c>
      <c r="AF611" t="s">
        <v>247</v>
      </c>
      <c r="AG611" s="2"/>
      <c r="AH611" s="35">
        <f>1-COS(RADIANS(TA[[#This Row],[Avg. Target Angle during Fault Time (Radians)]]-TA[[#This Row],[Angle of affected equipment ]]))</f>
        <v>0.11705240714107301</v>
      </c>
      <c r="AI611" s="27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43">
        <f t="shared" si="34"/>
        <v>2026</v>
      </c>
      <c r="C612" s="116">
        <f t="shared" si="35"/>
        <v>2025</v>
      </c>
      <c r="D612" s="2" t="s">
        <v>155</v>
      </c>
      <c r="E612" s="2" t="s">
        <v>155</v>
      </c>
      <c r="F612" s="30">
        <v>45778</v>
      </c>
      <c r="G612" s="2">
        <f>DAY(EOMONTH(TA[[#This Row],[Month Year]],0))</f>
        <v>31</v>
      </c>
      <c r="H612" s="21">
        <v>45786</v>
      </c>
      <c r="I612" s="32">
        <f>IFERROR(VLOOKUP(TA[[#This Row],[Date]],Raw_Data[[Date]:[Sunset Time (POA&lt;20 W/m2)]],3,0),"")</f>
        <v>0.25</v>
      </c>
      <c r="J612" s="32">
        <f>IFERROR(VLOOKUP(TA[[#This Row],[Date]],Raw_Data[[Date]:[Sunset Time (POA&lt;20 W/m2)]],4,0),"")</f>
        <v>0.77013888888888893</v>
      </c>
      <c r="K612" s="27">
        <f>IFERROR((TA[[#This Row],[Sunset Time (POA&lt;20 W/m2)]]-TA[[#This Row],[Sunrise Time (POA&gt;20 W/m2)]])*24,"")</f>
        <v>12.483333333333334</v>
      </c>
      <c r="L612" s="2" t="s">
        <v>285</v>
      </c>
      <c r="M612" s="33">
        <f>IFERROR(VLOOKUP(TA[[#This Row],[Affected Equipment]],'Basic Data'!$I$2:$K$40,3,0),"")</f>
        <v>1.7241379310344799E-3</v>
      </c>
      <c r="N612">
        <v>-28</v>
      </c>
      <c r="O612" t="s">
        <v>133</v>
      </c>
      <c r="P612" s="114" t="s">
        <v>307</v>
      </c>
      <c r="Q612" s="113" t="s">
        <v>307</v>
      </c>
      <c r="R612">
        <v>117</v>
      </c>
      <c r="S612" s="2">
        <v>20</v>
      </c>
      <c r="T612" t="s">
        <v>286</v>
      </c>
      <c r="U612" t="s">
        <v>291</v>
      </c>
      <c r="V612" t="s">
        <v>289</v>
      </c>
      <c r="W612" s="32"/>
      <c r="X612" s="32"/>
      <c r="Y612" s="26"/>
      <c r="Z612" s="26"/>
      <c r="AA612" s="27">
        <f>IF(TA[[#This Row],[Work Start time on Fault]]="NA","",(TA[[#This Row],[Fault Acknowledgement Time ]]-TA[[#This Row],[Fault Time]])*24)</f>
        <v>0</v>
      </c>
      <c r="AB612" s="27">
        <f>(TA[[#This Row],[Work Start time on Fault]]-TA[[#This Row],[Fault Time]])*24</f>
        <v>0</v>
      </c>
      <c r="AC612" s="26">
        <f>(TA[[#This Row],[Work Completion time on fault]]-TA[[#This Row],[Fault Time]])*24</f>
        <v>0</v>
      </c>
      <c r="AD612" s="27">
        <f>IFERROR((TA[[#This Row],[Work Completion time on fault]]-TA[[#This Row],[Fault Time]])*24,"")</f>
        <v>0</v>
      </c>
      <c r="AE612" t="s">
        <v>319</v>
      </c>
      <c r="AF612" t="s">
        <v>247</v>
      </c>
      <c r="AG612" s="2"/>
      <c r="AH612" s="35">
        <f>1-COS(RADIANS(TA[[#This Row],[Avg. Target Angle during Fault Time (Radians)]]-TA[[#This Row],[Angle of affected equipment ]]))</f>
        <v>0.11705240714107301</v>
      </c>
      <c r="AI612" s="27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43">
        <f t="shared" si="34"/>
        <v>2026</v>
      </c>
      <c r="C613" s="116">
        <f t="shared" si="35"/>
        <v>2025</v>
      </c>
      <c r="D613" s="2" t="s">
        <v>155</v>
      </c>
      <c r="E613" s="2" t="s">
        <v>155</v>
      </c>
      <c r="F613" s="30">
        <v>45778</v>
      </c>
      <c r="G613" s="2">
        <f>DAY(EOMONTH(TA[[#This Row],[Month Year]],0))</f>
        <v>31</v>
      </c>
      <c r="H613" s="21">
        <v>45786</v>
      </c>
      <c r="I613" s="32">
        <f>IFERROR(VLOOKUP(TA[[#This Row],[Date]],Raw_Data[[Date]:[Sunset Time (POA&lt;20 W/m2)]],3,0),"")</f>
        <v>0.25</v>
      </c>
      <c r="J613" s="32">
        <f>IFERROR(VLOOKUP(TA[[#This Row],[Date]],Raw_Data[[Date]:[Sunset Time (POA&lt;20 W/m2)]],4,0),"")</f>
        <v>0.77013888888888893</v>
      </c>
      <c r="K613" s="27">
        <f>IFERROR((TA[[#This Row],[Sunset Time (POA&lt;20 W/m2)]]-TA[[#This Row],[Sunrise Time (POA&gt;20 W/m2)]])*24,"")</f>
        <v>12.483333333333334</v>
      </c>
      <c r="L613" s="2" t="s">
        <v>285</v>
      </c>
      <c r="M613" s="33">
        <f>IFERROR(VLOOKUP(TA[[#This Row],[Affected Equipment]],'Basic Data'!$I$2:$K$40,3,0),"")</f>
        <v>1.7241379310344799E-3</v>
      </c>
      <c r="N613">
        <v>-28</v>
      </c>
      <c r="O613" t="s">
        <v>133</v>
      </c>
      <c r="P613" s="114" t="s">
        <v>307</v>
      </c>
      <c r="Q613" s="113" t="s">
        <v>307</v>
      </c>
      <c r="R613">
        <v>118</v>
      </c>
      <c r="S613" s="2">
        <v>22</v>
      </c>
      <c r="T613" t="s">
        <v>286</v>
      </c>
      <c r="U613" t="s">
        <v>291</v>
      </c>
      <c r="V613" t="s">
        <v>289</v>
      </c>
      <c r="W613" s="32"/>
      <c r="X613" s="32"/>
      <c r="Y613" s="26"/>
      <c r="Z613" s="26"/>
      <c r="AA613" s="27">
        <f>IF(TA[[#This Row],[Work Start time on Fault]]="NA","",(TA[[#This Row],[Fault Acknowledgement Time ]]-TA[[#This Row],[Fault Time]])*24)</f>
        <v>0</v>
      </c>
      <c r="AB613" s="27">
        <f>(TA[[#This Row],[Work Start time on Fault]]-TA[[#This Row],[Fault Time]])*24</f>
        <v>0</v>
      </c>
      <c r="AC613" s="26">
        <f>(TA[[#This Row],[Work Completion time on fault]]-TA[[#This Row],[Fault Time]])*24</f>
        <v>0</v>
      </c>
      <c r="AD613" s="27">
        <f>IFERROR((TA[[#This Row],[Work Completion time on fault]]-TA[[#This Row],[Fault Time]])*24,"")</f>
        <v>0</v>
      </c>
      <c r="AE613" t="s">
        <v>319</v>
      </c>
      <c r="AF613" t="s">
        <v>247</v>
      </c>
      <c r="AG613" s="2"/>
      <c r="AH613" s="35">
        <f>1-COS(RADIANS(TA[[#This Row],[Avg. Target Angle during Fault Time (Radians)]]-TA[[#This Row],[Angle of affected equipment ]]))</f>
        <v>0.11705240714107301</v>
      </c>
      <c r="AI613" s="27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43">
        <f t="shared" si="34"/>
        <v>2026</v>
      </c>
      <c r="C614" s="116">
        <f t="shared" si="35"/>
        <v>2025</v>
      </c>
      <c r="D614" s="2" t="s">
        <v>155</v>
      </c>
      <c r="E614" s="2" t="s">
        <v>155</v>
      </c>
      <c r="F614" s="30">
        <v>45778</v>
      </c>
      <c r="G614" s="2">
        <f>DAY(EOMONTH(TA[[#This Row],[Month Year]],0))</f>
        <v>31</v>
      </c>
      <c r="H614" s="21">
        <v>45786</v>
      </c>
      <c r="I614" s="32">
        <f>IFERROR(VLOOKUP(TA[[#This Row],[Date]],Raw_Data[[Date]:[Sunset Time (POA&lt;20 W/m2)]],3,0),"")</f>
        <v>0.25</v>
      </c>
      <c r="J614" s="32">
        <f>IFERROR(VLOOKUP(TA[[#This Row],[Date]],Raw_Data[[Date]:[Sunset Time (POA&lt;20 W/m2)]],4,0),"")</f>
        <v>0.77013888888888893</v>
      </c>
      <c r="K614" s="27">
        <f>IFERROR((TA[[#This Row],[Sunset Time (POA&lt;20 W/m2)]]-TA[[#This Row],[Sunrise Time (POA&gt;20 W/m2)]])*24,"")</f>
        <v>12.483333333333334</v>
      </c>
      <c r="L614" s="2" t="s">
        <v>287</v>
      </c>
      <c r="M614" s="33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314</v>
      </c>
      <c r="Q614" s="2" t="s">
        <v>320</v>
      </c>
      <c r="R614">
        <v>45</v>
      </c>
      <c r="S614" s="2">
        <v>8</v>
      </c>
      <c r="T614" t="s">
        <v>288</v>
      </c>
      <c r="U614" t="s">
        <v>291</v>
      </c>
      <c r="V614" t="s">
        <v>292</v>
      </c>
      <c r="W614" s="32"/>
      <c r="X614" s="32"/>
      <c r="Y614" s="26"/>
      <c r="Z614" s="26"/>
      <c r="AA614" s="27">
        <f>IF(TA[[#This Row],[Work Start time on Fault]]="NA","",(TA[[#This Row],[Fault Acknowledgement Time ]]-TA[[#This Row],[Fault Time]])*24)</f>
        <v>0</v>
      </c>
      <c r="AB614" s="27">
        <f>(TA[[#This Row],[Work Start time on Fault]]-TA[[#This Row],[Fault Time]])*24</f>
        <v>0</v>
      </c>
      <c r="AC614" s="26">
        <f>(TA[[#This Row],[Work Completion time on fault]]-TA[[#This Row],[Fault Time]])*24</f>
        <v>0</v>
      </c>
      <c r="AD614" s="27">
        <f>IFERROR((TA[[#This Row],[Work Completion time on fault]]-TA[[#This Row],[Fault Time]])*24,"")</f>
        <v>0</v>
      </c>
      <c r="AE614" t="s">
        <v>319</v>
      </c>
      <c r="AF614" t="s">
        <v>247</v>
      </c>
      <c r="AG614" s="2"/>
      <c r="AH614" s="35">
        <f>1-COS(RADIANS(TA[[#This Row],[Avg. Target Angle during Fault Time (Radians)]]-TA[[#This Row],[Angle of affected equipment ]]))</f>
        <v>0.11705240714107301</v>
      </c>
      <c r="AI614" s="27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43">
        <f t="shared" si="34"/>
        <v>2026</v>
      </c>
      <c r="C615" s="116">
        <f t="shared" si="35"/>
        <v>2025</v>
      </c>
      <c r="D615" s="2" t="s">
        <v>155</v>
      </c>
      <c r="E615" s="2" t="s">
        <v>155</v>
      </c>
      <c r="F615" s="30">
        <v>45778</v>
      </c>
      <c r="G615" s="2">
        <f>DAY(EOMONTH(TA[[#This Row],[Month Year]],0))</f>
        <v>31</v>
      </c>
      <c r="H615" s="21">
        <v>45786</v>
      </c>
      <c r="I615" s="32">
        <f>IFERROR(VLOOKUP(TA[[#This Row],[Date]],Raw_Data[[Date]:[Sunset Time (POA&lt;20 W/m2)]],3,0),"")</f>
        <v>0.25</v>
      </c>
      <c r="J615" s="32">
        <f>IFERROR(VLOOKUP(TA[[#This Row],[Date]],Raw_Data[[Date]:[Sunset Time (POA&lt;20 W/m2)]],4,0),"")</f>
        <v>0.77013888888888893</v>
      </c>
      <c r="K615" s="27">
        <f>IFERROR((TA[[#This Row],[Sunset Time (POA&lt;20 W/m2)]]-TA[[#This Row],[Sunrise Time (POA&gt;20 W/m2)]])*24,"")</f>
        <v>12.483333333333334</v>
      </c>
      <c r="L615" s="2" t="s">
        <v>287</v>
      </c>
      <c r="M615" s="33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314</v>
      </c>
      <c r="Q615" s="2" t="s">
        <v>320</v>
      </c>
      <c r="R615">
        <v>47</v>
      </c>
      <c r="S615" s="2">
        <v>18</v>
      </c>
      <c r="T615" t="s">
        <v>288</v>
      </c>
      <c r="U615" t="s">
        <v>291</v>
      </c>
      <c r="V615" t="s">
        <v>292</v>
      </c>
      <c r="W615" s="32"/>
      <c r="X615" s="32"/>
      <c r="Y615" s="26"/>
      <c r="Z615" s="26"/>
      <c r="AA615" s="27">
        <f>IF(TA[[#This Row],[Work Start time on Fault]]="NA","",(TA[[#This Row],[Fault Acknowledgement Time ]]-TA[[#This Row],[Fault Time]])*24)</f>
        <v>0</v>
      </c>
      <c r="AB615" s="27">
        <f>(TA[[#This Row],[Work Start time on Fault]]-TA[[#This Row],[Fault Time]])*24</f>
        <v>0</v>
      </c>
      <c r="AC615" s="26">
        <f>(TA[[#This Row],[Work Completion time on fault]]-TA[[#This Row],[Fault Time]])*24</f>
        <v>0</v>
      </c>
      <c r="AD615" s="27">
        <f>IFERROR((TA[[#This Row],[Work Completion time on fault]]-TA[[#This Row],[Fault Time]])*24,"")</f>
        <v>0</v>
      </c>
      <c r="AE615" t="s">
        <v>319</v>
      </c>
      <c r="AF615" t="s">
        <v>247</v>
      </c>
      <c r="AG615" s="2"/>
      <c r="AH615" s="35">
        <f>1-COS(RADIANS(TA[[#This Row],[Avg. Target Angle during Fault Time (Radians)]]-TA[[#This Row],[Angle of affected equipment ]]))</f>
        <v>0.11705240714107301</v>
      </c>
      <c r="AI615" s="27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43">
        <f t="shared" si="34"/>
        <v>2026</v>
      </c>
      <c r="C616" s="116">
        <f t="shared" si="35"/>
        <v>2025</v>
      </c>
      <c r="D616" s="2" t="s">
        <v>155</v>
      </c>
      <c r="E616" s="2" t="s">
        <v>155</v>
      </c>
      <c r="F616" s="30">
        <v>45778</v>
      </c>
      <c r="G616" s="2">
        <f>DAY(EOMONTH(TA[[#This Row],[Month Year]],0))</f>
        <v>31</v>
      </c>
      <c r="H616" s="21">
        <v>45786</v>
      </c>
      <c r="I616" s="32">
        <f>IFERROR(VLOOKUP(TA[[#This Row],[Date]],Raw_Data[[Date]:[Sunset Time (POA&lt;20 W/m2)]],3,0),"")</f>
        <v>0.25</v>
      </c>
      <c r="J616" s="32">
        <f>IFERROR(VLOOKUP(TA[[#This Row],[Date]],Raw_Data[[Date]:[Sunset Time (POA&lt;20 W/m2)]],4,0),"")</f>
        <v>0.77013888888888893</v>
      </c>
      <c r="K616" s="27">
        <f>IFERROR((TA[[#This Row],[Sunset Time (POA&lt;20 W/m2)]]-TA[[#This Row],[Sunrise Time (POA&gt;20 W/m2)]])*24,"")</f>
        <v>12.483333333333334</v>
      </c>
      <c r="L616" s="2" t="s">
        <v>287</v>
      </c>
      <c r="M616" s="33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321</v>
      </c>
      <c r="Q616" s="2" t="s">
        <v>314</v>
      </c>
      <c r="R616">
        <v>30</v>
      </c>
      <c r="S616" s="2">
        <v>57</v>
      </c>
      <c r="T616" t="s">
        <v>288</v>
      </c>
      <c r="U616" t="s">
        <v>291</v>
      </c>
      <c r="V616" t="s">
        <v>292</v>
      </c>
      <c r="W616" s="32"/>
      <c r="X616" s="32"/>
      <c r="Y616" s="26"/>
      <c r="Z616" s="26"/>
      <c r="AA616" s="27">
        <f>IF(TA[[#This Row],[Work Start time on Fault]]="NA","",(TA[[#This Row],[Fault Acknowledgement Time ]]-TA[[#This Row],[Fault Time]])*24)</f>
        <v>0</v>
      </c>
      <c r="AB616" s="27">
        <f>(TA[[#This Row],[Work Start time on Fault]]-TA[[#This Row],[Fault Time]])*24</f>
        <v>0</v>
      </c>
      <c r="AC616" s="26">
        <f>(TA[[#This Row],[Work Completion time on fault]]-TA[[#This Row],[Fault Time]])*24</f>
        <v>0</v>
      </c>
      <c r="AD616" s="27">
        <f>IFERROR((TA[[#This Row],[Work Completion time on fault]]-TA[[#This Row],[Fault Time]])*24,"")</f>
        <v>0</v>
      </c>
      <c r="AE616" t="s">
        <v>319</v>
      </c>
      <c r="AF616" t="s">
        <v>247</v>
      </c>
      <c r="AG616" s="2"/>
      <c r="AH616" s="35">
        <f>1-COS(RADIANS(TA[[#This Row],[Avg. Target Angle during Fault Time (Radians)]]-TA[[#This Row],[Angle of affected equipment ]]))</f>
        <v>0.11705240714107301</v>
      </c>
      <c r="AI616" s="27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43">
        <f t="shared" si="34"/>
        <v>2026</v>
      </c>
      <c r="C617" s="116">
        <f t="shared" si="35"/>
        <v>2025</v>
      </c>
      <c r="D617" s="2" t="s">
        <v>155</v>
      </c>
      <c r="E617" s="2" t="s">
        <v>155</v>
      </c>
      <c r="F617" s="30">
        <v>45778</v>
      </c>
      <c r="G617" s="2">
        <f>DAY(EOMONTH(TA[[#This Row],[Month Year]],0))</f>
        <v>31</v>
      </c>
      <c r="H617" s="21">
        <v>45786</v>
      </c>
      <c r="I617" s="32">
        <f>IFERROR(VLOOKUP(TA[[#This Row],[Date]],Raw_Data[[Date]:[Sunset Time (POA&lt;20 W/m2)]],3,0),"")</f>
        <v>0.25</v>
      </c>
      <c r="J617" s="32">
        <f>IFERROR(VLOOKUP(TA[[#This Row],[Date]],Raw_Data[[Date]:[Sunset Time (POA&lt;20 W/m2)]],4,0),"")</f>
        <v>0.77013888888888893</v>
      </c>
      <c r="K617" s="27">
        <f>IFERROR((TA[[#This Row],[Sunset Time (POA&lt;20 W/m2)]]-TA[[#This Row],[Sunrise Time (POA&gt;20 W/m2)]])*24,"")</f>
        <v>12.483333333333334</v>
      </c>
      <c r="L617" s="2" t="s">
        <v>287</v>
      </c>
      <c r="M617" s="33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321</v>
      </c>
      <c r="Q617" s="2" t="s">
        <v>314</v>
      </c>
      <c r="R617">
        <v>31</v>
      </c>
      <c r="S617" s="2">
        <v>61</v>
      </c>
      <c r="T617" t="s">
        <v>288</v>
      </c>
      <c r="U617" t="s">
        <v>291</v>
      </c>
      <c r="V617" t="s">
        <v>292</v>
      </c>
      <c r="W617" s="32"/>
      <c r="X617" s="32"/>
      <c r="Y617" s="26"/>
      <c r="Z617" s="26"/>
      <c r="AA617" s="27">
        <f>IF(TA[[#This Row],[Work Start time on Fault]]="NA","",(TA[[#This Row],[Fault Acknowledgement Time ]]-TA[[#This Row],[Fault Time]])*24)</f>
        <v>0</v>
      </c>
      <c r="AB617" s="27">
        <f>(TA[[#This Row],[Work Start time on Fault]]-TA[[#This Row],[Fault Time]])*24</f>
        <v>0</v>
      </c>
      <c r="AC617" s="26">
        <f>(TA[[#This Row],[Work Completion time on fault]]-TA[[#This Row],[Fault Time]])*24</f>
        <v>0</v>
      </c>
      <c r="AD617" s="27">
        <f>IFERROR((TA[[#This Row],[Work Completion time on fault]]-TA[[#This Row],[Fault Time]])*24,"")</f>
        <v>0</v>
      </c>
      <c r="AE617" t="s">
        <v>319</v>
      </c>
      <c r="AF617" t="s">
        <v>247</v>
      </c>
      <c r="AG617" s="2"/>
      <c r="AH617" s="35">
        <f>1-COS(RADIANS(TA[[#This Row],[Avg. Target Angle during Fault Time (Radians)]]-TA[[#This Row],[Angle of affected equipment ]]))</f>
        <v>0.11705240714107301</v>
      </c>
      <c r="AI617" s="27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43">
        <f t="shared" si="34"/>
        <v>2026</v>
      </c>
      <c r="C618" s="116">
        <f t="shared" si="35"/>
        <v>2025</v>
      </c>
      <c r="D618" s="2" t="s">
        <v>155</v>
      </c>
      <c r="E618" s="2" t="s">
        <v>155</v>
      </c>
      <c r="F618" s="30">
        <v>45778</v>
      </c>
      <c r="G618" s="2">
        <f>DAY(EOMONTH(TA[[#This Row],[Month Year]],0))</f>
        <v>31</v>
      </c>
      <c r="H618" s="21">
        <v>45786</v>
      </c>
      <c r="I618" s="32">
        <f>IFERROR(VLOOKUP(TA[[#This Row],[Date]],Raw_Data[[Date]:[Sunset Time (POA&lt;20 W/m2)]],3,0),"")</f>
        <v>0.25</v>
      </c>
      <c r="J618" s="32">
        <f>IFERROR(VLOOKUP(TA[[#This Row],[Date]],Raw_Data[[Date]:[Sunset Time (POA&lt;20 W/m2)]],4,0),"")</f>
        <v>0.77013888888888893</v>
      </c>
      <c r="K618" s="27">
        <f>IFERROR((TA[[#This Row],[Sunset Time (POA&lt;20 W/m2)]]-TA[[#This Row],[Sunrise Time (POA&gt;20 W/m2)]])*24,"")</f>
        <v>12.483333333333334</v>
      </c>
      <c r="L618" s="2" t="s">
        <v>303</v>
      </c>
      <c r="M618" s="33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321</v>
      </c>
      <c r="Q618" s="2" t="s">
        <v>314</v>
      </c>
      <c r="R618">
        <v>26</v>
      </c>
      <c r="S618" s="2">
        <v>37</v>
      </c>
      <c r="T618" t="s">
        <v>288</v>
      </c>
      <c r="U618" t="s">
        <v>291</v>
      </c>
      <c r="V618" t="s">
        <v>292</v>
      </c>
      <c r="W618" s="32"/>
      <c r="X618" s="32"/>
      <c r="Y618" s="26"/>
      <c r="Z618" s="26"/>
      <c r="AA618" s="27">
        <f>IF(TA[[#This Row],[Work Start time on Fault]]="NA","",(TA[[#This Row],[Fault Acknowledgement Time ]]-TA[[#This Row],[Fault Time]])*24)</f>
        <v>0</v>
      </c>
      <c r="AB618" s="27">
        <f>(TA[[#This Row],[Work Start time on Fault]]-TA[[#This Row],[Fault Time]])*24</f>
        <v>0</v>
      </c>
      <c r="AC618" s="26">
        <f>(TA[[#This Row],[Work Completion time on fault]]-TA[[#This Row],[Fault Time]])*24</f>
        <v>0</v>
      </c>
      <c r="AD618" s="27">
        <f>IFERROR((TA[[#This Row],[Work Completion time on fault]]-TA[[#This Row],[Fault Time]])*24,"")</f>
        <v>0</v>
      </c>
      <c r="AE618" t="s">
        <v>319</v>
      </c>
      <c r="AF618" t="s">
        <v>247</v>
      </c>
      <c r="AG618" s="2"/>
      <c r="AH618" s="35">
        <f>1-COS(RADIANS(TA[[#This Row],[Avg. Target Angle during Fault Time (Radians)]]-TA[[#This Row],[Angle of affected equipment ]]))</f>
        <v>0.11705240714107301</v>
      </c>
      <c r="AI618" s="27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43">
        <f t="shared" si="34"/>
        <v>2026</v>
      </c>
      <c r="C619" s="116">
        <f t="shared" si="35"/>
        <v>2025</v>
      </c>
      <c r="D619" s="2" t="s">
        <v>155</v>
      </c>
      <c r="E619" s="2" t="s">
        <v>155</v>
      </c>
      <c r="F619" s="30">
        <v>45778</v>
      </c>
      <c r="G619" s="2">
        <f>DAY(EOMONTH(TA[[#This Row],[Month Year]],0))</f>
        <v>31</v>
      </c>
      <c r="H619" s="21">
        <v>45786</v>
      </c>
      <c r="I619" s="32">
        <f>IFERROR(VLOOKUP(TA[[#This Row],[Date]],Raw_Data[[Date]:[Sunset Time (POA&lt;20 W/m2)]],3,0),"")</f>
        <v>0.25</v>
      </c>
      <c r="J619" s="32">
        <f>IFERROR(VLOOKUP(TA[[#This Row],[Date]],Raw_Data[[Date]:[Sunset Time (POA&lt;20 W/m2)]],4,0),"")</f>
        <v>0.77013888888888893</v>
      </c>
      <c r="K619" s="27">
        <f>IFERROR((TA[[#This Row],[Sunset Time (POA&lt;20 W/m2)]]-TA[[#This Row],[Sunrise Time (POA&gt;20 W/m2)]])*24,"")</f>
        <v>12.483333333333334</v>
      </c>
      <c r="L619" s="2" t="s">
        <v>303</v>
      </c>
      <c r="M619" s="33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321</v>
      </c>
      <c r="Q619" s="2" t="s">
        <v>314</v>
      </c>
      <c r="R619">
        <v>27</v>
      </c>
      <c r="S619" s="2">
        <v>42</v>
      </c>
      <c r="T619" t="s">
        <v>288</v>
      </c>
      <c r="U619" t="s">
        <v>291</v>
      </c>
      <c r="V619" t="s">
        <v>292</v>
      </c>
      <c r="W619" s="32">
        <f>IFERROR(VLOOKUP(TA[[#This Row],[Date]],Raw_Data[[Date]:[Sunset Time (POA&lt;20 W/m2)]],3,0),"")</f>
        <v>0.25</v>
      </c>
      <c r="X619" s="32">
        <f>IFERROR(VLOOKUP(TA[[#This Row],[Date]],Raw_Data[[Date]:[Sunset Time (POA&lt;20 W/m2)]],3,0),"")</f>
        <v>0.25</v>
      </c>
      <c r="Y619" s="26"/>
      <c r="Z619" s="26">
        <v>0.76041666666666663</v>
      </c>
      <c r="AA619" s="27">
        <f>IF(TA[[#This Row],[Work Start time on Fault]]="NA","",(TA[[#This Row],[Fault Acknowledgement Time ]]-TA[[#This Row],[Fault Time]])*24)</f>
        <v>0</v>
      </c>
      <c r="AB619" s="27">
        <f>(TA[[#This Row],[Work Start time on Fault]]-TA[[#This Row],[Fault Time]])*24</f>
        <v>-6</v>
      </c>
      <c r="AC619" s="26">
        <f>(TA[[#This Row],[Work Completion time on fault]]-TA[[#This Row],[Fault Time]])*24</f>
        <v>12.25</v>
      </c>
      <c r="AD619" s="27">
        <f>IFERROR((TA[[#This Row],[Work Completion time on fault]]-TA[[#This Row],[Fault Time]])*24,"")</f>
        <v>12.25</v>
      </c>
      <c r="AE619" t="s">
        <v>300</v>
      </c>
      <c r="AF619" t="s">
        <v>247</v>
      </c>
      <c r="AG619" s="2"/>
      <c r="AH619" s="35">
        <f>1-COS(RADIANS(TA[[#This Row],[Avg. Target Angle during Fault Time (Radians)]]-TA[[#This Row],[Angle of affected equipment ]]))</f>
        <v>0.11705240714107301</v>
      </c>
      <c r="AI619" s="27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43">
        <f t="shared" ref="B620:B633" si="37">YEAR(H620)+IF(MONTH(H620)&gt;=4,1,0)</f>
        <v>2026</v>
      </c>
      <c r="C620" s="116">
        <f t="shared" ref="C620:C633" si="38">YEAR(H620)</f>
        <v>2025</v>
      </c>
      <c r="D620" s="2" t="s">
        <v>155</v>
      </c>
      <c r="E620" s="2" t="s">
        <v>155</v>
      </c>
      <c r="F620" s="30">
        <v>45778</v>
      </c>
      <c r="G620" s="2">
        <f>DAY(EOMONTH(TA[[#This Row],[Month Year]],0))</f>
        <v>31</v>
      </c>
      <c r="H620" s="21">
        <v>45787</v>
      </c>
      <c r="I620" s="32">
        <f>IFERROR(VLOOKUP(TA[[#This Row],[Date]],Raw_Data[[Date]:[Sunset Time (POA&lt;20 W/m2)]],3,0),"")</f>
        <v>0.25208333333333333</v>
      </c>
      <c r="J620" s="32">
        <f>IFERROR(VLOOKUP(TA[[#This Row],[Date]],Raw_Data[[Date]:[Sunset Time (POA&lt;20 W/m2)]],4,0),"")</f>
        <v>0.76736111111111116</v>
      </c>
      <c r="K620" s="27">
        <f>IFERROR((TA[[#This Row],[Sunset Time (POA&lt;20 W/m2)]]-TA[[#This Row],[Sunrise Time (POA&gt;20 W/m2)]])*24,"")</f>
        <v>12.366666666666667</v>
      </c>
      <c r="L620" s="2" t="s">
        <v>285</v>
      </c>
      <c r="M620" s="33">
        <f>IFERROR(VLOOKUP(TA[[#This Row],[Affected Equipment]],'Basic Data'!$I$2:$K$40,3,0),"")</f>
        <v>1.7241379310344799E-3</v>
      </c>
      <c r="N620">
        <v>-28</v>
      </c>
      <c r="O620" t="s">
        <v>135</v>
      </c>
      <c r="P620" s="114" t="s">
        <v>309</v>
      </c>
      <c r="Q620" s="113" t="s">
        <v>309</v>
      </c>
      <c r="R620">
        <v>130</v>
      </c>
      <c r="S620" s="2">
        <v>37</v>
      </c>
      <c r="T620" t="s">
        <v>286</v>
      </c>
      <c r="U620" t="s">
        <v>291</v>
      </c>
      <c r="V620" t="s">
        <v>289</v>
      </c>
      <c r="W620" s="32"/>
      <c r="X620" s="32"/>
      <c r="Y620" s="26"/>
      <c r="Z620" s="26"/>
      <c r="AA620" s="27">
        <f>IF(TA[[#This Row],[Work Start time on Fault]]="NA","",(TA[[#This Row],[Fault Acknowledgement Time ]]-TA[[#This Row],[Fault Time]])*24)</f>
        <v>0</v>
      </c>
      <c r="AB620" s="27">
        <f>(TA[[#This Row],[Work Start time on Fault]]-TA[[#This Row],[Fault Time]])*24</f>
        <v>0</v>
      </c>
      <c r="AC620" s="26">
        <f>(TA[[#This Row],[Work Completion time on fault]]-TA[[#This Row],[Fault Time]])*24</f>
        <v>0</v>
      </c>
      <c r="AD620" s="27">
        <f>IFERROR((TA[[#This Row],[Work Completion time on fault]]-TA[[#This Row],[Fault Time]])*24,"")</f>
        <v>0</v>
      </c>
      <c r="AE620" t="s">
        <v>319</v>
      </c>
      <c r="AF620" t="s">
        <v>247</v>
      </c>
      <c r="AG620" s="2"/>
      <c r="AH620" s="35">
        <f>1-COS(RADIANS(TA[[#This Row],[Avg. Target Angle during Fault Time (Radians)]]-TA[[#This Row],[Angle of affected equipment ]]))</f>
        <v>0.11705240714107301</v>
      </c>
      <c r="AI620" s="27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43">
        <f t="shared" si="37"/>
        <v>2026</v>
      </c>
      <c r="C621" s="116">
        <f t="shared" si="38"/>
        <v>2025</v>
      </c>
      <c r="D621" s="2" t="s">
        <v>155</v>
      </c>
      <c r="E621" s="2" t="s">
        <v>155</v>
      </c>
      <c r="F621" s="30">
        <v>45778</v>
      </c>
      <c r="G621" s="2">
        <f>DAY(EOMONTH(TA[[#This Row],[Month Year]],0))</f>
        <v>31</v>
      </c>
      <c r="H621" s="21">
        <v>45787</v>
      </c>
      <c r="I621" s="32">
        <f>IFERROR(VLOOKUP(TA[[#This Row],[Date]],Raw_Data[[Date]:[Sunset Time (POA&lt;20 W/m2)]],3,0),"")</f>
        <v>0.25208333333333333</v>
      </c>
      <c r="J621" s="32">
        <f>IFERROR(VLOOKUP(TA[[#This Row],[Date]],Raw_Data[[Date]:[Sunset Time (POA&lt;20 W/m2)]],4,0),"")</f>
        <v>0.76736111111111116</v>
      </c>
      <c r="K621" s="27">
        <f>IFERROR((TA[[#This Row],[Sunset Time (POA&lt;20 W/m2)]]-TA[[#This Row],[Sunrise Time (POA&gt;20 W/m2)]])*24,"")</f>
        <v>12.366666666666667</v>
      </c>
      <c r="L621" s="2" t="s">
        <v>285</v>
      </c>
      <c r="M621" s="33">
        <f>IFERROR(VLOOKUP(TA[[#This Row],[Affected Equipment]],'Basic Data'!$I$2:$K$40,3,0),"")</f>
        <v>1.7241379310344799E-3</v>
      </c>
      <c r="N621">
        <v>-28</v>
      </c>
      <c r="O621" t="s">
        <v>135</v>
      </c>
      <c r="P621" s="114" t="s">
        <v>309</v>
      </c>
      <c r="Q621" s="113" t="s">
        <v>309</v>
      </c>
      <c r="R621">
        <v>131</v>
      </c>
      <c r="S621" s="2">
        <v>38</v>
      </c>
      <c r="T621" t="s">
        <v>286</v>
      </c>
      <c r="U621" t="s">
        <v>291</v>
      </c>
      <c r="V621" t="s">
        <v>289</v>
      </c>
      <c r="W621" s="32"/>
      <c r="X621" s="32"/>
      <c r="Y621" s="26"/>
      <c r="Z621" s="26"/>
      <c r="AA621" s="27">
        <f>IF(TA[[#This Row],[Work Start time on Fault]]="NA","",(TA[[#This Row],[Fault Acknowledgement Time ]]-TA[[#This Row],[Fault Time]])*24)</f>
        <v>0</v>
      </c>
      <c r="AB621" s="27">
        <f>(TA[[#This Row],[Work Start time on Fault]]-TA[[#This Row],[Fault Time]])*24</f>
        <v>0</v>
      </c>
      <c r="AC621" s="26">
        <f>(TA[[#This Row],[Work Completion time on fault]]-TA[[#This Row],[Fault Time]])*24</f>
        <v>0</v>
      </c>
      <c r="AD621" s="27">
        <f>IFERROR((TA[[#This Row],[Work Completion time on fault]]-TA[[#This Row],[Fault Time]])*24,"")</f>
        <v>0</v>
      </c>
      <c r="AE621" t="s">
        <v>319</v>
      </c>
      <c r="AF621" t="s">
        <v>247</v>
      </c>
      <c r="AG621" s="2"/>
      <c r="AH621" s="35">
        <f>1-COS(RADIANS(TA[[#This Row],[Avg. Target Angle during Fault Time (Radians)]]-TA[[#This Row],[Angle of affected equipment ]]))</f>
        <v>0.11705240714107301</v>
      </c>
      <c r="AI621" s="27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43">
        <f t="shared" si="37"/>
        <v>2026</v>
      </c>
      <c r="C622" s="116">
        <f t="shared" si="38"/>
        <v>2025</v>
      </c>
      <c r="D622" s="2" t="s">
        <v>155</v>
      </c>
      <c r="E622" s="2" t="s">
        <v>155</v>
      </c>
      <c r="F622" s="30">
        <v>45778</v>
      </c>
      <c r="G622" s="2">
        <f>DAY(EOMONTH(TA[[#This Row],[Month Year]],0))</f>
        <v>31</v>
      </c>
      <c r="H622" s="21">
        <v>45787</v>
      </c>
      <c r="I622" s="32">
        <f>IFERROR(VLOOKUP(TA[[#This Row],[Date]],Raw_Data[[Date]:[Sunset Time (POA&lt;20 W/m2)]],3,0),"")</f>
        <v>0.25208333333333333</v>
      </c>
      <c r="J622" s="32">
        <f>IFERROR(VLOOKUP(TA[[#This Row],[Date]],Raw_Data[[Date]:[Sunset Time (POA&lt;20 W/m2)]],4,0),"")</f>
        <v>0.76736111111111116</v>
      </c>
      <c r="K622" s="27">
        <f>IFERROR((TA[[#This Row],[Sunset Time (POA&lt;20 W/m2)]]-TA[[#This Row],[Sunrise Time (POA&gt;20 W/m2)]])*24,"")</f>
        <v>12.366666666666667</v>
      </c>
      <c r="L622" s="2" t="s">
        <v>285</v>
      </c>
      <c r="M622" s="33">
        <f>IFERROR(VLOOKUP(TA[[#This Row],[Affected Equipment]],'Basic Data'!$I$2:$K$40,3,0),"")</f>
        <v>1.7241379310344799E-3</v>
      </c>
      <c r="N622">
        <v>-28</v>
      </c>
      <c r="O622" t="s">
        <v>135</v>
      </c>
      <c r="P622" s="114" t="s">
        <v>309</v>
      </c>
      <c r="Q622" s="113" t="s">
        <v>309</v>
      </c>
      <c r="R622">
        <v>131</v>
      </c>
      <c r="S622" s="2">
        <v>39</v>
      </c>
      <c r="T622" t="s">
        <v>286</v>
      </c>
      <c r="U622" t="s">
        <v>291</v>
      </c>
      <c r="V622" t="s">
        <v>289</v>
      </c>
      <c r="W622" s="32"/>
      <c r="X622" s="32"/>
      <c r="Y622" s="26"/>
      <c r="Z622" s="26"/>
      <c r="AA622" s="27">
        <f>IF(TA[[#This Row],[Work Start time on Fault]]="NA","",(TA[[#This Row],[Fault Acknowledgement Time ]]-TA[[#This Row],[Fault Time]])*24)</f>
        <v>0</v>
      </c>
      <c r="AB622" s="27">
        <f>(TA[[#This Row],[Work Start time on Fault]]-TA[[#This Row],[Fault Time]])*24</f>
        <v>0</v>
      </c>
      <c r="AC622" s="26">
        <f>(TA[[#This Row],[Work Completion time on fault]]-TA[[#This Row],[Fault Time]])*24</f>
        <v>0</v>
      </c>
      <c r="AD622" s="27">
        <f>IFERROR((TA[[#This Row],[Work Completion time on fault]]-TA[[#This Row],[Fault Time]])*24,"")</f>
        <v>0</v>
      </c>
      <c r="AE622" t="s">
        <v>319</v>
      </c>
      <c r="AF622" t="s">
        <v>247</v>
      </c>
      <c r="AG622" s="2"/>
      <c r="AH622" s="35">
        <f>1-COS(RADIANS(TA[[#This Row],[Avg. Target Angle during Fault Time (Radians)]]-TA[[#This Row],[Angle of affected equipment ]]))</f>
        <v>0.11705240714107301</v>
      </c>
      <c r="AI622" s="27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43">
        <f t="shared" si="37"/>
        <v>2026</v>
      </c>
      <c r="C623" s="116">
        <f t="shared" si="38"/>
        <v>2025</v>
      </c>
      <c r="D623" s="2" t="s">
        <v>155</v>
      </c>
      <c r="E623" s="2" t="s">
        <v>155</v>
      </c>
      <c r="F623" s="30">
        <v>45778</v>
      </c>
      <c r="G623" s="2">
        <f>DAY(EOMONTH(TA[[#This Row],[Month Year]],0))</f>
        <v>31</v>
      </c>
      <c r="H623" s="21">
        <v>45787</v>
      </c>
      <c r="I623" s="32">
        <f>IFERROR(VLOOKUP(TA[[#This Row],[Date]],Raw_Data[[Date]:[Sunset Time (POA&lt;20 W/m2)]],3,0),"")</f>
        <v>0.25208333333333333</v>
      </c>
      <c r="J623" s="32">
        <f>IFERROR(VLOOKUP(TA[[#This Row],[Date]],Raw_Data[[Date]:[Sunset Time (POA&lt;20 W/m2)]],4,0),"")</f>
        <v>0.76736111111111116</v>
      </c>
      <c r="K623" s="27">
        <f>IFERROR((TA[[#This Row],[Sunset Time (POA&lt;20 W/m2)]]-TA[[#This Row],[Sunrise Time (POA&gt;20 W/m2)]])*24,"")</f>
        <v>12.366666666666667</v>
      </c>
      <c r="L623" s="2" t="s">
        <v>287</v>
      </c>
      <c r="M623" s="33">
        <f>IFERROR(VLOOKUP(TA[[#This Row],[Affected Equipment]],'Basic Data'!$I$2:$K$40,3,0),"")</f>
        <v>8.6206896551724102E-3</v>
      </c>
      <c r="N623">
        <v>-28</v>
      </c>
      <c r="O623" t="s">
        <v>135</v>
      </c>
      <c r="P623" s="114" t="s">
        <v>309</v>
      </c>
      <c r="Q623" s="2" t="s">
        <v>312</v>
      </c>
      <c r="R623">
        <v>133</v>
      </c>
      <c r="S623" s="2">
        <v>26</v>
      </c>
      <c r="T623" t="s">
        <v>288</v>
      </c>
      <c r="U623" t="s">
        <v>291</v>
      </c>
      <c r="V623" t="s">
        <v>305</v>
      </c>
      <c r="W623" s="32">
        <f>IFERROR(VLOOKUP(TA[[#This Row],[Date]],Raw_Data[[Date]:[Sunset Time (POA&lt;20 W/m2)]],3,0),"")</f>
        <v>0.25208333333333333</v>
      </c>
      <c r="X623" s="32">
        <f>IFERROR(VLOOKUP(TA[[#This Row],[Date]],Raw_Data[[Date]:[Sunset Time (POA&lt;20 W/m2)]],3,0),"")</f>
        <v>0.25208333333333333</v>
      </c>
      <c r="Y623" s="26"/>
      <c r="Z623" s="26">
        <v>0.76041666666666663</v>
      </c>
      <c r="AA623" s="27">
        <f>IF(TA[[#This Row],[Work Start time on Fault]]="NA","",(TA[[#This Row],[Fault Acknowledgement Time ]]-TA[[#This Row],[Fault Time]])*24)</f>
        <v>0</v>
      </c>
      <c r="AB623" s="27">
        <f>(TA[[#This Row],[Work Start time on Fault]]-TA[[#This Row],[Fault Time]])*24</f>
        <v>-6.05</v>
      </c>
      <c r="AC623" s="26">
        <f>(TA[[#This Row],[Work Completion time on fault]]-TA[[#This Row],[Fault Time]])*24</f>
        <v>12.2</v>
      </c>
      <c r="AD623" s="27">
        <f>IFERROR((TA[[#This Row],[Work Completion time on fault]]-TA[[#This Row],[Fault Time]])*24,"")</f>
        <v>12.2</v>
      </c>
      <c r="AE623" t="s">
        <v>319</v>
      </c>
      <c r="AF623" t="s">
        <v>247</v>
      </c>
      <c r="AG623" s="2"/>
      <c r="AH623" s="35">
        <f>1-COS(RADIANS(TA[[#This Row],[Avg. Target Angle during Fault Time (Radians)]]-TA[[#This Row],[Angle of affected equipment ]]))</f>
        <v>0.11705240714107301</v>
      </c>
      <c r="AI623" s="27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43">
        <f t="shared" si="37"/>
        <v>2026</v>
      </c>
      <c r="C624" s="116">
        <f t="shared" si="38"/>
        <v>2025</v>
      </c>
      <c r="D624" s="2" t="s">
        <v>155</v>
      </c>
      <c r="E624" s="2" t="s">
        <v>155</v>
      </c>
      <c r="F624" s="30">
        <v>45778</v>
      </c>
      <c r="G624" s="2">
        <f>DAY(EOMONTH(TA[[#This Row],[Month Year]],0))</f>
        <v>31</v>
      </c>
      <c r="H624" s="21">
        <v>45787</v>
      </c>
      <c r="I624" s="32">
        <f>IFERROR(VLOOKUP(TA[[#This Row],[Date]],Raw_Data[[Date]:[Sunset Time (POA&lt;20 W/m2)]],3,0),"")</f>
        <v>0.25208333333333333</v>
      </c>
      <c r="J624" s="32">
        <f>IFERROR(VLOOKUP(TA[[#This Row],[Date]],Raw_Data[[Date]:[Sunset Time (POA&lt;20 W/m2)]],4,0),"")</f>
        <v>0.76736111111111116</v>
      </c>
      <c r="K624" s="27">
        <f>IFERROR((TA[[#This Row],[Sunset Time (POA&lt;20 W/m2)]]-TA[[#This Row],[Sunrise Time (POA&gt;20 W/m2)]])*24,"")</f>
        <v>12.366666666666667</v>
      </c>
      <c r="L624" s="2" t="s">
        <v>285</v>
      </c>
      <c r="M624" s="33">
        <f>IFERROR(VLOOKUP(TA[[#This Row],[Affected Equipment]],'Basic Data'!$I$2:$K$40,3,0),"")</f>
        <v>1.7241379310344799E-3</v>
      </c>
      <c r="N624">
        <v>-28</v>
      </c>
      <c r="O624" t="s">
        <v>133</v>
      </c>
      <c r="P624" s="114" t="s">
        <v>307</v>
      </c>
      <c r="Q624" s="113" t="s">
        <v>308</v>
      </c>
      <c r="R624">
        <v>7</v>
      </c>
      <c r="S624" s="2">
        <v>32</v>
      </c>
      <c r="T624" t="s">
        <v>286</v>
      </c>
      <c r="U624" t="s">
        <v>291</v>
      </c>
      <c r="V624" t="s">
        <v>289</v>
      </c>
      <c r="W624" s="32"/>
      <c r="X624" s="32"/>
      <c r="Y624" s="26"/>
      <c r="Z624" s="26"/>
      <c r="AA624" s="27">
        <f>IF(TA[[#This Row],[Work Start time on Fault]]="NA","",(TA[[#This Row],[Fault Acknowledgement Time ]]-TA[[#This Row],[Fault Time]])*24)</f>
        <v>0</v>
      </c>
      <c r="AB624" s="27">
        <f>(TA[[#This Row],[Work Start time on Fault]]-TA[[#This Row],[Fault Time]])*24</f>
        <v>0</v>
      </c>
      <c r="AC624" s="26">
        <f>(TA[[#This Row],[Work Completion time on fault]]-TA[[#This Row],[Fault Time]])*24</f>
        <v>0</v>
      </c>
      <c r="AD624" s="27">
        <f>IFERROR((TA[[#This Row],[Work Completion time on fault]]-TA[[#This Row],[Fault Time]])*24,"")</f>
        <v>0</v>
      </c>
      <c r="AE624" t="s">
        <v>319</v>
      </c>
      <c r="AF624" t="s">
        <v>247</v>
      </c>
      <c r="AG624" s="2"/>
      <c r="AH624" s="35">
        <f>1-COS(RADIANS(TA[[#This Row],[Avg. Target Angle during Fault Time (Radians)]]-TA[[#This Row],[Angle of affected equipment ]]))</f>
        <v>0.11705240714107301</v>
      </c>
      <c r="AI624" s="27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43">
        <f t="shared" si="37"/>
        <v>2026</v>
      </c>
      <c r="C625" s="116">
        <f t="shared" si="38"/>
        <v>2025</v>
      </c>
      <c r="D625" s="2" t="s">
        <v>155</v>
      </c>
      <c r="E625" s="2" t="s">
        <v>155</v>
      </c>
      <c r="F625" s="30">
        <v>45778</v>
      </c>
      <c r="G625" s="2">
        <f>DAY(EOMONTH(TA[[#This Row],[Month Year]],0))</f>
        <v>31</v>
      </c>
      <c r="H625" s="21">
        <v>45787</v>
      </c>
      <c r="I625" s="32">
        <f>IFERROR(VLOOKUP(TA[[#This Row],[Date]],Raw_Data[[Date]:[Sunset Time (POA&lt;20 W/m2)]],3,0),"")</f>
        <v>0.25208333333333333</v>
      </c>
      <c r="J625" s="32">
        <f>IFERROR(VLOOKUP(TA[[#This Row],[Date]],Raw_Data[[Date]:[Sunset Time (POA&lt;20 W/m2)]],4,0),"")</f>
        <v>0.76736111111111116</v>
      </c>
      <c r="K625" s="27">
        <f>IFERROR((TA[[#This Row],[Sunset Time (POA&lt;20 W/m2)]]-TA[[#This Row],[Sunrise Time (POA&gt;20 W/m2)]])*24,"")</f>
        <v>12.366666666666667</v>
      </c>
      <c r="L625" s="2" t="s">
        <v>285</v>
      </c>
      <c r="M625" s="33">
        <f>IFERROR(VLOOKUP(TA[[#This Row],[Affected Equipment]],'Basic Data'!$I$2:$K$40,3,0),"")</f>
        <v>1.7241379310344799E-3</v>
      </c>
      <c r="N625">
        <v>-28</v>
      </c>
      <c r="O625" t="s">
        <v>137</v>
      </c>
      <c r="P625" s="114" t="s">
        <v>306</v>
      </c>
      <c r="Q625" s="113" t="s">
        <v>310</v>
      </c>
      <c r="R625">
        <v>166</v>
      </c>
      <c r="S625" s="2">
        <v>91</v>
      </c>
      <c r="T625" t="s">
        <v>286</v>
      </c>
      <c r="U625" t="s">
        <v>291</v>
      </c>
      <c r="V625" t="s">
        <v>289</v>
      </c>
      <c r="W625" s="32"/>
      <c r="X625" s="32"/>
      <c r="Y625" s="26"/>
      <c r="Z625" s="26"/>
      <c r="AA625" s="27">
        <f>IF(TA[[#This Row],[Work Start time on Fault]]="NA","",(TA[[#This Row],[Fault Acknowledgement Time ]]-TA[[#This Row],[Fault Time]])*24)</f>
        <v>0</v>
      </c>
      <c r="AB625" s="27">
        <f>(TA[[#This Row],[Work Start time on Fault]]-TA[[#This Row],[Fault Time]])*24</f>
        <v>0</v>
      </c>
      <c r="AC625" s="26">
        <f>(TA[[#This Row],[Work Completion time on fault]]-TA[[#This Row],[Fault Time]])*24</f>
        <v>0</v>
      </c>
      <c r="AD625" s="27">
        <f>IFERROR((TA[[#This Row],[Work Completion time on fault]]-TA[[#This Row],[Fault Time]])*24,"")</f>
        <v>0</v>
      </c>
      <c r="AE625" t="s">
        <v>319</v>
      </c>
      <c r="AF625" t="s">
        <v>247</v>
      </c>
      <c r="AG625" s="2"/>
      <c r="AH625" s="35">
        <f>1-COS(RADIANS(TA[[#This Row],[Avg. Target Angle during Fault Time (Radians)]]-TA[[#This Row],[Angle of affected equipment ]]))</f>
        <v>0.11705240714107301</v>
      </c>
      <c r="AI625" s="27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43">
        <f t="shared" si="37"/>
        <v>2026</v>
      </c>
      <c r="C626" s="116">
        <f t="shared" si="38"/>
        <v>2025</v>
      </c>
      <c r="D626" s="2" t="s">
        <v>155</v>
      </c>
      <c r="E626" s="2" t="s">
        <v>155</v>
      </c>
      <c r="F626" s="30">
        <v>45778</v>
      </c>
      <c r="G626" s="2">
        <f>DAY(EOMONTH(TA[[#This Row],[Month Year]],0))</f>
        <v>31</v>
      </c>
      <c r="H626" s="21">
        <v>45787</v>
      </c>
      <c r="I626" s="32">
        <f>IFERROR(VLOOKUP(TA[[#This Row],[Date]],Raw_Data[[Date]:[Sunset Time (POA&lt;20 W/m2)]],3,0),"")</f>
        <v>0.25208333333333333</v>
      </c>
      <c r="J626" s="32">
        <f>IFERROR(VLOOKUP(TA[[#This Row],[Date]],Raw_Data[[Date]:[Sunset Time (POA&lt;20 W/m2)]],4,0),"")</f>
        <v>0.76736111111111116</v>
      </c>
      <c r="K626" s="27">
        <f>IFERROR((TA[[#This Row],[Sunset Time (POA&lt;20 W/m2)]]-TA[[#This Row],[Sunrise Time (POA&gt;20 W/m2)]])*24,"")</f>
        <v>12.366666666666667</v>
      </c>
      <c r="L626" s="2" t="s">
        <v>285</v>
      </c>
      <c r="M626" s="33">
        <f>IFERROR(VLOOKUP(TA[[#This Row],[Affected Equipment]],'Basic Data'!$I$2:$K$40,3,0),"")</f>
        <v>1.7241379310344799E-3</v>
      </c>
      <c r="N626">
        <v>-28</v>
      </c>
      <c r="O626" t="s">
        <v>133</v>
      </c>
      <c r="P626" s="114" t="s">
        <v>307</v>
      </c>
      <c r="Q626" s="113" t="s">
        <v>307</v>
      </c>
      <c r="R626">
        <v>117</v>
      </c>
      <c r="S626" s="2">
        <v>20</v>
      </c>
      <c r="T626" t="s">
        <v>286</v>
      </c>
      <c r="U626" t="s">
        <v>291</v>
      </c>
      <c r="V626" t="s">
        <v>289</v>
      </c>
      <c r="W626" s="32"/>
      <c r="X626" s="32"/>
      <c r="Y626" s="26"/>
      <c r="Z626" s="26"/>
      <c r="AA626" s="27">
        <f>IF(TA[[#This Row],[Work Start time on Fault]]="NA","",(TA[[#This Row],[Fault Acknowledgement Time ]]-TA[[#This Row],[Fault Time]])*24)</f>
        <v>0</v>
      </c>
      <c r="AB626" s="27">
        <f>(TA[[#This Row],[Work Start time on Fault]]-TA[[#This Row],[Fault Time]])*24</f>
        <v>0</v>
      </c>
      <c r="AC626" s="26">
        <f>(TA[[#This Row],[Work Completion time on fault]]-TA[[#This Row],[Fault Time]])*24</f>
        <v>0</v>
      </c>
      <c r="AD626" s="27">
        <f>IFERROR((TA[[#This Row],[Work Completion time on fault]]-TA[[#This Row],[Fault Time]])*24,"")</f>
        <v>0</v>
      </c>
      <c r="AE626" t="s">
        <v>319</v>
      </c>
      <c r="AF626" t="s">
        <v>247</v>
      </c>
      <c r="AG626" s="2"/>
      <c r="AH626" s="35">
        <f>1-COS(RADIANS(TA[[#This Row],[Avg. Target Angle during Fault Time (Radians)]]-TA[[#This Row],[Angle of affected equipment ]]))</f>
        <v>0.11705240714107301</v>
      </c>
      <c r="AI626" s="27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43">
        <f t="shared" si="37"/>
        <v>2026</v>
      </c>
      <c r="C627" s="116">
        <f t="shared" si="38"/>
        <v>2025</v>
      </c>
      <c r="D627" s="2" t="s">
        <v>155</v>
      </c>
      <c r="E627" s="2" t="s">
        <v>155</v>
      </c>
      <c r="F627" s="30">
        <v>45778</v>
      </c>
      <c r="G627" s="2">
        <f>DAY(EOMONTH(TA[[#This Row],[Month Year]],0))</f>
        <v>31</v>
      </c>
      <c r="H627" s="21">
        <v>45787</v>
      </c>
      <c r="I627" s="32">
        <f>IFERROR(VLOOKUP(TA[[#This Row],[Date]],Raw_Data[[Date]:[Sunset Time (POA&lt;20 W/m2)]],3,0),"")</f>
        <v>0.25208333333333333</v>
      </c>
      <c r="J627" s="32">
        <f>IFERROR(VLOOKUP(TA[[#This Row],[Date]],Raw_Data[[Date]:[Sunset Time (POA&lt;20 W/m2)]],4,0),"")</f>
        <v>0.76736111111111116</v>
      </c>
      <c r="K627" s="27">
        <f>IFERROR((TA[[#This Row],[Sunset Time (POA&lt;20 W/m2)]]-TA[[#This Row],[Sunrise Time (POA&gt;20 W/m2)]])*24,"")</f>
        <v>12.366666666666667</v>
      </c>
      <c r="L627" s="2" t="s">
        <v>285</v>
      </c>
      <c r="M627" s="33">
        <f>IFERROR(VLOOKUP(TA[[#This Row],[Affected Equipment]],'Basic Data'!$I$2:$K$40,3,0),"")</f>
        <v>1.7241379310344799E-3</v>
      </c>
      <c r="N627">
        <v>-28</v>
      </c>
      <c r="O627" t="s">
        <v>133</v>
      </c>
      <c r="P627" s="114" t="s">
        <v>307</v>
      </c>
      <c r="Q627" s="113" t="s">
        <v>307</v>
      </c>
      <c r="R627">
        <v>118</v>
      </c>
      <c r="S627" s="2">
        <v>22</v>
      </c>
      <c r="T627" t="s">
        <v>286</v>
      </c>
      <c r="U627" t="s">
        <v>291</v>
      </c>
      <c r="V627" t="s">
        <v>289</v>
      </c>
      <c r="W627" s="32"/>
      <c r="X627" s="32"/>
      <c r="Y627" s="26"/>
      <c r="Z627" s="26"/>
      <c r="AA627" s="27">
        <f>IF(TA[[#This Row],[Work Start time on Fault]]="NA","",(TA[[#This Row],[Fault Acknowledgement Time ]]-TA[[#This Row],[Fault Time]])*24)</f>
        <v>0</v>
      </c>
      <c r="AB627" s="27">
        <f>(TA[[#This Row],[Work Start time on Fault]]-TA[[#This Row],[Fault Time]])*24</f>
        <v>0</v>
      </c>
      <c r="AC627" s="26">
        <f>(TA[[#This Row],[Work Completion time on fault]]-TA[[#This Row],[Fault Time]])*24</f>
        <v>0</v>
      </c>
      <c r="AD627" s="27">
        <f>IFERROR((TA[[#This Row],[Work Completion time on fault]]-TA[[#This Row],[Fault Time]])*24,"")</f>
        <v>0</v>
      </c>
      <c r="AE627" t="s">
        <v>319</v>
      </c>
      <c r="AF627" t="s">
        <v>247</v>
      </c>
      <c r="AG627" s="2"/>
      <c r="AH627" s="35">
        <f>1-COS(RADIANS(TA[[#This Row],[Avg. Target Angle during Fault Time (Radians)]]-TA[[#This Row],[Angle of affected equipment ]]))</f>
        <v>0.11705240714107301</v>
      </c>
      <c r="AI627" s="27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43">
        <f t="shared" si="37"/>
        <v>2026</v>
      </c>
      <c r="C628" s="116">
        <f t="shared" si="38"/>
        <v>2025</v>
      </c>
      <c r="D628" s="2" t="s">
        <v>155</v>
      </c>
      <c r="E628" s="2" t="s">
        <v>155</v>
      </c>
      <c r="F628" s="30">
        <v>45778</v>
      </c>
      <c r="G628" s="2">
        <f>DAY(EOMONTH(TA[[#This Row],[Month Year]],0))</f>
        <v>31</v>
      </c>
      <c r="H628" s="21">
        <v>45787</v>
      </c>
      <c r="I628" s="32">
        <f>IFERROR(VLOOKUP(TA[[#This Row],[Date]],Raw_Data[[Date]:[Sunset Time (POA&lt;20 W/m2)]],3,0),"")</f>
        <v>0.25208333333333333</v>
      </c>
      <c r="J628" s="32">
        <f>IFERROR(VLOOKUP(TA[[#This Row],[Date]],Raw_Data[[Date]:[Sunset Time (POA&lt;20 W/m2)]],4,0),"")</f>
        <v>0.76736111111111116</v>
      </c>
      <c r="K628" s="27">
        <f>IFERROR((TA[[#This Row],[Sunset Time (POA&lt;20 W/m2)]]-TA[[#This Row],[Sunrise Time (POA&gt;20 W/m2)]])*24,"")</f>
        <v>12.366666666666667</v>
      </c>
      <c r="L628" s="2" t="s">
        <v>287</v>
      </c>
      <c r="M628" s="33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314</v>
      </c>
      <c r="Q628" s="2" t="s">
        <v>320</v>
      </c>
      <c r="R628">
        <v>45</v>
      </c>
      <c r="S628" s="2">
        <v>8</v>
      </c>
      <c r="T628" t="s">
        <v>288</v>
      </c>
      <c r="U628" t="s">
        <v>291</v>
      </c>
      <c r="V628" t="s">
        <v>292</v>
      </c>
      <c r="W628" s="32"/>
      <c r="X628" s="32"/>
      <c r="Y628" s="26"/>
      <c r="Z628" s="26"/>
      <c r="AA628" s="27">
        <f>IF(TA[[#This Row],[Work Start time on Fault]]="NA","",(TA[[#This Row],[Fault Acknowledgement Time ]]-TA[[#This Row],[Fault Time]])*24)</f>
        <v>0</v>
      </c>
      <c r="AB628" s="27">
        <f>(TA[[#This Row],[Work Start time on Fault]]-TA[[#This Row],[Fault Time]])*24</f>
        <v>0</v>
      </c>
      <c r="AC628" s="26">
        <f>(TA[[#This Row],[Work Completion time on fault]]-TA[[#This Row],[Fault Time]])*24</f>
        <v>0</v>
      </c>
      <c r="AD628" s="27">
        <f>IFERROR((TA[[#This Row],[Work Completion time on fault]]-TA[[#This Row],[Fault Time]])*24,"")</f>
        <v>0</v>
      </c>
      <c r="AE628" t="s">
        <v>319</v>
      </c>
      <c r="AF628" t="s">
        <v>247</v>
      </c>
      <c r="AG628" s="2"/>
      <c r="AH628" s="35">
        <f>1-COS(RADIANS(TA[[#This Row],[Avg. Target Angle during Fault Time (Radians)]]-TA[[#This Row],[Angle of affected equipment ]]))</f>
        <v>0.11705240714107301</v>
      </c>
      <c r="AI628" s="27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43">
        <f t="shared" si="37"/>
        <v>2026</v>
      </c>
      <c r="C629" s="116">
        <f t="shared" si="38"/>
        <v>2025</v>
      </c>
      <c r="D629" s="2" t="s">
        <v>155</v>
      </c>
      <c r="E629" s="2" t="s">
        <v>155</v>
      </c>
      <c r="F629" s="30">
        <v>45778</v>
      </c>
      <c r="G629" s="2">
        <f>DAY(EOMONTH(TA[[#This Row],[Month Year]],0))</f>
        <v>31</v>
      </c>
      <c r="H629" s="21">
        <v>45787</v>
      </c>
      <c r="I629" s="32">
        <f>IFERROR(VLOOKUP(TA[[#This Row],[Date]],Raw_Data[[Date]:[Sunset Time (POA&lt;20 W/m2)]],3,0),"")</f>
        <v>0.25208333333333333</v>
      </c>
      <c r="J629" s="32">
        <f>IFERROR(VLOOKUP(TA[[#This Row],[Date]],Raw_Data[[Date]:[Sunset Time (POA&lt;20 W/m2)]],4,0),"")</f>
        <v>0.76736111111111116</v>
      </c>
      <c r="K629" s="27">
        <f>IFERROR((TA[[#This Row],[Sunset Time (POA&lt;20 W/m2)]]-TA[[#This Row],[Sunrise Time (POA&gt;20 W/m2)]])*24,"")</f>
        <v>12.366666666666667</v>
      </c>
      <c r="L629" s="2" t="s">
        <v>287</v>
      </c>
      <c r="M629" s="33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314</v>
      </c>
      <c r="Q629" s="2" t="s">
        <v>320</v>
      </c>
      <c r="R629">
        <v>47</v>
      </c>
      <c r="S629" s="2">
        <v>18</v>
      </c>
      <c r="T629" t="s">
        <v>288</v>
      </c>
      <c r="U629" t="s">
        <v>291</v>
      </c>
      <c r="V629" t="s">
        <v>292</v>
      </c>
      <c r="W629" s="32"/>
      <c r="X629" s="32"/>
      <c r="Y629" s="26"/>
      <c r="Z629" s="26"/>
      <c r="AA629" s="27">
        <f>IF(TA[[#This Row],[Work Start time on Fault]]="NA","",(TA[[#This Row],[Fault Acknowledgement Time ]]-TA[[#This Row],[Fault Time]])*24)</f>
        <v>0</v>
      </c>
      <c r="AB629" s="27">
        <f>(TA[[#This Row],[Work Start time on Fault]]-TA[[#This Row],[Fault Time]])*24</f>
        <v>0</v>
      </c>
      <c r="AC629" s="26">
        <f>(TA[[#This Row],[Work Completion time on fault]]-TA[[#This Row],[Fault Time]])*24</f>
        <v>0</v>
      </c>
      <c r="AD629" s="27">
        <f>IFERROR((TA[[#This Row],[Work Completion time on fault]]-TA[[#This Row],[Fault Time]])*24,"")</f>
        <v>0</v>
      </c>
      <c r="AE629" t="s">
        <v>319</v>
      </c>
      <c r="AF629" t="s">
        <v>247</v>
      </c>
      <c r="AG629" s="2"/>
      <c r="AH629" s="35">
        <f>1-COS(RADIANS(TA[[#This Row],[Avg. Target Angle during Fault Time (Radians)]]-TA[[#This Row],[Angle of affected equipment ]]))</f>
        <v>0.11705240714107301</v>
      </c>
      <c r="AI629" s="27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43">
        <f t="shared" si="37"/>
        <v>2026</v>
      </c>
      <c r="C630" s="116">
        <f t="shared" si="38"/>
        <v>2025</v>
      </c>
      <c r="D630" s="2" t="s">
        <v>155</v>
      </c>
      <c r="E630" s="2" t="s">
        <v>155</v>
      </c>
      <c r="F630" s="30">
        <v>45778</v>
      </c>
      <c r="G630" s="2">
        <f>DAY(EOMONTH(TA[[#This Row],[Month Year]],0))</f>
        <v>31</v>
      </c>
      <c r="H630" s="21">
        <v>45787</v>
      </c>
      <c r="I630" s="32">
        <f>IFERROR(VLOOKUP(TA[[#This Row],[Date]],Raw_Data[[Date]:[Sunset Time (POA&lt;20 W/m2)]],3,0),"")</f>
        <v>0.25208333333333333</v>
      </c>
      <c r="J630" s="32">
        <f>IFERROR(VLOOKUP(TA[[#This Row],[Date]],Raw_Data[[Date]:[Sunset Time (POA&lt;20 W/m2)]],4,0),"")</f>
        <v>0.76736111111111116</v>
      </c>
      <c r="K630" s="27">
        <f>IFERROR((TA[[#This Row],[Sunset Time (POA&lt;20 W/m2)]]-TA[[#This Row],[Sunrise Time (POA&gt;20 W/m2)]])*24,"")</f>
        <v>12.366666666666667</v>
      </c>
      <c r="L630" s="2" t="s">
        <v>287</v>
      </c>
      <c r="M630" s="33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321</v>
      </c>
      <c r="Q630" s="2" t="s">
        <v>314</v>
      </c>
      <c r="R630">
        <v>30</v>
      </c>
      <c r="S630" s="2">
        <v>57</v>
      </c>
      <c r="T630" t="s">
        <v>288</v>
      </c>
      <c r="U630" t="s">
        <v>291</v>
      </c>
      <c r="V630" t="s">
        <v>292</v>
      </c>
      <c r="W630" s="32"/>
      <c r="X630" s="32"/>
      <c r="Y630" s="26"/>
      <c r="Z630" s="26"/>
      <c r="AA630" s="27">
        <f>IF(TA[[#This Row],[Work Start time on Fault]]="NA","",(TA[[#This Row],[Fault Acknowledgement Time ]]-TA[[#This Row],[Fault Time]])*24)</f>
        <v>0</v>
      </c>
      <c r="AB630" s="27">
        <f>(TA[[#This Row],[Work Start time on Fault]]-TA[[#This Row],[Fault Time]])*24</f>
        <v>0</v>
      </c>
      <c r="AC630" s="26">
        <f>(TA[[#This Row],[Work Completion time on fault]]-TA[[#This Row],[Fault Time]])*24</f>
        <v>0</v>
      </c>
      <c r="AD630" s="27">
        <f>IFERROR((TA[[#This Row],[Work Completion time on fault]]-TA[[#This Row],[Fault Time]])*24,"")</f>
        <v>0</v>
      </c>
      <c r="AE630" t="s">
        <v>319</v>
      </c>
      <c r="AF630" t="s">
        <v>247</v>
      </c>
      <c r="AG630" s="2"/>
      <c r="AH630" s="35">
        <f>1-COS(RADIANS(TA[[#This Row],[Avg. Target Angle during Fault Time (Radians)]]-TA[[#This Row],[Angle of affected equipment ]]))</f>
        <v>0.11705240714107301</v>
      </c>
      <c r="AI630" s="27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43">
        <f t="shared" si="37"/>
        <v>2026</v>
      </c>
      <c r="C631" s="116">
        <f t="shared" si="38"/>
        <v>2025</v>
      </c>
      <c r="D631" s="2" t="s">
        <v>155</v>
      </c>
      <c r="E631" s="2" t="s">
        <v>155</v>
      </c>
      <c r="F631" s="30">
        <v>45778</v>
      </c>
      <c r="G631" s="2">
        <f>DAY(EOMONTH(TA[[#This Row],[Month Year]],0))</f>
        <v>31</v>
      </c>
      <c r="H631" s="21">
        <v>45787</v>
      </c>
      <c r="I631" s="32">
        <f>IFERROR(VLOOKUP(TA[[#This Row],[Date]],Raw_Data[[Date]:[Sunset Time (POA&lt;20 W/m2)]],3,0),"")</f>
        <v>0.25208333333333333</v>
      </c>
      <c r="J631" s="32">
        <f>IFERROR(VLOOKUP(TA[[#This Row],[Date]],Raw_Data[[Date]:[Sunset Time (POA&lt;20 W/m2)]],4,0),"")</f>
        <v>0.76736111111111116</v>
      </c>
      <c r="K631" s="27">
        <f>IFERROR((TA[[#This Row],[Sunset Time (POA&lt;20 W/m2)]]-TA[[#This Row],[Sunrise Time (POA&gt;20 W/m2)]])*24,"")</f>
        <v>12.366666666666667</v>
      </c>
      <c r="L631" s="2" t="s">
        <v>287</v>
      </c>
      <c r="M631" s="33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321</v>
      </c>
      <c r="Q631" s="2" t="s">
        <v>314</v>
      </c>
      <c r="R631">
        <v>31</v>
      </c>
      <c r="S631" s="2">
        <v>61</v>
      </c>
      <c r="T631" t="s">
        <v>288</v>
      </c>
      <c r="U631" t="s">
        <v>291</v>
      </c>
      <c r="V631" t="s">
        <v>292</v>
      </c>
      <c r="W631" s="32"/>
      <c r="X631" s="32"/>
      <c r="Y631" s="26"/>
      <c r="Z631" s="26"/>
      <c r="AA631" s="27">
        <f>IF(TA[[#This Row],[Work Start time on Fault]]="NA","",(TA[[#This Row],[Fault Acknowledgement Time ]]-TA[[#This Row],[Fault Time]])*24)</f>
        <v>0</v>
      </c>
      <c r="AB631" s="27">
        <f>(TA[[#This Row],[Work Start time on Fault]]-TA[[#This Row],[Fault Time]])*24</f>
        <v>0</v>
      </c>
      <c r="AC631" s="26">
        <f>(TA[[#This Row],[Work Completion time on fault]]-TA[[#This Row],[Fault Time]])*24</f>
        <v>0</v>
      </c>
      <c r="AD631" s="27">
        <f>IFERROR((TA[[#This Row],[Work Completion time on fault]]-TA[[#This Row],[Fault Time]])*24,"")</f>
        <v>0</v>
      </c>
      <c r="AE631" t="s">
        <v>319</v>
      </c>
      <c r="AF631" t="s">
        <v>247</v>
      </c>
      <c r="AG631" s="2"/>
      <c r="AH631" s="35">
        <f>1-COS(RADIANS(TA[[#This Row],[Avg. Target Angle during Fault Time (Radians)]]-TA[[#This Row],[Angle of affected equipment ]]))</f>
        <v>0.11705240714107301</v>
      </c>
      <c r="AI631" s="27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43">
        <f t="shared" si="37"/>
        <v>2026</v>
      </c>
      <c r="C632" s="116">
        <f t="shared" si="38"/>
        <v>2025</v>
      </c>
      <c r="D632" s="2" t="s">
        <v>155</v>
      </c>
      <c r="E632" s="2" t="s">
        <v>155</v>
      </c>
      <c r="F632" s="30">
        <v>45778</v>
      </c>
      <c r="G632" s="2">
        <f>DAY(EOMONTH(TA[[#This Row],[Month Year]],0))</f>
        <v>31</v>
      </c>
      <c r="H632" s="21">
        <v>45787</v>
      </c>
      <c r="I632" s="32">
        <f>IFERROR(VLOOKUP(TA[[#This Row],[Date]],Raw_Data[[Date]:[Sunset Time (POA&lt;20 W/m2)]],3,0),"")</f>
        <v>0.25208333333333333</v>
      </c>
      <c r="J632" s="32">
        <f>IFERROR(VLOOKUP(TA[[#This Row],[Date]],Raw_Data[[Date]:[Sunset Time (POA&lt;20 W/m2)]],4,0),"")</f>
        <v>0.76736111111111116</v>
      </c>
      <c r="K632" s="27">
        <f>IFERROR((TA[[#This Row],[Sunset Time (POA&lt;20 W/m2)]]-TA[[#This Row],[Sunrise Time (POA&gt;20 W/m2)]])*24,"")</f>
        <v>12.366666666666667</v>
      </c>
      <c r="L632" s="2" t="s">
        <v>303</v>
      </c>
      <c r="M632" s="33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321</v>
      </c>
      <c r="Q632" s="2" t="s">
        <v>314</v>
      </c>
      <c r="R632">
        <v>26</v>
      </c>
      <c r="S632" s="2">
        <v>37</v>
      </c>
      <c r="T632" t="s">
        <v>288</v>
      </c>
      <c r="U632" t="s">
        <v>291</v>
      </c>
      <c r="V632" t="s">
        <v>292</v>
      </c>
      <c r="W632" s="32"/>
      <c r="X632" s="32"/>
      <c r="Y632" s="26"/>
      <c r="Z632" s="26"/>
      <c r="AA632" s="27">
        <f>IF(TA[[#This Row],[Work Start time on Fault]]="NA","",(TA[[#This Row],[Fault Acknowledgement Time ]]-TA[[#This Row],[Fault Time]])*24)</f>
        <v>0</v>
      </c>
      <c r="AB632" s="27">
        <f>(TA[[#This Row],[Work Start time on Fault]]-TA[[#This Row],[Fault Time]])*24</f>
        <v>0</v>
      </c>
      <c r="AC632" s="26">
        <f>(TA[[#This Row],[Work Completion time on fault]]-TA[[#This Row],[Fault Time]])*24</f>
        <v>0</v>
      </c>
      <c r="AD632" s="27">
        <f>IFERROR((TA[[#This Row],[Work Completion time on fault]]-TA[[#This Row],[Fault Time]])*24,"")</f>
        <v>0</v>
      </c>
      <c r="AE632" t="s">
        <v>319</v>
      </c>
      <c r="AF632" t="s">
        <v>247</v>
      </c>
      <c r="AG632" s="2"/>
      <c r="AH632" s="35">
        <f>1-COS(RADIANS(TA[[#This Row],[Avg. Target Angle during Fault Time (Radians)]]-TA[[#This Row],[Angle of affected equipment ]]))</f>
        <v>0.11705240714107301</v>
      </c>
      <c r="AI632" s="27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43">
        <f t="shared" si="37"/>
        <v>2026</v>
      </c>
      <c r="C633" s="116">
        <f t="shared" si="38"/>
        <v>2025</v>
      </c>
      <c r="D633" s="2" t="s">
        <v>155</v>
      </c>
      <c r="E633" s="2" t="s">
        <v>155</v>
      </c>
      <c r="F633" s="30">
        <v>45778</v>
      </c>
      <c r="G633" s="2">
        <f>DAY(EOMONTH(TA[[#This Row],[Month Year]],0))</f>
        <v>31</v>
      </c>
      <c r="H633" s="21">
        <v>45787</v>
      </c>
      <c r="I633" s="32">
        <f>IFERROR(VLOOKUP(TA[[#This Row],[Date]],Raw_Data[[Date]:[Sunset Time (POA&lt;20 W/m2)]],3,0),"")</f>
        <v>0.25208333333333333</v>
      </c>
      <c r="J633" s="32">
        <f>IFERROR(VLOOKUP(TA[[#This Row],[Date]],Raw_Data[[Date]:[Sunset Time (POA&lt;20 W/m2)]],4,0),"")</f>
        <v>0.76736111111111116</v>
      </c>
      <c r="K633" s="27">
        <f>IFERROR((TA[[#This Row],[Sunset Time (POA&lt;20 W/m2)]]-TA[[#This Row],[Sunrise Time (POA&gt;20 W/m2)]])*24,"")</f>
        <v>12.366666666666667</v>
      </c>
      <c r="L633" s="2" t="s">
        <v>303</v>
      </c>
      <c r="M633" s="33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321</v>
      </c>
      <c r="Q633" s="2" t="s">
        <v>314</v>
      </c>
      <c r="R633">
        <v>27</v>
      </c>
      <c r="S633" s="2">
        <v>42</v>
      </c>
      <c r="T633" t="s">
        <v>288</v>
      </c>
      <c r="U633" t="s">
        <v>291</v>
      </c>
      <c r="V633" t="s">
        <v>292</v>
      </c>
      <c r="W633" s="32">
        <f>IFERROR(VLOOKUP(TA[[#This Row],[Date]],Raw_Data[[Date]:[Sunset Time (POA&lt;20 W/m2)]],3,0),"")</f>
        <v>0.25208333333333333</v>
      </c>
      <c r="X633" s="32">
        <f>IFERROR(VLOOKUP(TA[[#This Row],[Date]],Raw_Data[[Date]:[Sunset Time (POA&lt;20 W/m2)]],3,0),"")</f>
        <v>0.25208333333333333</v>
      </c>
      <c r="Y633" s="26"/>
      <c r="Z633" s="26">
        <v>0.76041666666666663</v>
      </c>
      <c r="AA633" s="27">
        <f>IF(TA[[#This Row],[Work Start time on Fault]]="NA","",(TA[[#This Row],[Fault Acknowledgement Time ]]-TA[[#This Row],[Fault Time]])*24)</f>
        <v>0</v>
      </c>
      <c r="AB633" s="27">
        <f>(TA[[#This Row],[Work Start time on Fault]]-TA[[#This Row],[Fault Time]])*24</f>
        <v>-6.05</v>
      </c>
      <c r="AC633" s="26">
        <f>(TA[[#This Row],[Work Completion time on fault]]-TA[[#This Row],[Fault Time]])*24</f>
        <v>12.2</v>
      </c>
      <c r="AD633" s="27">
        <f>IFERROR((TA[[#This Row],[Work Completion time on fault]]-TA[[#This Row],[Fault Time]])*24,"")</f>
        <v>12.2</v>
      </c>
      <c r="AE633" t="s">
        <v>300</v>
      </c>
      <c r="AF633" t="s">
        <v>247</v>
      </c>
      <c r="AG633" s="2"/>
      <c r="AH633" s="35">
        <f>1-COS(RADIANS(TA[[#This Row],[Avg. Target Angle during Fault Time (Radians)]]-TA[[#This Row],[Angle of affected equipment ]]))</f>
        <v>0.11705240714107301</v>
      </c>
      <c r="AI633" s="27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43">
        <f t="shared" ref="B634:B647" si="39">YEAR(H634)+IF(MONTH(H634)&gt;=4,1,0)</f>
        <v>2026</v>
      </c>
      <c r="C634" s="116">
        <f t="shared" ref="C634:C647" si="40">YEAR(H634)</f>
        <v>2025</v>
      </c>
      <c r="D634" s="2" t="s">
        <v>155</v>
      </c>
      <c r="E634" s="2" t="s">
        <v>155</v>
      </c>
      <c r="F634" s="30">
        <v>45778</v>
      </c>
      <c r="G634" s="2">
        <f>DAY(EOMONTH(TA[[#This Row],[Month Year]],0))</f>
        <v>31</v>
      </c>
      <c r="H634" s="21">
        <v>45788</v>
      </c>
      <c r="I634" s="32">
        <f>IFERROR(VLOOKUP(TA[[#This Row],[Date]],Raw_Data[[Date]:[Sunset Time (POA&lt;20 W/m2)]],3,0),"")</f>
        <v>0.25208333333333333</v>
      </c>
      <c r="J634" s="32">
        <f>IFERROR(VLOOKUP(TA[[#This Row],[Date]],Raw_Data[[Date]:[Sunset Time (POA&lt;20 W/m2)]],4,0),"")</f>
        <v>0.75694444444444442</v>
      </c>
      <c r="K634" s="27">
        <f>IFERROR((TA[[#This Row],[Sunset Time (POA&lt;20 W/m2)]]-TA[[#This Row],[Sunrise Time (POA&gt;20 W/m2)]])*24,"")</f>
        <v>12.116666666666667</v>
      </c>
      <c r="L634" s="2" t="s">
        <v>285</v>
      </c>
      <c r="M634" s="33">
        <f>IFERROR(VLOOKUP(TA[[#This Row],[Affected Equipment]],'Basic Data'!$I$2:$K$40,3,0),"")</f>
        <v>1.7241379310344799E-3</v>
      </c>
      <c r="N634">
        <v>-28</v>
      </c>
      <c r="O634" t="s">
        <v>135</v>
      </c>
      <c r="P634" s="114" t="s">
        <v>309</v>
      </c>
      <c r="Q634" s="113" t="s">
        <v>309</v>
      </c>
      <c r="R634">
        <v>130</v>
      </c>
      <c r="S634" s="2">
        <v>37</v>
      </c>
      <c r="T634" t="s">
        <v>286</v>
      </c>
      <c r="U634" t="s">
        <v>291</v>
      </c>
      <c r="V634" t="s">
        <v>289</v>
      </c>
      <c r="W634" s="32"/>
      <c r="X634" s="32"/>
      <c r="Y634" s="26"/>
      <c r="Z634" s="26"/>
      <c r="AA634" s="27">
        <f>IF(TA[[#This Row],[Work Start time on Fault]]="NA","",(TA[[#This Row],[Fault Acknowledgement Time ]]-TA[[#This Row],[Fault Time]])*24)</f>
        <v>0</v>
      </c>
      <c r="AB634" s="27">
        <f>(TA[[#This Row],[Work Start time on Fault]]-TA[[#This Row],[Fault Time]])*24</f>
        <v>0</v>
      </c>
      <c r="AC634" s="26">
        <f>(TA[[#This Row],[Work Completion time on fault]]-TA[[#This Row],[Fault Time]])*24</f>
        <v>0</v>
      </c>
      <c r="AD634" s="27">
        <f>IFERROR((TA[[#This Row],[Work Completion time on fault]]-TA[[#This Row],[Fault Time]])*24,"")</f>
        <v>0</v>
      </c>
      <c r="AE634" t="s">
        <v>319</v>
      </c>
      <c r="AF634" t="s">
        <v>247</v>
      </c>
      <c r="AG634" s="2"/>
      <c r="AH634" s="35">
        <f>1-COS(RADIANS(TA[[#This Row],[Avg. Target Angle during Fault Time (Radians)]]-TA[[#This Row],[Angle of affected equipment ]]))</f>
        <v>0.11705240714107301</v>
      </c>
      <c r="AI634" s="27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43">
        <f t="shared" si="39"/>
        <v>2026</v>
      </c>
      <c r="C635" s="116">
        <f t="shared" si="40"/>
        <v>2025</v>
      </c>
      <c r="D635" s="2" t="s">
        <v>155</v>
      </c>
      <c r="E635" s="2" t="s">
        <v>155</v>
      </c>
      <c r="F635" s="30">
        <v>45778</v>
      </c>
      <c r="G635" s="2">
        <f>DAY(EOMONTH(TA[[#This Row],[Month Year]],0))</f>
        <v>31</v>
      </c>
      <c r="H635" s="21">
        <v>45788</v>
      </c>
      <c r="I635" s="32">
        <f>IFERROR(VLOOKUP(TA[[#This Row],[Date]],Raw_Data[[Date]:[Sunset Time (POA&lt;20 W/m2)]],3,0),"")</f>
        <v>0.25208333333333333</v>
      </c>
      <c r="J635" s="32">
        <f>IFERROR(VLOOKUP(TA[[#This Row],[Date]],Raw_Data[[Date]:[Sunset Time (POA&lt;20 W/m2)]],4,0),"")</f>
        <v>0.75694444444444442</v>
      </c>
      <c r="K635" s="27">
        <f>IFERROR((TA[[#This Row],[Sunset Time (POA&lt;20 W/m2)]]-TA[[#This Row],[Sunrise Time (POA&gt;20 W/m2)]])*24,"")</f>
        <v>12.116666666666667</v>
      </c>
      <c r="L635" s="2" t="s">
        <v>285</v>
      </c>
      <c r="M635" s="33">
        <f>IFERROR(VLOOKUP(TA[[#This Row],[Affected Equipment]],'Basic Data'!$I$2:$K$40,3,0),"")</f>
        <v>1.7241379310344799E-3</v>
      </c>
      <c r="N635">
        <v>-28</v>
      </c>
      <c r="O635" t="s">
        <v>135</v>
      </c>
      <c r="P635" s="114" t="s">
        <v>309</v>
      </c>
      <c r="Q635" s="113" t="s">
        <v>309</v>
      </c>
      <c r="R635">
        <v>131</v>
      </c>
      <c r="S635" s="2">
        <v>38</v>
      </c>
      <c r="T635" t="s">
        <v>286</v>
      </c>
      <c r="U635" t="s">
        <v>291</v>
      </c>
      <c r="V635" t="s">
        <v>289</v>
      </c>
      <c r="W635" s="32"/>
      <c r="X635" s="32"/>
      <c r="Y635" s="26"/>
      <c r="Z635" s="26"/>
      <c r="AA635" s="27">
        <f>IF(TA[[#This Row],[Work Start time on Fault]]="NA","",(TA[[#This Row],[Fault Acknowledgement Time ]]-TA[[#This Row],[Fault Time]])*24)</f>
        <v>0</v>
      </c>
      <c r="AB635" s="27">
        <f>(TA[[#This Row],[Work Start time on Fault]]-TA[[#This Row],[Fault Time]])*24</f>
        <v>0</v>
      </c>
      <c r="AC635" s="26">
        <f>(TA[[#This Row],[Work Completion time on fault]]-TA[[#This Row],[Fault Time]])*24</f>
        <v>0</v>
      </c>
      <c r="AD635" s="27">
        <f>IFERROR((TA[[#This Row],[Work Completion time on fault]]-TA[[#This Row],[Fault Time]])*24,"")</f>
        <v>0</v>
      </c>
      <c r="AE635" t="s">
        <v>319</v>
      </c>
      <c r="AF635" t="s">
        <v>247</v>
      </c>
      <c r="AG635" s="2"/>
      <c r="AH635" s="35">
        <f>1-COS(RADIANS(TA[[#This Row],[Avg. Target Angle during Fault Time (Radians)]]-TA[[#This Row],[Angle of affected equipment ]]))</f>
        <v>0.11705240714107301</v>
      </c>
      <c r="AI635" s="27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43">
        <f t="shared" si="39"/>
        <v>2026</v>
      </c>
      <c r="C636" s="116">
        <f t="shared" si="40"/>
        <v>2025</v>
      </c>
      <c r="D636" s="2" t="s">
        <v>155</v>
      </c>
      <c r="E636" s="2" t="s">
        <v>155</v>
      </c>
      <c r="F636" s="30">
        <v>45778</v>
      </c>
      <c r="G636" s="2">
        <f>DAY(EOMONTH(TA[[#This Row],[Month Year]],0))</f>
        <v>31</v>
      </c>
      <c r="H636" s="21">
        <v>45788</v>
      </c>
      <c r="I636" s="32">
        <f>IFERROR(VLOOKUP(TA[[#This Row],[Date]],Raw_Data[[Date]:[Sunset Time (POA&lt;20 W/m2)]],3,0),"")</f>
        <v>0.25208333333333333</v>
      </c>
      <c r="J636" s="32">
        <f>IFERROR(VLOOKUP(TA[[#This Row],[Date]],Raw_Data[[Date]:[Sunset Time (POA&lt;20 W/m2)]],4,0),"")</f>
        <v>0.75694444444444442</v>
      </c>
      <c r="K636" s="27">
        <f>IFERROR((TA[[#This Row],[Sunset Time (POA&lt;20 W/m2)]]-TA[[#This Row],[Sunrise Time (POA&gt;20 W/m2)]])*24,"")</f>
        <v>12.116666666666667</v>
      </c>
      <c r="L636" s="2" t="s">
        <v>285</v>
      </c>
      <c r="M636" s="33">
        <f>IFERROR(VLOOKUP(TA[[#This Row],[Affected Equipment]],'Basic Data'!$I$2:$K$40,3,0),"")</f>
        <v>1.7241379310344799E-3</v>
      </c>
      <c r="N636">
        <v>-28</v>
      </c>
      <c r="O636" t="s">
        <v>135</v>
      </c>
      <c r="P636" s="114" t="s">
        <v>309</v>
      </c>
      <c r="Q636" s="113" t="s">
        <v>309</v>
      </c>
      <c r="R636">
        <v>131</v>
      </c>
      <c r="S636" s="2">
        <v>39</v>
      </c>
      <c r="T636" t="s">
        <v>286</v>
      </c>
      <c r="U636" t="s">
        <v>291</v>
      </c>
      <c r="V636" t="s">
        <v>289</v>
      </c>
      <c r="W636" s="32"/>
      <c r="X636" s="32"/>
      <c r="Y636" s="26"/>
      <c r="Z636" s="26"/>
      <c r="AA636" s="27">
        <f>IF(TA[[#This Row],[Work Start time on Fault]]="NA","",(TA[[#This Row],[Fault Acknowledgement Time ]]-TA[[#This Row],[Fault Time]])*24)</f>
        <v>0</v>
      </c>
      <c r="AB636" s="27">
        <f>(TA[[#This Row],[Work Start time on Fault]]-TA[[#This Row],[Fault Time]])*24</f>
        <v>0</v>
      </c>
      <c r="AC636" s="26">
        <f>(TA[[#This Row],[Work Completion time on fault]]-TA[[#This Row],[Fault Time]])*24</f>
        <v>0</v>
      </c>
      <c r="AD636" s="27">
        <f>IFERROR((TA[[#This Row],[Work Completion time on fault]]-TA[[#This Row],[Fault Time]])*24,"")</f>
        <v>0</v>
      </c>
      <c r="AE636" t="s">
        <v>319</v>
      </c>
      <c r="AF636" t="s">
        <v>247</v>
      </c>
      <c r="AG636" s="2"/>
      <c r="AH636" s="35">
        <f>1-COS(RADIANS(TA[[#This Row],[Avg. Target Angle during Fault Time (Radians)]]-TA[[#This Row],[Angle of affected equipment ]]))</f>
        <v>0.11705240714107301</v>
      </c>
      <c r="AI636" s="27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43">
        <f t="shared" si="39"/>
        <v>2026</v>
      </c>
      <c r="C637" s="116">
        <f t="shared" si="40"/>
        <v>2025</v>
      </c>
      <c r="D637" s="2" t="s">
        <v>155</v>
      </c>
      <c r="E637" s="2" t="s">
        <v>155</v>
      </c>
      <c r="F637" s="30">
        <v>45778</v>
      </c>
      <c r="G637" s="2">
        <f>DAY(EOMONTH(TA[[#This Row],[Month Year]],0))</f>
        <v>31</v>
      </c>
      <c r="H637" s="21">
        <v>45788</v>
      </c>
      <c r="I637" s="32">
        <f>IFERROR(VLOOKUP(TA[[#This Row],[Date]],Raw_Data[[Date]:[Sunset Time (POA&lt;20 W/m2)]],3,0),"")</f>
        <v>0.25208333333333333</v>
      </c>
      <c r="J637" s="32">
        <f>IFERROR(VLOOKUP(TA[[#This Row],[Date]],Raw_Data[[Date]:[Sunset Time (POA&lt;20 W/m2)]],4,0),"")</f>
        <v>0.75694444444444442</v>
      </c>
      <c r="K637" s="27">
        <f>IFERROR((TA[[#This Row],[Sunset Time (POA&lt;20 W/m2)]]-TA[[#This Row],[Sunrise Time (POA&gt;20 W/m2)]])*24,"")</f>
        <v>12.116666666666667</v>
      </c>
      <c r="L637" s="2" t="s">
        <v>287</v>
      </c>
      <c r="M637" s="33">
        <f>IFERROR(VLOOKUP(TA[[#This Row],[Affected Equipment]],'Basic Data'!$I$2:$K$40,3,0),"")</f>
        <v>8.6206896551724102E-3</v>
      </c>
      <c r="N637">
        <v>-28</v>
      </c>
      <c r="O637" t="s">
        <v>135</v>
      </c>
      <c r="P637" s="114" t="s">
        <v>309</v>
      </c>
      <c r="Q637" s="2" t="s">
        <v>312</v>
      </c>
      <c r="R637">
        <v>133</v>
      </c>
      <c r="S637" s="2">
        <v>26</v>
      </c>
      <c r="T637" t="s">
        <v>288</v>
      </c>
      <c r="U637" t="s">
        <v>291</v>
      </c>
      <c r="V637" t="s">
        <v>305</v>
      </c>
      <c r="W637" s="32">
        <f>IFERROR(VLOOKUP(TA[[#This Row],[Date]],Raw_Data[[Date]:[Sunset Time (POA&lt;20 W/m2)]],3,0),"")</f>
        <v>0.25208333333333333</v>
      </c>
      <c r="X637" s="32">
        <f>IFERROR(VLOOKUP(TA[[#This Row],[Date]],Raw_Data[[Date]:[Sunset Time (POA&lt;20 W/m2)]],3,0),"")</f>
        <v>0.25208333333333333</v>
      </c>
      <c r="Y637" s="26"/>
      <c r="Z637" s="26">
        <v>0.76041666666666663</v>
      </c>
      <c r="AA637" s="27">
        <f>IF(TA[[#This Row],[Work Start time on Fault]]="NA","",(TA[[#This Row],[Fault Acknowledgement Time ]]-TA[[#This Row],[Fault Time]])*24)</f>
        <v>0</v>
      </c>
      <c r="AB637" s="27">
        <f>(TA[[#This Row],[Work Start time on Fault]]-TA[[#This Row],[Fault Time]])*24</f>
        <v>-6.05</v>
      </c>
      <c r="AC637" s="26">
        <f>(TA[[#This Row],[Work Completion time on fault]]-TA[[#This Row],[Fault Time]])*24</f>
        <v>12.2</v>
      </c>
      <c r="AD637" s="27">
        <f>IFERROR((TA[[#This Row],[Work Completion time on fault]]-TA[[#This Row],[Fault Time]])*24,"")</f>
        <v>12.2</v>
      </c>
      <c r="AE637" t="s">
        <v>319</v>
      </c>
      <c r="AF637" t="s">
        <v>247</v>
      </c>
      <c r="AG637" s="2"/>
      <c r="AH637" s="35">
        <f>1-COS(RADIANS(TA[[#This Row],[Avg. Target Angle during Fault Time (Radians)]]-TA[[#This Row],[Angle of affected equipment ]]))</f>
        <v>0.11705240714107301</v>
      </c>
      <c r="AI637" s="27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43">
        <f t="shared" si="39"/>
        <v>2026</v>
      </c>
      <c r="C638" s="116">
        <f t="shared" si="40"/>
        <v>2025</v>
      </c>
      <c r="D638" s="2" t="s">
        <v>155</v>
      </c>
      <c r="E638" s="2" t="s">
        <v>155</v>
      </c>
      <c r="F638" s="30">
        <v>45778</v>
      </c>
      <c r="G638" s="2">
        <f>DAY(EOMONTH(TA[[#This Row],[Month Year]],0))</f>
        <v>31</v>
      </c>
      <c r="H638" s="21">
        <v>45788</v>
      </c>
      <c r="I638" s="32">
        <f>IFERROR(VLOOKUP(TA[[#This Row],[Date]],Raw_Data[[Date]:[Sunset Time (POA&lt;20 W/m2)]],3,0),"")</f>
        <v>0.25208333333333333</v>
      </c>
      <c r="J638" s="32">
        <f>IFERROR(VLOOKUP(TA[[#This Row],[Date]],Raw_Data[[Date]:[Sunset Time (POA&lt;20 W/m2)]],4,0),"")</f>
        <v>0.75694444444444442</v>
      </c>
      <c r="K638" s="27">
        <f>IFERROR((TA[[#This Row],[Sunset Time (POA&lt;20 W/m2)]]-TA[[#This Row],[Sunrise Time (POA&gt;20 W/m2)]])*24,"")</f>
        <v>12.116666666666667</v>
      </c>
      <c r="L638" s="2" t="s">
        <v>285</v>
      </c>
      <c r="M638" s="33">
        <f>IFERROR(VLOOKUP(TA[[#This Row],[Affected Equipment]],'Basic Data'!$I$2:$K$40,3,0),"")</f>
        <v>1.7241379310344799E-3</v>
      </c>
      <c r="N638">
        <v>-28</v>
      </c>
      <c r="O638" t="s">
        <v>133</v>
      </c>
      <c r="P638" s="114" t="s">
        <v>307</v>
      </c>
      <c r="Q638" s="113" t="s">
        <v>308</v>
      </c>
      <c r="R638">
        <v>7</v>
      </c>
      <c r="S638" s="2">
        <v>32</v>
      </c>
      <c r="T638" t="s">
        <v>286</v>
      </c>
      <c r="U638" t="s">
        <v>291</v>
      </c>
      <c r="V638" t="s">
        <v>289</v>
      </c>
      <c r="W638" s="32"/>
      <c r="X638" s="32"/>
      <c r="Y638" s="26"/>
      <c r="Z638" s="26"/>
      <c r="AA638" s="27">
        <f>IF(TA[[#This Row],[Work Start time on Fault]]="NA","",(TA[[#This Row],[Fault Acknowledgement Time ]]-TA[[#This Row],[Fault Time]])*24)</f>
        <v>0</v>
      </c>
      <c r="AB638" s="27">
        <f>(TA[[#This Row],[Work Start time on Fault]]-TA[[#This Row],[Fault Time]])*24</f>
        <v>0</v>
      </c>
      <c r="AC638" s="26">
        <f>(TA[[#This Row],[Work Completion time on fault]]-TA[[#This Row],[Fault Time]])*24</f>
        <v>0</v>
      </c>
      <c r="AD638" s="27">
        <f>IFERROR((TA[[#This Row],[Work Completion time on fault]]-TA[[#This Row],[Fault Time]])*24,"")</f>
        <v>0</v>
      </c>
      <c r="AE638" t="s">
        <v>319</v>
      </c>
      <c r="AF638" t="s">
        <v>247</v>
      </c>
      <c r="AG638" s="2"/>
      <c r="AH638" s="35">
        <f>1-COS(RADIANS(TA[[#This Row],[Avg. Target Angle during Fault Time (Radians)]]-TA[[#This Row],[Angle of affected equipment ]]))</f>
        <v>0.11705240714107301</v>
      </c>
      <c r="AI638" s="27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43">
        <f t="shared" si="39"/>
        <v>2026</v>
      </c>
      <c r="C639" s="116">
        <f t="shared" si="40"/>
        <v>2025</v>
      </c>
      <c r="D639" s="2" t="s">
        <v>155</v>
      </c>
      <c r="E639" s="2" t="s">
        <v>155</v>
      </c>
      <c r="F639" s="30">
        <v>45778</v>
      </c>
      <c r="G639" s="2">
        <f>DAY(EOMONTH(TA[[#This Row],[Month Year]],0))</f>
        <v>31</v>
      </c>
      <c r="H639" s="21">
        <v>45788</v>
      </c>
      <c r="I639" s="32">
        <f>IFERROR(VLOOKUP(TA[[#This Row],[Date]],Raw_Data[[Date]:[Sunset Time (POA&lt;20 W/m2)]],3,0),"")</f>
        <v>0.25208333333333333</v>
      </c>
      <c r="J639" s="32">
        <f>IFERROR(VLOOKUP(TA[[#This Row],[Date]],Raw_Data[[Date]:[Sunset Time (POA&lt;20 W/m2)]],4,0),"")</f>
        <v>0.75694444444444442</v>
      </c>
      <c r="K639" s="27">
        <f>IFERROR((TA[[#This Row],[Sunset Time (POA&lt;20 W/m2)]]-TA[[#This Row],[Sunrise Time (POA&gt;20 W/m2)]])*24,"")</f>
        <v>12.116666666666667</v>
      </c>
      <c r="L639" s="2" t="s">
        <v>285</v>
      </c>
      <c r="M639" s="33">
        <f>IFERROR(VLOOKUP(TA[[#This Row],[Affected Equipment]],'Basic Data'!$I$2:$K$40,3,0),"")</f>
        <v>1.7241379310344799E-3</v>
      </c>
      <c r="N639">
        <v>-28</v>
      </c>
      <c r="O639" t="s">
        <v>137</v>
      </c>
      <c r="P639" s="114" t="s">
        <v>306</v>
      </c>
      <c r="Q639" s="113" t="s">
        <v>310</v>
      </c>
      <c r="R639">
        <v>166</v>
      </c>
      <c r="S639" s="2">
        <v>91</v>
      </c>
      <c r="T639" t="s">
        <v>286</v>
      </c>
      <c r="U639" t="s">
        <v>291</v>
      </c>
      <c r="V639" t="s">
        <v>289</v>
      </c>
      <c r="W639" s="32"/>
      <c r="X639" s="32"/>
      <c r="Y639" s="26"/>
      <c r="Z639" s="26"/>
      <c r="AA639" s="27">
        <f>IF(TA[[#This Row],[Work Start time on Fault]]="NA","",(TA[[#This Row],[Fault Acknowledgement Time ]]-TA[[#This Row],[Fault Time]])*24)</f>
        <v>0</v>
      </c>
      <c r="AB639" s="27">
        <f>(TA[[#This Row],[Work Start time on Fault]]-TA[[#This Row],[Fault Time]])*24</f>
        <v>0</v>
      </c>
      <c r="AC639" s="26">
        <f>(TA[[#This Row],[Work Completion time on fault]]-TA[[#This Row],[Fault Time]])*24</f>
        <v>0</v>
      </c>
      <c r="AD639" s="27">
        <f>IFERROR((TA[[#This Row],[Work Completion time on fault]]-TA[[#This Row],[Fault Time]])*24,"")</f>
        <v>0</v>
      </c>
      <c r="AE639" t="s">
        <v>319</v>
      </c>
      <c r="AF639" t="s">
        <v>247</v>
      </c>
      <c r="AG639" s="2"/>
      <c r="AH639" s="35">
        <f>1-COS(RADIANS(TA[[#This Row],[Avg. Target Angle during Fault Time (Radians)]]-TA[[#This Row],[Angle of affected equipment ]]))</f>
        <v>0.11705240714107301</v>
      </c>
      <c r="AI639" s="27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43">
        <f t="shared" si="39"/>
        <v>2026</v>
      </c>
      <c r="C640" s="116">
        <f t="shared" si="40"/>
        <v>2025</v>
      </c>
      <c r="D640" s="2" t="s">
        <v>155</v>
      </c>
      <c r="E640" s="2" t="s">
        <v>155</v>
      </c>
      <c r="F640" s="30">
        <v>45778</v>
      </c>
      <c r="G640" s="2">
        <f>DAY(EOMONTH(TA[[#This Row],[Month Year]],0))</f>
        <v>31</v>
      </c>
      <c r="H640" s="21">
        <v>45788</v>
      </c>
      <c r="I640" s="32">
        <f>IFERROR(VLOOKUP(TA[[#This Row],[Date]],Raw_Data[[Date]:[Sunset Time (POA&lt;20 W/m2)]],3,0),"")</f>
        <v>0.25208333333333333</v>
      </c>
      <c r="J640" s="32">
        <f>IFERROR(VLOOKUP(TA[[#This Row],[Date]],Raw_Data[[Date]:[Sunset Time (POA&lt;20 W/m2)]],4,0),"")</f>
        <v>0.75694444444444442</v>
      </c>
      <c r="K640" s="27">
        <f>IFERROR((TA[[#This Row],[Sunset Time (POA&lt;20 W/m2)]]-TA[[#This Row],[Sunrise Time (POA&gt;20 W/m2)]])*24,"")</f>
        <v>12.116666666666667</v>
      </c>
      <c r="L640" s="2" t="s">
        <v>285</v>
      </c>
      <c r="M640" s="33">
        <f>IFERROR(VLOOKUP(TA[[#This Row],[Affected Equipment]],'Basic Data'!$I$2:$K$40,3,0),"")</f>
        <v>1.7241379310344799E-3</v>
      </c>
      <c r="N640">
        <v>-28</v>
      </c>
      <c r="O640" t="s">
        <v>133</v>
      </c>
      <c r="P640" s="114" t="s">
        <v>307</v>
      </c>
      <c r="Q640" s="113" t="s">
        <v>307</v>
      </c>
      <c r="R640">
        <v>117</v>
      </c>
      <c r="S640" s="2">
        <v>20</v>
      </c>
      <c r="T640" t="s">
        <v>286</v>
      </c>
      <c r="U640" t="s">
        <v>291</v>
      </c>
      <c r="V640" t="s">
        <v>289</v>
      </c>
      <c r="W640" s="32"/>
      <c r="X640" s="32"/>
      <c r="Y640" s="26"/>
      <c r="Z640" s="26"/>
      <c r="AA640" s="27">
        <f>IF(TA[[#This Row],[Work Start time on Fault]]="NA","",(TA[[#This Row],[Fault Acknowledgement Time ]]-TA[[#This Row],[Fault Time]])*24)</f>
        <v>0</v>
      </c>
      <c r="AB640" s="27">
        <f>(TA[[#This Row],[Work Start time on Fault]]-TA[[#This Row],[Fault Time]])*24</f>
        <v>0</v>
      </c>
      <c r="AC640" s="26">
        <f>(TA[[#This Row],[Work Completion time on fault]]-TA[[#This Row],[Fault Time]])*24</f>
        <v>0</v>
      </c>
      <c r="AD640" s="27">
        <f>IFERROR((TA[[#This Row],[Work Completion time on fault]]-TA[[#This Row],[Fault Time]])*24,"")</f>
        <v>0</v>
      </c>
      <c r="AE640" t="s">
        <v>319</v>
      </c>
      <c r="AF640" t="s">
        <v>247</v>
      </c>
      <c r="AG640" s="2"/>
      <c r="AH640" s="35">
        <f>1-COS(RADIANS(TA[[#This Row],[Avg. Target Angle during Fault Time (Radians)]]-TA[[#This Row],[Angle of affected equipment ]]))</f>
        <v>0.11705240714107301</v>
      </c>
      <c r="AI640" s="27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43">
        <f t="shared" si="39"/>
        <v>2026</v>
      </c>
      <c r="C641" s="116">
        <f t="shared" si="40"/>
        <v>2025</v>
      </c>
      <c r="D641" s="2" t="s">
        <v>155</v>
      </c>
      <c r="E641" s="2" t="s">
        <v>155</v>
      </c>
      <c r="F641" s="30">
        <v>45778</v>
      </c>
      <c r="G641" s="2">
        <f>DAY(EOMONTH(TA[[#This Row],[Month Year]],0))</f>
        <v>31</v>
      </c>
      <c r="H641" s="21">
        <v>45788</v>
      </c>
      <c r="I641" s="32">
        <f>IFERROR(VLOOKUP(TA[[#This Row],[Date]],Raw_Data[[Date]:[Sunset Time (POA&lt;20 W/m2)]],3,0),"")</f>
        <v>0.25208333333333333</v>
      </c>
      <c r="J641" s="32">
        <f>IFERROR(VLOOKUP(TA[[#This Row],[Date]],Raw_Data[[Date]:[Sunset Time (POA&lt;20 W/m2)]],4,0),"")</f>
        <v>0.75694444444444442</v>
      </c>
      <c r="K641" s="27">
        <f>IFERROR((TA[[#This Row],[Sunset Time (POA&lt;20 W/m2)]]-TA[[#This Row],[Sunrise Time (POA&gt;20 W/m2)]])*24,"")</f>
        <v>12.116666666666667</v>
      </c>
      <c r="L641" s="2" t="s">
        <v>285</v>
      </c>
      <c r="M641" s="33">
        <f>IFERROR(VLOOKUP(TA[[#This Row],[Affected Equipment]],'Basic Data'!$I$2:$K$40,3,0),"")</f>
        <v>1.7241379310344799E-3</v>
      </c>
      <c r="N641">
        <v>-28</v>
      </c>
      <c r="O641" t="s">
        <v>133</v>
      </c>
      <c r="P641" s="114" t="s">
        <v>307</v>
      </c>
      <c r="Q641" s="113" t="s">
        <v>307</v>
      </c>
      <c r="R641">
        <v>118</v>
      </c>
      <c r="S641" s="2">
        <v>22</v>
      </c>
      <c r="T641" t="s">
        <v>286</v>
      </c>
      <c r="U641" t="s">
        <v>291</v>
      </c>
      <c r="V641" t="s">
        <v>289</v>
      </c>
      <c r="W641" s="32"/>
      <c r="X641" s="32"/>
      <c r="Y641" s="26"/>
      <c r="Z641" s="26"/>
      <c r="AA641" s="27">
        <f>IF(TA[[#This Row],[Work Start time on Fault]]="NA","",(TA[[#This Row],[Fault Acknowledgement Time ]]-TA[[#This Row],[Fault Time]])*24)</f>
        <v>0</v>
      </c>
      <c r="AB641" s="27">
        <f>(TA[[#This Row],[Work Start time on Fault]]-TA[[#This Row],[Fault Time]])*24</f>
        <v>0</v>
      </c>
      <c r="AC641" s="26">
        <f>(TA[[#This Row],[Work Completion time on fault]]-TA[[#This Row],[Fault Time]])*24</f>
        <v>0</v>
      </c>
      <c r="AD641" s="27">
        <f>IFERROR((TA[[#This Row],[Work Completion time on fault]]-TA[[#This Row],[Fault Time]])*24,"")</f>
        <v>0</v>
      </c>
      <c r="AE641" t="s">
        <v>319</v>
      </c>
      <c r="AF641" t="s">
        <v>247</v>
      </c>
      <c r="AG641" s="2"/>
      <c r="AH641" s="35">
        <f>1-COS(RADIANS(TA[[#This Row],[Avg. Target Angle during Fault Time (Radians)]]-TA[[#This Row],[Angle of affected equipment ]]))</f>
        <v>0.11705240714107301</v>
      </c>
      <c r="AI641" s="27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43">
        <f t="shared" si="39"/>
        <v>2026</v>
      </c>
      <c r="C642" s="116">
        <f t="shared" si="40"/>
        <v>2025</v>
      </c>
      <c r="D642" s="2" t="s">
        <v>155</v>
      </c>
      <c r="E642" s="2" t="s">
        <v>155</v>
      </c>
      <c r="F642" s="30">
        <v>45778</v>
      </c>
      <c r="G642" s="2">
        <f>DAY(EOMONTH(TA[[#This Row],[Month Year]],0))</f>
        <v>31</v>
      </c>
      <c r="H642" s="21">
        <v>45788</v>
      </c>
      <c r="I642" s="32">
        <f>IFERROR(VLOOKUP(TA[[#This Row],[Date]],Raw_Data[[Date]:[Sunset Time (POA&lt;20 W/m2)]],3,0),"")</f>
        <v>0.25208333333333333</v>
      </c>
      <c r="J642" s="32">
        <f>IFERROR(VLOOKUP(TA[[#This Row],[Date]],Raw_Data[[Date]:[Sunset Time (POA&lt;20 W/m2)]],4,0),"")</f>
        <v>0.75694444444444442</v>
      </c>
      <c r="K642" s="27">
        <f>IFERROR((TA[[#This Row],[Sunset Time (POA&lt;20 W/m2)]]-TA[[#This Row],[Sunrise Time (POA&gt;20 W/m2)]])*24,"")</f>
        <v>12.116666666666667</v>
      </c>
      <c r="L642" s="2" t="s">
        <v>287</v>
      </c>
      <c r="M642" s="33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314</v>
      </c>
      <c r="Q642" s="2" t="s">
        <v>320</v>
      </c>
      <c r="R642">
        <v>45</v>
      </c>
      <c r="S642" s="2">
        <v>8</v>
      </c>
      <c r="T642" t="s">
        <v>288</v>
      </c>
      <c r="U642" t="s">
        <v>291</v>
      </c>
      <c r="V642" t="s">
        <v>292</v>
      </c>
      <c r="W642" s="32"/>
      <c r="X642" s="32"/>
      <c r="Y642" s="26"/>
      <c r="Z642" s="26"/>
      <c r="AA642" s="27">
        <f>IF(TA[[#This Row],[Work Start time on Fault]]="NA","",(TA[[#This Row],[Fault Acknowledgement Time ]]-TA[[#This Row],[Fault Time]])*24)</f>
        <v>0</v>
      </c>
      <c r="AB642" s="27">
        <f>(TA[[#This Row],[Work Start time on Fault]]-TA[[#This Row],[Fault Time]])*24</f>
        <v>0</v>
      </c>
      <c r="AC642" s="26">
        <f>(TA[[#This Row],[Work Completion time on fault]]-TA[[#This Row],[Fault Time]])*24</f>
        <v>0</v>
      </c>
      <c r="AD642" s="27">
        <f>IFERROR((TA[[#This Row],[Work Completion time on fault]]-TA[[#This Row],[Fault Time]])*24,"")</f>
        <v>0</v>
      </c>
      <c r="AE642" t="s">
        <v>319</v>
      </c>
      <c r="AF642" t="s">
        <v>247</v>
      </c>
      <c r="AG642" s="2"/>
      <c r="AH642" s="35">
        <f>1-COS(RADIANS(TA[[#This Row],[Avg. Target Angle during Fault Time (Radians)]]-TA[[#This Row],[Angle of affected equipment ]]))</f>
        <v>0.11705240714107301</v>
      </c>
      <c r="AI642" s="27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43">
        <f t="shared" si="39"/>
        <v>2026</v>
      </c>
      <c r="C643" s="116">
        <f t="shared" si="40"/>
        <v>2025</v>
      </c>
      <c r="D643" s="2" t="s">
        <v>155</v>
      </c>
      <c r="E643" s="2" t="s">
        <v>155</v>
      </c>
      <c r="F643" s="30">
        <v>45778</v>
      </c>
      <c r="G643" s="2">
        <f>DAY(EOMONTH(TA[[#This Row],[Month Year]],0))</f>
        <v>31</v>
      </c>
      <c r="H643" s="21">
        <v>45788</v>
      </c>
      <c r="I643" s="32">
        <f>IFERROR(VLOOKUP(TA[[#This Row],[Date]],Raw_Data[[Date]:[Sunset Time (POA&lt;20 W/m2)]],3,0),"")</f>
        <v>0.25208333333333333</v>
      </c>
      <c r="J643" s="32">
        <f>IFERROR(VLOOKUP(TA[[#This Row],[Date]],Raw_Data[[Date]:[Sunset Time (POA&lt;20 W/m2)]],4,0),"")</f>
        <v>0.75694444444444442</v>
      </c>
      <c r="K643" s="27">
        <f>IFERROR((TA[[#This Row],[Sunset Time (POA&lt;20 W/m2)]]-TA[[#This Row],[Sunrise Time (POA&gt;20 W/m2)]])*24,"")</f>
        <v>12.116666666666667</v>
      </c>
      <c r="L643" s="2" t="s">
        <v>287</v>
      </c>
      <c r="M643" s="33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314</v>
      </c>
      <c r="Q643" s="2" t="s">
        <v>320</v>
      </c>
      <c r="R643">
        <v>47</v>
      </c>
      <c r="S643" s="2">
        <v>18</v>
      </c>
      <c r="T643" t="s">
        <v>288</v>
      </c>
      <c r="U643" t="s">
        <v>291</v>
      </c>
      <c r="V643" t="s">
        <v>292</v>
      </c>
      <c r="W643" s="32"/>
      <c r="X643" s="32"/>
      <c r="Y643" s="26"/>
      <c r="Z643" s="26"/>
      <c r="AA643" s="27">
        <f>IF(TA[[#This Row],[Work Start time on Fault]]="NA","",(TA[[#This Row],[Fault Acknowledgement Time ]]-TA[[#This Row],[Fault Time]])*24)</f>
        <v>0</v>
      </c>
      <c r="AB643" s="27">
        <f>(TA[[#This Row],[Work Start time on Fault]]-TA[[#This Row],[Fault Time]])*24</f>
        <v>0</v>
      </c>
      <c r="AC643" s="26">
        <f>(TA[[#This Row],[Work Completion time on fault]]-TA[[#This Row],[Fault Time]])*24</f>
        <v>0</v>
      </c>
      <c r="AD643" s="27">
        <f>IFERROR((TA[[#This Row],[Work Completion time on fault]]-TA[[#This Row],[Fault Time]])*24,"")</f>
        <v>0</v>
      </c>
      <c r="AE643" t="s">
        <v>319</v>
      </c>
      <c r="AF643" t="s">
        <v>247</v>
      </c>
      <c r="AG643" s="2"/>
      <c r="AH643" s="35">
        <f>1-COS(RADIANS(TA[[#This Row],[Avg. Target Angle during Fault Time (Radians)]]-TA[[#This Row],[Angle of affected equipment ]]))</f>
        <v>0.11705240714107301</v>
      </c>
      <c r="AI643" s="27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43">
        <f t="shared" si="39"/>
        <v>2026</v>
      </c>
      <c r="C644" s="116">
        <f t="shared" si="40"/>
        <v>2025</v>
      </c>
      <c r="D644" s="2" t="s">
        <v>155</v>
      </c>
      <c r="E644" s="2" t="s">
        <v>155</v>
      </c>
      <c r="F644" s="30">
        <v>45778</v>
      </c>
      <c r="G644" s="2">
        <f>DAY(EOMONTH(TA[[#This Row],[Month Year]],0))</f>
        <v>31</v>
      </c>
      <c r="H644" s="21">
        <v>45788</v>
      </c>
      <c r="I644" s="32">
        <f>IFERROR(VLOOKUP(TA[[#This Row],[Date]],Raw_Data[[Date]:[Sunset Time (POA&lt;20 W/m2)]],3,0),"")</f>
        <v>0.25208333333333333</v>
      </c>
      <c r="J644" s="32">
        <f>IFERROR(VLOOKUP(TA[[#This Row],[Date]],Raw_Data[[Date]:[Sunset Time (POA&lt;20 W/m2)]],4,0),"")</f>
        <v>0.75694444444444442</v>
      </c>
      <c r="K644" s="27">
        <f>IFERROR((TA[[#This Row],[Sunset Time (POA&lt;20 W/m2)]]-TA[[#This Row],[Sunrise Time (POA&gt;20 W/m2)]])*24,"")</f>
        <v>12.116666666666667</v>
      </c>
      <c r="L644" s="2" t="s">
        <v>287</v>
      </c>
      <c r="M644" s="33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321</v>
      </c>
      <c r="Q644" s="2" t="s">
        <v>314</v>
      </c>
      <c r="R644">
        <v>30</v>
      </c>
      <c r="S644" s="2">
        <v>57</v>
      </c>
      <c r="T644" t="s">
        <v>288</v>
      </c>
      <c r="U644" t="s">
        <v>291</v>
      </c>
      <c r="V644" t="s">
        <v>292</v>
      </c>
      <c r="W644" s="32"/>
      <c r="X644" s="32"/>
      <c r="Y644" s="26"/>
      <c r="Z644" s="26"/>
      <c r="AA644" s="27">
        <f>IF(TA[[#This Row],[Work Start time on Fault]]="NA","",(TA[[#This Row],[Fault Acknowledgement Time ]]-TA[[#This Row],[Fault Time]])*24)</f>
        <v>0</v>
      </c>
      <c r="AB644" s="27">
        <f>(TA[[#This Row],[Work Start time on Fault]]-TA[[#This Row],[Fault Time]])*24</f>
        <v>0</v>
      </c>
      <c r="AC644" s="26">
        <f>(TA[[#This Row],[Work Completion time on fault]]-TA[[#This Row],[Fault Time]])*24</f>
        <v>0</v>
      </c>
      <c r="AD644" s="27">
        <f>IFERROR((TA[[#This Row],[Work Completion time on fault]]-TA[[#This Row],[Fault Time]])*24,"")</f>
        <v>0</v>
      </c>
      <c r="AE644" t="s">
        <v>319</v>
      </c>
      <c r="AF644" t="s">
        <v>247</v>
      </c>
      <c r="AG644" s="2"/>
      <c r="AH644" s="35">
        <f>1-COS(RADIANS(TA[[#This Row],[Avg. Target Angle during Fault Time (Radians)]]-TA[[#This Row],[Angle of affected equipment ]]))</f>
        <v>0.11705240714107301</v>
      </c>
      <c r="AI644" s="27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43">
        <f t="shared" si="39"/>
        <v>2026</v>
      </c>
      <c r="C645" s="116">
        <f t="shared" si="40"/>
        <v>2025</v>
      </c>
      <c r="D645" s="2" t="s">
        <v>155</v>
      </c>
      <c r="E645" s="2" t="s">
        <v>155</v>
      </c>
      <c r="F645" s="30">
        <v>45778</v>
      </c>
      <c r="G645" s="2">
        <f>DAY(EOMONTH(TA[[#This Row],[Month Year]],0))</f>
        <v>31</v>
      </c>
      <c r="H645" s="21">
        <v>45788</v>
      </c>
      <c r="I645" s="32">
        <f>IFERROR(VLOOKUP(TA[[#This Row],[Date]],Raw_Data[[Date]:[Sunset Time (POA&lt;20 W/m2)]],3,0),"")</f>
        <v>0.25208333333333333</v>
      </c>
      <c r="J645" s="32">
        <f>IFERROR(VLOOKUP(TA[[#This Row],[Date]],Raw_Data[[Date]:[Sunset Time (POA&lt;20 W/m2)]],4,0),"")</f>
        <v>0.75694444444444442</v>
      </c>
      <c r="K645" s="27">
        <f>IFERROR((TA[[#This Row],[Sunset Time (POA&lt;20 W/m2)]]-TA[[#This Row],[Sunrise Time (POA&gt;20 W/m2)]])*24,"")</f>
        <v>12.116666666666667</v>
      </c>
      <c r="L645" s="2" t="s">
        <v>287</v>
      </c>
      <c r="M645" s="33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321</v>
      </c>
      <c r="Q645" s="2" t="s">
        <v>314</v>
      </c>
      <c r="R645">
        <v>31</v>
      </c>
      <c r="S645" s="2">
        <v>61</v>
      </c>
      <c r="T645" t="s">
        <v>288</v>
      </c>
      <c r="U645" t="s">
        <v>291</v>
      </c>
      <c r="V645" t="s">
        <v>292</v>
      </c>
      <c r="W645" s="32"/>
      <c r="X645" s="32"/>
      <c r="Y645" s="26"/>
      <c r="Z645" s="26"/>
      <c r="AA645" s="27">
        <f>IF(TA[[#This Row],[Work Start time on Fault]]="NA","",(TA[[#This Row],[Fault Acknowledgement Time ]]-TA[[#This Row],[Fault Time]])*24)</f>
        <v>0</v>
      </c>
      <c r="AB645" s="27">
        <f>(TA[[#This Row],[Work Start time on Fault]]-TA[[#This Row],[Fault Time]])*24</f>
        <v>0</v>
      </c>
      <c r="AC645" s="26">
        <f>(TA[[#This Row],[Work Completion time on fault]]-TA[[#This Row],[Fault Time]])*24</f>
        <v>0</v>
      </c>
      <c r="AD645" s="27">
        <f>IFERROR((TA[[#This Row],[Work Completion time on fault]]-TA[[#This Row],[Fault Time]])*24,"")</f>
        <v>0</v>
      </c>
      <c r="AE645" t="s">
        <v>319</v>
      </c>
      <c r="AF645" t="s">
        <v>247</v>
      </c>
      <c r="AG645" s="2"/>
      <c r="AH645" s="35">
        <f>1-COS(RADIANS(TA[[#This Row],[Avg. Target Angle during Fault Time (Radians)]]-TA[[#This Row],[Angle of affected equipment ]]))</f>
        <v>0.11705240714107301</v>
      </c>
      <c r="AI645" s="27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43">
        <f t="shared" si="39"/>
        <v>2026</v>
      </c>
      <c r="C646" s="116">
        <f t="shared" si="40"/>
        <v>2025</v>
      </c>
      <c r="D646" s="2" t="s">
        <v>155</v>
      </c>
      <c r="E646" s="2" t="s">
        <v>155</v>
      </c>
      <c r="F646" s="30">
        <v>45778</v>
      </c>
      <c r="G646" s="2">
        <f>DAY(EOMONTH(TA[[#This Row],[Month Year]],0))</f>
        <v>31</v>
      </c>
      <c r="H646" s="21">
        <v>45788</v>
      </c>
      <c r="I646" s="32">
        <f>IFERROR(VLOOKUP(TA[[#This Row],[Date]],Raw_Data[[Date]:[Sunset Time (POA&lt;20 W/m2)]],3,0),"")</f>
        <v>0.25208333333333333</v>
      </c>
      <c r="J646" s="32">
        <f>IFERROR(VLOOKUP(TA[[#This Row],[Date]],Raw_Data[[Date]:[Sunset Time (POA&lt;20 W/m2)]],4,0),"")</f>
        <v>0.75694444444444442</v>
      </c>
      <c r="K646" s="27">
        <f>IFERROR((TA[[#This Row],[Sunset Time (POA&lt;20 W/m2)]]-TA[[#This Row],[Sunrise Time (POA&gt;20 W/m2)]])*24,"")</f>
        <v>12.116666666666667</v>
      </c>
      <c r="L646" s="2" t="s">
        <v>303</v>
      </c>
      <c r="M646" s="33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321</v>
      </c>
      <c r="Q646" s="2" t="s">
        <v>314</v>
      </c>
      <c r="R646">
        <v>26</v>
      </c>
      <c r="S646" s="2">
        <v>37</v>
      </c>
      <c r="T646" t="s">
        <v>288</v>
      </c>
      <c r="U646" t="s">
        <v>291</v>
      </c>
      <c r="V646" t="s">
        <v>292</v>
      </c>
      <c r="W646" s="32"/>
      <c r="X646" s="32"/>
      <c r="Y646" s="26"/>
      <c r="Z646" s="26"/>
      <c r="AA646" s="27">
        <f>IF(TA[[#This Row],[Work Start time on Fault]]="NA","",(TA[[#This Row],[Fault Acknowledgement Time ]]-TA[[#This Row],[Fault Time]])*24)</f>
        <v>0</v>
      </c>
      <c r="AB646" s="27">
        <f>(TA[[#This Row],[Work Start time on Fault]]-TA[[#This Row],[Fault Time]])*24</f>
        <v>0</v>
      </c>
      <c r="AC646" s="26">
        <f>(TA[[#This Row],[Work Completion time on fault]]-TA[[#This Row],[Fault Time]])*24</f>
        <v>0</v>
      </c>
      <c r="AD646" s="27">
        <f>IFERROR((TA[[#This Row],[Work Completion time on fault]]-TA[[#This Row],[Fault Time]])*24,"")</f>
        <v>0</v>
      </c>
      <c r="AE646" t="s">
        <v>319</v>
      </c>
      <c r="AF646" t="s">
        <v>247</v>
      </c>
      <c r="AG646" s="2"/>
      <c r="AH646" s="35">
        <f>1-COS(RADIANS(TA[[#This Row],[Avg. Target Angle during Fault Time (Radians)]]-TA[[#This Row],[Angle of affected equipment ]]))</f>
        <v>0.11705240714107301</v>
      </c>
      <c r="AI646" s="27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43">
        <f t="shared" si="39"/>
        <v>2026</v>
      </c>
      <c r="C647" s="116">
        <f t="shared" si="40"/>
        <v>2025</v>
      </c>
      <c r="D647" s="2" t="s">
        <v>155</v>
      </c>
      <c r="E647" s="2" t="s">
        <v>155</v>
      </c>
      <c r="F647" s="30">
        <v>45778</v>
      </c>
      <c r="G647" s="2">
        <f>DAY(EOMONTH(TA[[#This Row],[Month Year]],0))</f>
        <v>31</v>
      </c>
      <c r="H647" s="21">
        <v>45788</v>
      </c>
      <c r="I647" s="32">
        <f>IFERROR(VLOOKUP(TA[[#This Row],[Date]],Raw_Data[[Date]:[Sunset Time (POA&lt;20 W/m2)]],3,0),"")</f>
        <v>0.25208333333333333</v>
      </c>
      <c r="J647" s="32">
        <f>IFERROR(VLOOKUP(TA[[#This Row],[Date]],Raw_Data[[Date]:[Sunset Time (POA&lt;20 W/m2)]],4,0),"")</f>
        <v>0.75694444444444442</v>
      </c>
      <c r="K647" s="27">
        <f>IFERROR((TA[[#This Row],[Sunset Time (POA&lt;20 W/m2)]]-TA[[#This Row],[Sunrise Time (POA&gt;20 W/m2)]])*24,"")</f>
        <v>12.116666666666667</v>
      </c>
      <c r="L647" s="2" t="s">
        <v>303</v>
      </c>
      <c r="M647" s="33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321</v>
      </c>
      <c r="Q647" s="2" t="s">
        <v>314</v>
      </c>
      <c r="R647">
        <v>27</v>
      </c>
      <c r="S647" s="2">
        <v>42</v>
      </c>
      <c r="T647" t="s">
        <v>288</v>
      </c>
      <c r="U647" t="s">
        <v>291</v>
      </c>
      <c r="V647" t="s">
        <v>292</v>
      </c>
      <c r="W647" s="32">
        <f>IFERROR(VLOOKUP(TA[[#This Row],[Date]],Raw_Data[[Date]:[Sunset Time (POA&lt;20 W/m2)]],3,0),"")</f>
        <v>0.25208333333333333</v>
      </c>
      <c r="X647" s="32">
        <f>IFERROR(VLOOKUP(TA[[#This Row],[Date]],Raw_Data[[Date]:[Sunset Time (POA&lt;20 W/m2)]],3,0),"")</f>
        <v>0.25208333333333333</v>
      </c>
      <c r="Y647" s="26"/>
      <c r="Z647" s="26">
        <v>0.76041666666666663</v>
      </c>
      <c r="AA647" s="27">
        <f>IF(TA[[#This Row],[Work Start time on Fault]]="NA","",(TA[[#This Row],[Fault Acknowledgement Time ]]-TA[[#This Row],[Fault Time]])*24)</f>
        <v>0</v>
      </c>
      <c r="AB647" s="27">
        <f>(TA[[#This Row],[Work Start time on Fault]]-TA[[#This Row],[Fault Time]])*24</f>
        <v>-6.05</v>
      </c>
      <c r="AC647" s="26">
        <f>(TA[[#This Row],[Work Completion time on fault]]-TA[[#This Row],[Fault Time]])*24</f>
        <v>12.2</v>
      </c>
      <c r="AD647" s="27">
        <f>IFERROR((TA[[#This Row],[Work Completion time on fault]]-TA[[#This Row],[Fault Time]])*24,"")</f>
        <v>12.2</v>
      </c>
      <c r="AE647" t="s">
        <v>300</v>
      </c>
      <c r="AF647" t="s">
        <v>247</v>
      </c>
      <c r="AG647" s="2"/>
      <c r="AH647" s="35">
        <f>1-COS(RADIANS(TA[[#This Row],[Avg. Target Angle during Fault Time (Radians)]]-TA[[#This Row],[Angle of affected equipment ]]))</f>
        <v>0.11705240714107301</v>
      </c>
      <c r="AI647" s="27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43">
        <f t="shared" ref="B648:B661" si="41">YEAR(H648)+IF(MONTH(H648)&gt;=4,1,0)</f>
        <v>2026</v>
      </c>
      <c r="C648" s="116">
        <f t="shared" ref="C648:C661" si="42">YEAR(H648)</f>
        <v>2025</v>
      </c>
      <c r="D648" s="2" t="s">
        <v>155</v>
      </c>
      <c r="E648" s="2" t="s">
        <v>155</v>
      </c>
      <c r="F648" s="30">
        <v>45778</v>
      </c>
      <c r="G648" s="2">
        <f>DAY(EOMONTH(TA[[#This Row],[Month Year]],0))</f>
        <v>31</v>
      </c>
      <c r="H648" s="21">
        <v>45789</v>
      </c>
      <c r="I648" s="32">
        <f>IFERROR(VLOOKUP(TA[[#This Row],[Date]],Raw_Data[[Date]:[Sunset Time (POA&lt;20 W/m2)]],3,0),"")</f>
        <v>0.25416666666666665</v>
      </c>
      <c r="J648" s="32">
        <f>IFERROR(VLOOKUP(TA[[#This Row],[Date]],Raw_Data[[Date]:[Sunset Time (POA&lt;20 W/m2)]],4,0),"")</f>
        <v>0.75</v>
      </c>
      <c r="K648" s="27">
        <f>IFERROR((TA[[#This Row],[Sunset Time (POA&lt;20 W/m2)]]-TA[[#This Row],[Sunrise Time (POA&gt;20 W/m2)]])*24,"")</f>
        <v>11.9</v>
      </c>
      <c r="L648" s="2" t="s">
        <v>285</v>
      </c>
      <c r="M648" s="33">
        <f>IFERROR(VLOOKUP(TA[[#This Row],[Affected Equipment]],'Basic Data'!$I$2:$K$40,3,0),"")</f>
        <v>1.7241379310344799E-3</v>
      </c>
      <c r="N648">
        <v>-28</v>
      </c>
      <c r="O648" t="s">
        <v>135</v>
      </c>
      <c r="P648" s="114" t="s">
        <v>309</v>
      </c>
      <c r="Q648" s="113" t="s">
        <v>309</v>
      </c>
      <c r="R648">
        <v>130</v>
      </c>
      <c r="S648" s="2">
        <v>37</v>
      </c>
      <c r="T648" t="s">
        <v>286</v>
      </c>
      <c r="U648" t="s">
        <v>291</v>
      </c>
      <c r="V648" t="s">
        <v>289</v>
      </c>
      <c r="W648" s="32"/>
      <c r="X648" s="32"/>
      <c r="Y648" s="26"/>
      <c r="Z648" s="26"/>
      <c r="AA648" s="27">
        <f>IF(TA[[#This Row],[Work Start time on Fault]]="NA","",(TA[[#This Row],[Fault Acknowledgement Time ]]-TA[[#This Row],[Fault Time]])*24)</f>
        <v>0</v>
      </c>
      <c r="AB648" s="27">
        <f>(TA[[#This Row],[Work Start time on Fault]]-TA[[#This Row],[Fault Time]])*24</f>
        <v>0</v>
      </c>
      <c r="AC648" s="26">
        <f>(TA[[#This Row],[Work Completion time on fault]]-TA[[#This Row],[Fault Time]])*24</f>
        <v>0</v>
      </c>
      <c r="AD648" s="27">
        <f>IFERROR((TA[[#This Row],[Work Completion time on fault]]-TA[[#This Row],[Fault Time]])*24,"")</f>
        <v>0</v>
      </c>
      <c r="AE648" t="s">
        <v>319</v>
      </c>
      <c r="AF648" t="s">
        <v>247</v>
      </c>
      <c r="AG648" s="2"/>
      <c r="AH648" s="35">
        <f>1-COS(RADIANS(TA[[#This Row],[Avg. Target Angle during Fault Time (Radians)]]-TA[[#This Row],[Angle of affected equipment ]]))</f>
        <v>0.11705240714107301</v>
      </c>
      <c r="AI648" s="27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43">
        <f t="shared" si="41"/>
        <v>2026</v>
      </c>
      <c r="C649" s="116">
        <f t="shared" si="42"/>
        <v>2025</v>
      </c>
      <c r="D649" s="2" t="s">
        <v>155</v>
      </c>
      <c r="E649" s="2" t="s">
        <v>155</v>
      </c>
      <c r="F649" s="30">
        <v>45778</v>
      </c>
      <c r="G649" s="2">
        <f>DAY(EOMONTH(TA[[#This Row],[Month Year]],0))</f>
        <v>31</v>
      </c>
      <c r="H649" s="21">
        <v>45789</v>
      </c>
      <c r="I649" s="32">
        <f>IFERROR(VLOOKUP(TA[[#This Row],[Date]],Raw_Data[[Date]:[Sunset Time (POA&lt;20 W/m2)]],3,0),"")</f>
        <v>0.25416666666666665</v>
      </c>
      <c r="J649" s="32">
        <f>IFERROR(VLOOKUP(TA[[#This Row],[Date]],Raw_Data[[Date]:[Sunset Time (POA&lt;20 W/m2)]],4,0),"")</f>
        <v>0.75</v>
      </c>
      <c r="K649" s="27">
        <f>IFERROR((TA[[#This Row],[Sunset Time (POA&lt;20 W/m2)]]-TA[[#This Row],[Sunrise Time (POA&gt;20 W/m2)]])*24,"")</f>
        <v>11.9</v>
      </c>
      <c r="L649" s="2" t="s">
        <v>285</v>
      </c>
      <c r="M649" s="33">
        <f>IFERROR(VLOOKUP(TA[[#This Row],[Affected Equipment]],'Basic Data'!$I$2:$K$40,3,0),"")</f>
        <v>1.7241379310344799E-3</v>
      </c>
      <c r="N649">
        <v>-28</v>
      </c>
      <c r="O649" t="s">
        <v>135</v>
      </c>
      <c r="P649" s="114" t="s">
        <v>309</v>
      </c>
      <c r="Q649" s="113" t="s">
        <v>309</v>
      </c>
      <c r="R649">
        <v>131</v>
      </c>
      <c r="S649" s="2">
        <v>38</v>
      </c>
      <c r="T649" t="s">
        <v>286</v>
      </c>
      <c r="U649" t="s">
        <v>291</v>
      </c>
      <c r="V649" t="s">
        <v>289</v>
      </c>
      <c r="W649" s="32"/>
      <c r="X649" s="32"/>
      <c r="Y649" s="26"/>
      <c r="Z649" s="26"/>
      <c r="AA649" s="27">
        <f>IF(TA[[#This Row],[Work Start time on Fault]]="NA","",(TA[[#This Row],[Fault Acknowledgement Time ]]-TA[[#This Row],[Fault Time]])*24)</f>
        <v>0</v>
      </c>
      <c r="AB649" s="27">
        <f>(TA[[#This Row],[Work Start time on Fault]]-TA[[#This Row],[Fault Time]])*24</f>
        <v>0</v>
      </c>
      <c r="AC649" s="26">
        <f>(TA[[#This Row],[Work Completion time on fault]]-TA[[#This Row],[Fault Time]])*24</f>
        <v>0</v>
      </c>
      <c r="AD649" s="27">
        <f>IFERROR((TA[[#This Row],[Work Completion time on fault]]-TA[[#This Row],[Fault Time]])*24,"")</f>
        <v>0</v>
      </c>
      <c r="AE649" t="s">
        <v>319</v>
      </c>
      <c r="AF649" t="s">
        <v>247</v>
      </c>
      <c r="AG649" s="2"/>
      <c r="AH649" s="35">
        <f>1-COS(RADIANS(TA[[#This Row],[Avg. Target Angle during Fault Time (Radians)]]-TA[[#This Row],[Angle of affected equipment ]]))</f>
        <v>0.11705240714107301</v>
      </c>
      <c r="AI649" s="27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43">
        <f t="shared" si="41"/>
        <v>2026</v>
      </c>
      <c r="C650" s="116">
        <f t="shared" si="42"/>
        <v>2025</v>
      </c>
      <c r="D650" s="2" t="s">
        <v>155</v>
      </c>
      <c r="E650" s="2" t="s">
        <v>155</v>
      </c>
      <c r="F650" s="30">
        <v>45778</v>
      </c>
      <c r="G650" s="2">
        <f>DAY(EOMONTH(TA[[#This Row],[Month Year]],0))</f>
        <v>31</v>
      </c>
      <c r="H650" s="21">
        <v>45789</v>
      </c>
      <c r="I650" s="32">
        <f>IFERROR(VLOOKUP(TA[[#This Row],[Date]],Raw_Data[[Date]:[Sunset Time (POA&lt;20 W/m2)]],3,0),"")</f>
        <v>0.25416666666666665</v>
      </c>
      <c r="J650" s="32">
        <f>IFERROR(VLOOKUP(TA[[#This Row],[Date]],Raw_Data[[Date]:[Sunset Time (POA&lt;20 W/m2)]],4,0),"")</f>
        <v>0.75</v>
      </c>
      <c r="K650" s="27">
        <f>IFERROR((TA[[#This Row],[Sunset Time (POA&lt;20 W/m2)]]-TA[[#This Row],[Sunrise Time (POA&gt;20 W/m2)]])*24,"")</f>
        <v>11.9</v>
      </c>
      <c r="L650" s="2" t="s">
        <v>285</v>
      </c>
      <c r="M650" s="33">
        <f>IFERROR(VLOOKUP(TA[[#This Row],[Affected Equipment]],'Basic Data'!$I$2:$K$40,3,0),"")</f>
        <v>1.7241379310344799E-3</v>
      </c>
      <c r="N650">
        <v>-28</v>
      </c>
      <c r="O650" t="s">
        <v>135</v>
      </c>
      <c r="P650" s="114" t="s">
        <v>309</v>
      </c>
      <c r="Q650" s="113" t="s">
        <v>309</v>
      </c>
      <c r="R650">
        <v>131</v>
      </c>
      <c r="S650" s="2">
        <v>39</v>
      </c>
      <c r="T650" t="s">
        <v>286</v>
      </c>
      <c r="U650" t="s">
        <v>291</v>
      </c>
      <c r="V650" t="s">
        <v>289</v>
      </c>
      <c r="W650" s="32"/>
      <c r="X650" s="32"/>
      <c r="Y650" s="26"/>
      <c r="Z650" s="26"/>
      <c r="AA650" s="27">
        <f>IF(TA[[#This Row],[Work Start time on Fault]]="NA","",(TA[[#This Row],[Fault Acknowledgement Time ]]-TA[[#This Row],[Fault Time]])*24)</f>
        <v>0</v>
      </c>
      <c r="AB650" s="27">
        <f>(TA[[#This Row],[Work Start time on Fault]]-TA[[#This Row],[Fault Time]])*24</f>
        <v>0</v>
      </c>
      <c r="AC650" s="26">
        <f>(TA[[#This Row],[Work Completion time on fault]]-TA[[#This Row],[Fault Time]])*24</f>
        <v>0</v>
      </c>
      <c r="AD650" s="27">
        <f>IFERROR((TA[[#This Row],[Work Completion time on fault]]-TA[[#This Row],[Fault Time]])*24,"")</f>
        <v>0</v>
      </c>
      <c r="AE650" t="s">
        <v>319</v>
      </c>
      <c r="AF650" t="s">
        <v>247</v>
      </c>
      <c r="AG650" s="2"/>
      <c r="AH650" s="35">
        <f>1-COS(RADIANS(TA[[#This Row],[Avg. Target Angle during Fault Time (Radians)]]-TA[[#This Row],[Angle of affected equipment ]]))</f>
        <v>0.11705240714107301</v>
      </c>
      <c r="AI650" s="27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43">
        <f t="shared" si="41"/>
        <v>2026</v>
      </c>
      <c r="C651" s="116">
        <f t="shared" si="42"/>
        <v>2025</v>
      </c>
      <c r="D651" s="2" t="s">
        <v>155</v>
      </c>
      <c r="E651" s="2" t="s">
        <v>155</v>
      </c>
      <c r="F651" s="30">
        <v>45778</v>
      </c>
      <c r="G651" s="2">
        <f>DAY(EOMONTH(TA[[#This Row],[Month Year]],0))</f>
        <v>31</v>
      </c>
      <c r="H651" s="21">
        <v>45789</v>
      </c>
      <c r="I651" s="32">
        <f>IFERROR(VLOOKUP(TA[[#This Row],[Date]],Raw_Data[[Date]:[Sunset Time (POA&lt;20 W/m2)]],3,0),"")</f>
        <v>0.25416666666666665</v>
      </c>
      <c r="J651" s="32">
        <f>IFERROR(VLOOKUP(TA[[#This Row],[Date]],Raw_Data[[Date]:[Sunset Time (POA&lt;20 W/m2)]],4,0),"")</f>
        <v>0.75</v>
      </c>
      <c r="K651" s="27">
        <f>IFERROR((TA[[#This Row],[Sunset Time (POA&lt;20 W/m2)]]-TA[[#This Row],[Sunrise Time (POA&gt;20 W/m2)]])*24,"")</f>
        <v>11.9</v>
      </c>
      <c r="L651" s="2" t="s">
        <v>287</v>
      </c>
      <c r="M651" s="33">
        <f>IFERROR(VLOOKUP(TA[[#This Row],[Affected Equipment]],'Basic Data'!$I$2:$K$40,3,0),"")</f>
        <v>8.6206896551724102E-3</v>
      </c>
      <c r="N651">
        <v>-28</v>
      </c>
      <c r="O651" t="s">
        <v>135</v>
      </c>
      <c r="P651" s="114" t="s">
        <v>309</v>
      </c>
      <c r="Q651" s="2" t="s">
        <v>312</v>
      </c>
      <c r="R651">
        <v>133</v>
      </c>
      <c r="S651" s="2">
        <v>26</v>
      </c>
      <c r="T651" t="s">
        <v>288</v>
      </c>
      <c r="U651" t="s">
        <v>291</v>
      </c>
      <c r="V651" t="s">
        <v>305</v>
      </c>
      <c r="W651" s="32">
        <f>IFERROR(VLOOKUP(TA[[#This Row],[Date]],Raw_Data[[Date]:[Sunset Time (POA&lt;20 W/m2)]],3,0),"")</f>
        <v>0.25416666666666665</v>
      </c>
      <c r="X651" s="32">
        <f>IFERROR(VLOOKUP(TA[[#This Row],[Date]],Raw_Data[[Date]:[Sunset Time (POA&lt;20 W/m2)]],3,0),"")</f>
        <v>0.25416666666666665</v>
      </c>
      <c r="Y651" s="26"/>
      <c r="Z651" s="26">
        <v>0.76041666666666663</v>
      </c>
      <c r="AA651" s="27">
        <f>IF(TA[[#This Row],[Work Start time on Fault]]="NA","",(TA[[#This Row],[Fault Acknowledgement Time ]]-TA[[#This Row],[Fault Time]])*24)</f>
        <v>0</v>
      </c>
      <c r="AB651" s="27">
        <f>(TA[[#This Row],[Work Start time on Fault]]-TA[[#This Row],[Fault Time]])*24</f>
        <v>-6.1</v>
      </c>
      <c r="AC651" s="26">
        <f>(TA[[#This Row],[Work Completion time on fault]]-TA[[#This Row],[Fault Time]])*24</f>
        <v>12.149999999999999</v>
      </c>
      <c r="AD651" s="27">
        <f>IFERROR((TA[[#This Row],[Work Completion time on fault]]-TA[[#This Row],[Fault Time]])*24,"")</f>
        <v>12.149999999999999</v>
      </c>
      <c r="AE651" t="s">
        <v>319</v>
      </c>
      <c r="AF651" t="s">
        <v>247</v>
      </c>
      <c r="AG651" s="2"/>
      <c r="AH651" s="35">
        <f>1-COS(RADIANS(TA[[#This Row],[Avg. Target Angle during Fault Time (Radians)]]-TA[[#This Row],[Angle of affected equipment ]]))</f>
        <v>0.11705240714107301</v>
      </c>
      <c r="AI651" s="27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43">
        <f t="shared" si="41"/>
        <v>2026</v>
      </c>
      <c r="C652" s="116">
        <f t="shared" si="42"/>
        <v>2025</v>
      </c>
      <c r="D652" s="2" t="s">
        <v>155</v>
      </c>
      <c r="E652" s="2" t="s">
        <v>155</v>
      </c>
      <c r="F652" s="30">
        <v>45778</v>
      </c>
      <c r="G652" s="2">
        <f>DAY(EOMONTH(TA[[#This Row],[Month Year]],0))</f>
        <v>31</v>
      </c>
      <c r="H652" s="21">
        <v>45789</v>
      </c>
      <c r="I652" s="32">
        <f>IFERROR(VLOOKUP(TA[[#This Row],[Date]],Raw_Data[[Date]:[Sunset Time (POA&lt;20 W/m2)]],3,0),"")</f>
        <v>0.25416666666666665</v>
      </c>
      <c r="J652" s="32">
        <f>IFERROR(VLOOKUP(TA[[#This Row],[Date]],Raw_Data[[Date]:[Sunset Time (POA&lt;20 W/m2)]],4,0),"")</f>
        <v>0.75</v>
      </c>
      <c r="K652" s="27">
        <f>IFERROR((TA[[#This Row],[Sunset Time (POA&lt;20 W/m2)]]-TA[[#This Row],[Sunrise Time (POA&gt;20 W/m2)]])*24,"")</f>
        <v>11.9</v>
      </c>
      <c r="L652" s="2" t="s">
        <v>285</v>
      </c>
      <c r="M652" s="33">
        <f>IFERROR(VLOOKUP(TA[[#This Row],[Affected Equipment]],'Basic Data'!$I$2:$K$40,3,0),"")</f>
        <v>1.7241379310344799E-3</v>
      </c>
      <c r="N652">
        <v>-28</v>
      </c>
      <c r="O652" t="s">
        <v>133</v>
      </c>
      <c r="P652" s="114" t="s">
        <v>307</v>
      </c>
      <c r="Q652" s="113" t="s">
        <v>308</v>
      </c>
      <c r="R652">
        <v>7</v>
      </c>
      <c r="S652" s="2">
        <v>32</v>
      </c>
      <c r="T652" t="s">
        <v>286</v>
      </c>
      <c r="U652" t="s">
        <v>291</v>
      </c>
      <c r="V652" t="s">
        <v>289</v>
      </c>
      <c r="W652" s="32"/>
      <c r="X652" s="32"/>
      <c r="Y652" s="26"/>
      <c r="Z652" s="26"/>
      <c r="AA652" s="27">
        <f>IF(TA[[#This Row],[Work Start time on Fault]]="NA","",(TA[[#This Row],[Fault Acknowledgement Time ]]-TA[[#This Row],[Fault Time]])*24)</f>
        <v>0</v>
      </c>
      <c r="AB652" s="27">
        <f>(TA[[#This Row],[Work Start time on Fault]]-TA[[#This Row],[Fault Time]])*24</f>
        <v>0</v>
      </c>
      <c r="AC652" s="26">
        <f>(TA[[#This Row],[Work Completion time on fault]]-TA[[#This Row],[Fault Time]])*24</f>
        <v>0</v>
      </c>
      <c r="AD652" s="27">
        <f>IFERROR((TA[[#This Row],[Work Completion time on fault]]-TA[[#This Row],[Fault Time]])*24,"")</f>
        <v>0</v>
      </c>
      <c r="AE652" t="s">
        <v>319</v>
      </c>
      <c r="AF652" t="s">
        <v>247</v>
      </c>
      <c r="AG652" s="2"/>
      <c r="AH652" s="35">
        <f>1-COS(RADIANS(TA[[#This Row],[Avg. Target Angle during Fault Time (Radians)]]-TA[[#This Row],[Angle of affected equipment ]]))</f>
        <v>0.11705240714107301</v>
      </c>
      <c r="AI652" s="27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43">
        <f t="shared" si="41"/>
        <v>2026</v>
      </c>
      <c r="C653" s="116">
        <f t="shared" si="42"/>
        <v>2025</v>
      </c>
      <c r="D653" s="2" t="s">
        <v>155</v>
      </c>
      <c r="E653" s="2" t="s">
        <v>155</v>
      </c>
      <c r="F653" s="30">
        <v>45778</v>
      </c>
      <c r="G653" s="2">
        <f>DAY(EOMONTH(TA[[#This Row],[Month Year]],0))</f>
        <v>31</v>
      </c>
      <c r="H653" s="21">
        <v>45789</v>
      </c>
      <c r="I653" s="32">
        <f>IFERROR(VLOOKUP(TA[[#This Row],[Date]],Raw_Data[[Date]:[Sunset Time (POA&lt;20 W/m2)]],3,0),"")</f>
        <v>0.25416666666666665</v>
      </c>
      <c r="J653" s="32">
        <f>IFERROR(VLOOKUP(TA[[#This Row],[Date]],Raw_Data[[Date]:[Sunset Time (POA&lt;20 W/m2)]],4,0),"")</f>
        <v>0.75</v>
      </c>
      <c r="K653" s="27">
        <f>IFERROR((TA[[#This Row],[Sunset Time (POA&lt;20 W/m2)]]-TA[[#This Row],[Sunrise Time (POA&gt;20 W/m2)]])*24,"")</f>
        <v>11.9</v>
      </c>
      <c r="L653" s="2" t="s">
        <v>285</v>
      </c>
      <c r="M653" s="33">
        <f>IFERROR(VLOOKUP(TA[[#This Row],[Affected Equipment]],'Basic Data'!$I$2:$K$40,3,0),"")</f>
        <v>1.7241379310344799E-3</v>
      </c>
      <c r="N653">
        <v>-28</v>
      </c>
      <c r="O653" t="s">
        <v>137</v>
      </c>
      <c r="P653" s="114" t="s">
        <v>306</v>
      </c>
      <c r="Q653" s="113" t="s">
        <v>310</v>
      </c>
      <c r="R653">
        <v>166</v>
      </c>
      <c r="S653" s="2">
        <v>91</v>
      </c>
      <c r="T653" t="s">
        <v>286</v>
      </c>
      <c r="U653" t="s">
        <v>291</v>
      </c>
      <c r="V653" t="s">
        <v>289</v>
      </c>
      <c r="W653" s="32"/>
      <c r="X653" s="32"/>
      <c r="Y653" s="26"/>
      <c r="Z653" s="26"/>
      <c r="AA653" s="27">
        <f>IF(TA[[#This Row],[Work Start time on Fault]]="NA","",(TA[[#This Row],[Fault Acknowledgement Time ]]-TA[[#This Row],[Fault Time]])*24)</f>
        <v>0</v>
      </c>
      <c r="AB653" s="27">
        <f>(TA[[#This Row],[Work Start time on Fault]]-TA[[#This Row],[Fault Time]])*24</f>
        <v>0</v>
      </c>
      <c r="AC653" s="26">
        <f>(TA[[#This Row],[Work Completion time on fault]]-TA[[#This Row],[Fault Time]])*24</f>
        <v>0</v>
      </c>
      <c r="AD653" s="27">
        <f>IFERROR((TA[[#This Row],[Work Completion time on fault]]-TA[[#This Row],[Fault Time]])*24,"")</f>
        <v>0</v>
      </c>
      <c r="AE653" t="s">
        <v>319</v>
      </c>
      <c r="AF653" t="s">
        <v>247</v>
      </c>
      <c r="AG653" s="2"/>
      <c r="AH653" s="35">
        <f>1-COS(RADIANS(TA[[#This Row],[Avg. Target Angle during Fault Time (Radians)]]-TA[[#This Row],[Angle of affected equipment ]]))</f>
        <v>0.11705240714107301</v>
      </c>
      <c r="AI653" s="27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43">
        <f t="shared" si="41"/>
        <v>2026</v>
      </c>
      <c r="C654" s="116">
        <f t="shared" si="42"/>
        <v>2025</v>
      </c>
      <c r="D654" s="2" t="s">
        <v>155</v>
      </c>
      <c r="E654" s="2" t="s">
        <v>155</v>
      </c>
      <c r="F654" s="30">
        <v>45778</v>
      </c>
      <c r="G654" s="2">
        <f>DAY(EOMONTH(TA[[#This Row],[Month Year]],0))</f>
        <v>31</v>
      </c>
      <c r="H654" s="21">
        <v>45789</v>
      </c>
      <c r="I654" s="32">
        <f>IFERROR(VLOOKUP(TA[[#This Row],[Date]],Raw_Data[[Date]:[Sunset Time (POA&lt;20 W/m2)]],3,0),"")</f>
        <v>0.25416666666666665</v>
      </c>
      <c r="J654" s="32">
        <f>IFERROR(VLOOKUP(TA[[#This Row],[Date]],Raw_Data[[Date]:[Sunset Time (POA&lt;20 W/m2)]],4,0),"")</f>
        <v>0.75</v>
      </c>
      <c r="K654" s="27">
        <f>IFERROR((TA[[#This Row],[Sunset Time (POA&lt;20 W/m2)]]-TA[[#This Row],[Sunrise Time (POA&gt;20 W/m2)]])*24,"")</f>
        <v>11.9</v>
      </c>
      <c r="L654" s="2" t="s">
        <v>285</v>
      </c>
      <c r="M654" s="33">
        <f>IFERROR(VLOOKUP(TA[[#This Row],[Affected Equipment]],'Basic Data'!$I$2:$K$40,3,0),"")</f>
        <v>1.7241379310344799E-3</v>
      </c>
      <c r="N654">
        <v>-28</v>
      </c>
      <c r="O654" t="s">
        <v>133</v>
      </c>
      <c r="P654" s="114" t="s">
        <v>307</v>
      </c>
      <c r="Q654" s="113" t="s">
        <v>307</v>
      </c>
      <c r="R654">
        <v>117</v>
      </c>
      <c r="S654" s="2">
        <v>20</v>
      </c>
      <c r="T654" t="s">
        <v>286</v>
      </c>
      <c r="U654" t="s">
        <v>291</v>
      </c>
      <c r="V654" t="s">
        <v>289</v>
      </c>
      <c r="W654" s="32"/>
      <c r="X654" s="32"/>
      <c r="Y654" s="26"/>
      <c r="Z654" s="26"/>
      <c r="AA654" s="27">
        <f>IF(TA[[#This Row],[Work Start time on Fault]]="NA","",(TA[[#This Row],[Fault Acknowledgement Time ]]-TA[[#This Row],[Fault Time]])*24)</f>
        <v>0</v>
      </c>
      <c r="AB654" s="27">
        <f>(TA[[#This Row],[Work Start time on Fault]]-TA[[#This Row],[Fault Time]])*24</f>
        <v>0</v>
      </c>
      <c r="AC654" s="26">
        <f>(TA[[#This Row],[Work Completion time on fault]]-TA[[#This Row],[Fault Time]])*24</f>
        <v>0</v>
      </c>
      <c r="AD654" s="27">
        <f>IFERROR((TA[[#This Row],[Work Completion time on fault]]-TA[[#This Row],[Fault Time]])*24,"")</f>
        <v>0</v>
      </c>
      <c r="AE654" t="s">
        <v>319</v>
      </c>
      <c r="AF654" t="s">
        <v>247</v>
      </c>
      <c r="AG654" s="2"/>
      <c r="AH654" s="35">
        <f>1-COS(RADIANS(TA[[#This Row],[Avg. Target Angle during Fault Time (Radians)]]-TA[[#This Row],[Angle of affected equipment ]]))</f>
        <v>0.11705240714107301</v>
      </c>
      <c r="AI654" s="27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43">
        <f t="shared" si="41"/>
        <v>2026</v>
      </c>
      <c r="C655" s="116">
        <f t="shared" si="42"/>
        <v>2025</v>
      </c>
      <c r="D655" s="2" t="s">
        <v>155</v>
      </c>
      <c r="E655" s="2" t="s">
        <v>155</v>
      </c>
      <c r="F655" s="30">
        <v>45778</v>
      </c>
      <c r="G655" s="2">
        <f>DAY(EOMONTH(TA[[#This Row],[Month Year]],0))</f>
        <v>31</v>
      </c>
      <c r="H655" s="21">
        <v>45789</v>
      </c>
      <c r="I655" s="32">
        <f>IFERROR(VLOOKUP(TA[[#This Row],[Date]],Raw_Data[[Date]:[Sunset Time (POA&lt;20 W/m2)]],3,0),"")</f>
        <v>0.25416666666666665</v>
      </c>
      <c r="J655" s="32">
        <f>IFERROR(VLOOKUP(TA[[#This Row],[Date]],Raw_Data[[Date]:[Sunset Time (POA&lt;20 W/m2)]],4,0),"")</f>
        <v>0.75</v>
      </c>
      <c r="K655" s="27">
        <f>IFERROR((TA[[#This Row],[Sunset Time (POA&lt;20 W/m2)]]-TA[[#This Row],[Sunrise Time (POA&gt;20 W/m2)]])*24,"")</f>
        <v>11.9</v>
      </c>
      <c r="L655" s="2" t="s">
        <v>285</v>
      </c>
      <c r="M655" s="33">
        <f>IFERROR(VLOOKUP(TA[[#This Row],[Affected Equipment]],'Basic Data'!$I$2:$K$40,3,0),"")</f>
        <v>1.7241379310344799E-3</v>
      </c>
      <c r="N655">
        <v>-28</v>
      </c>
      <c r="O655" t="s">
        <v>133</v>
      </c>
      <c r="P655" s="114" t="s">
        <v>307</v>
      </c>
      <c r="Q655" s="113" t="s">
        <v>307</v>
      </c>
      <c r="R655">
        <v>118</v>
      </c>
      <c r="S655" s="2">
        <v>22</v>
      </c>
      <c r="T655" t="s">
        <v>286</v>
      </c>
      <c r="U655" t="s">
        <v>291</v>
      </c>
      <c r="V655" t="s">
        <v>289</v>
      </c>
      <c r="W655" s="32"/>
      <c r="X655" s="32"/>
      <c r="Y655" s="26"/>
      <c r="Z655" s="26"/>
      <c r="AA655" s="27">
        <f>IF(TA[[#This Row],[Work Start time on Fault]]="NA","",(TA[[#This Row],[Fault Acknowledgement Time ]]-TA[[#This Row],[Fault Time]])*24)</f>
        <v>0</v>
      </c>
      <c r="AB655" s="27">
        <f>(TA[[#This Row],[Work Start time on Fault]]-TA[[#This Row],[Fault Time]])*24</f>
        <v>0</v>
      </c>
      <c r="AC655" s="26">
        <f>(TA[[#This Row],[Work Completion time on fault]]-TA[[#This Row],[Fault Time]])*24</f>
        <v>0</v>
      </c>
      <c r="AD655" s="27">
        <f>IFERROR((TA[[#This Row],[Work Completion time on fault]]-TA[[#This Row],[Fault Time]])*24,"")</f>
        <v>0</v>
      </c>
      <c r="AE655" t="s">
        <v>319</v>
      </c>
      <c r="AF655" t="s">
        <v>247</v>
      </c>
      <c r="AG655" s="2"/>
      <c r="AH655" s="35">
        <f>1-COS(RADIANS(TA[[#This Row],[Avg. Target Angle during Fault Time (Radians)]]-TA[[#This Row],[Angle of affected equipment ]]))</f>
        <v>0.11705240714107301</v>
      </c>
      <c r="AI655" s="27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43">
        <f t="shared" si="41"/>
        <v>2026</v>
      </c>
      <c r="C656" s="116">
        <f t="shared" si="42"/>
        <v>2025</v>
      </c>
      <c r="D656" s="2" t="s">
        <v>155</v>
      </c>
      <c r="E656" s="2" t="s">
        <v>155</v>
      </c>
      <c r="F656" s="30">
        <v>45778</v>
      </c>
      <c r="G656" s="2">
        <f>DAY(EOMONTH(TA[[#This Row],[Month Year]],0))</f>
        <v>31</v>
      </c>
      <c r="H656" s="21">
        <v>45789</v>
      </c>
      <c r="I656" s="32">
        <f>IFERROR(VLOOKUP(TA[[#This Row],[Date]],Raw_Data[[Date]:[Sunset Time (POA&lt;20 W/m2)]],3,0),"")</f>
        <v>0.25416666666666665</v>
      </c>
      <c r="J656" s="32">
        <f>IFERROR(VLOOKUP(TA[[#This Row],[Date]],Raw_Data[[Date]:[Sunset Time (POA&lt;20 W/m2)]],4,0),"")</f>
        <v>0.75</v>
      </c>
      <c r="K656" s="27">
        <f>IFERROR((TA[[#This Row],[Sunset Time (POA&lt;20 W/m2)]]-TA[[#This Row],[Sunrise Time (POA&gt;20 W/m2)]])*24,"")</f>
        <v>11.9</v>
      </c>
      <c r="L656" s="2" t="s">
        <v>287</v>
      </c>
      <c r="M656" s="33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314</v>
      </c>
      <c r="Q656" s="2" t="s">
        <v>320</v>
      </c>
      <c r="R656">
        <v>45</v>
      </c>
      <c r="S656" s="2">
        <v>8</v>
      </c>
      <c r="T656" t="s">
        <v>288</v>
      </c>
      <c r="U656" t="s">
        <v>291</v>
      </c>
      <c r="V656" t="s">
        <v>292</v>
      </c>
      <c r="W656" s="32"/>
      <c r="X656" s="32"/>
      <c r="Y656" s="26"/>
      <c r="Z656" s="26"/>
      <c r="AA656" s="27">
        <f>IF(TA[[#This Row],[Work Start time on Fault]]="NA","",(TA[[#This Row],[Fault Acknowledgement Time ]]-TA[[#This Row],[Fault Time]])*24)</f>
        <v>0</v>
      </c>
      <c r="AB656" s="27">
        <f>(TA[[#This Row],[Work Start time on Fault]]-TA[[#This Row],[Fault Time]])*24</f>
        <v>0</v>
      </c>
      <c r="AC656" s="26">
        <f>(TA[[#This Row],[Work Completion time on fault]]-TA[[#This Row],[Fault Time]])*24</f>
        <v>0</v>
      </c>
      <c r="AD656" s="27">
        <f>IFERROR((TA[[#This Row],[Work Completion time on fault]]-TA[[#This Row],[Fault Time]])*24,"")</f>
        <v>0</v>
      </c>
      <c r="AE656" t="s">
        <v>319</v>
      </c>
      <c r="AF656" t="s">
        <v>247</v>
      </c>
      <c r="AG656" s="2"/>
      <c r="AH656" s="35">
        <f>1-COS(RADIANS(TA[[#This Row],[Avg. Target Angle during Fault Time (Radians)]]-TA[[#This Row],[Angle of affected equipment ]]))</f>
        <v>0.11705240714107301</v>
      </c>
      <c r="AI656" s="27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43">
        <f t="shared" si="41"/>
        <v>2026</v>
      </c>
      <c r="C657" s="116">
        <f t="shared" si="42"/>
        <v>2025</v>
      </c>
      <c r="D657" s="2" t="s">
        <v>155</v>
      </c>
      <c r="E657" s="2" t="s">
        <v>155</v>
      </c>
      <c r="F657" s="30">
        <v>45778</v>
      </c>
      <c r="G657" s="2">
        <f>DAY(EOMONTH(TA[[#This Row],[Month Year]],0))</f>
        <v>31</v>
      </c>
      <c r="H657" s="21">
        <v>45789</v>
      </c>
      <c r="I657" s="32">
        <f>IFERROR(VLOOKUP(TA[[#This Row],[Date]],Raw_Data[[Date]:[Sunset Time (POA&lt;20 W/m2)]],3,0),"")</f>
        <v>0.25416666666666665</v>
      </c>
      <c r="J657" s="32">
        <f>IFERROR(VLOOKUP(TA[[#This Row],[Date]],Raw_Data[[Date]:[Sunset Time (POA&lt;20 W/m2)]],4,0),"")</f>
        <v>0.75</v>
      </c>
      <c r="K657" s="27">
        <f>IFERROR((TA[[#This Row],[Sunset Time (POA&lt;20 W/m2)]]-TA[[#This Row],[Sunrise Time (POA&gt;20 W/m2)]])*24,"")</f>
        <v>11.9</v>
      </c>
      <c r="L657" s="2" t="s">
        <v>287</v>
      </c>
      <c r="M657" s="33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314</v>
      </c>
      <c r="Q657" s="2" t="s">
        <v>320</v>
      </c>
      <c r="R657">
        <v>47</v>
      </c>
      <c r="S657" s="2">
        <v>18</v>
      </c>
      <c r="T657" t="s">
        <v>288</v>
      </c>
      <c r="U657" t="s">
        <v>291</v>
      </c>
      <c r="V657" t="s">
        <v>292</v>
      </c>
      <c r="W657" s="32"/>
      <c r="X657" s="32"/>
      <c r="Y657" s="26"/>
      <c r="Z657" s="26"/>
      <c r="AA657" s="27">
        <f>IF(TA[[#This Row],[Work Start time on Fault]]="NA","",(TA[[#This Row],[Fault Acknowledgement Time ]]-TA[[#This Row],[Fault Time]])*24)</f>
        <v>0</v>
      </c>
      <c r="AB657" s="27">
        <f>(TA[[#This Row],[Work Start time on Fault]]-TA[[#This Row],[Fault Time]])*24</f>
        <v>0</v>
      </c>
      <c r="AC657" s="26">
        <f>(TA[[#This Row],[Work Completion time on fault]]-TA[[#This Row],[Fault Time]])*24</f>
        <v>0</v>
      </c>
      <c r="AD657" s="27">
        <f>IFERROR((TA[[#This Row],[Work Completion time on fault]]-TA[[#This Row],[Fault Time]])*24,"")</f>
        <v>0</v>
      </c>
      <c r="AE657" t="s">
        <v>319</v>
      </c>
      <c r="AF657" t="s">
        <v>247</v>
      </c>
      <c r="AG657" s="2"/>
      <c r="AH657" s="35">
        <f>1-COS(RADIANS(TA[[#This Row],[Avg. Target Angle during Fault Time (Radians)]]-TA[[#This Row],[Angle of affected equipment ]]))</f>
        <v>0.11705240714107301</v>
      </c>
      <c r="AI657" s="27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43">
        <f t="shared" si="41"/>
        <v>2026</v>
      </c>
      <c r="C658" s="116">
        <f t="shared" si="42"/>
        <v>2025</v>
      </c>
      <c r="D658" s="2" t="s">
        <v>155</v>
      </c>
      <c r="E658" s="2" t="s">
        <v>155</v>
      </c>
      <c r="F658" s="30">
        <v>45778</v>
      </c>
      <c r="G658" s="2">
        <f>DAY(EOMONTH(TA[[#This Row],[Month Year]],0))</f>
        <v>31</v>
      </c>
      <c r="H658" s="21">
        <v>45789</v>
      </c>
      <c r="I658" s="32">
        <f>IFERROR(VLOOKUP(TA[[#This Row],[Date]],Raw_Data[[Date]:[Sunset Time (POA&lt;20 W/m2)]],3,0),"")</f>
        <v>0.25416666666666665</v>
      </c>
      <c r="J658" s="32">
        <f>IFERROR(VLOOKUP(TA[[#This Row],[Date]],Raw_Data[[Date]:[Sunset Time (POA&lt;20 W/m2)]],4,0),"")</f>
        <v>0.75</v>
      </c>
      <c r="K658" s="27">
        <f>IFERROR((TA[[#This Row],[Sunset Time (POA&lt;20 W/m2)]]-TA[[#This Row],[Sunrise Time (POA&gt;20 W/m2)]])*24,"")</f>
        <v>11.9</v>
      </c>
      <c r="L658" s="2" t="s">
        <v>287</v>
      </c>
      <c r="M658" s="33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321</v>
      </c>
      <c r="Q658" s="2" t="s">
        <v>314</v>
      </c>
      <c r="R658">
        <v>30</v>
      </c>
      <c r="S658" s="2">
        <v>57</v>
      </c>
      <c r="T658" t="s">
        <v>288</v>
      </c>
      <c r="U658" t="s">
        <v>291</v>
      </c>
      <c r="V658" t="s">
        <v>292</v>
      </c>
      <c r="W658" s="32"/>
      <c r="X658" s="32"/>
      <c r="Y658" s="26"/>
      <c r="Z658" s="26"/>
      <c r="AA658" s="27">
        <f>IF(TA[[#This Row],[Work Start time on Fault]]="NA","",(TA[[#This Row],[Fault Acknowledgement Time ]]-TA[[#This Row],[Fault Time]])*24)</f>
        <v>0</v>
      </c>
      <c r="AB658" s="27">
        <f>(TA[[#This Row],[Work Start time on Fault]]-TA[[#This Row],[Fault Time]])*24</f>
        <v>0</v>
      </c>
      <c r="AC658" s="26">
        <f>(TA[[#This Row],[Work Completion time on fault]]-TA[[#This Row],[Fault Time]])*24</f>
        <v>0</v>
      </c>
      <c r="AD658" s="27">
        <f>IFERROR((TA[[#This Row],[Work Completion time on fault]]-TA[[#This Row],[Fault Time]])*24,"")</f>
        <v>0</v>
      </c>
      <c r="AE658" t="s">
        <v>319</v>
      </c>
      <c r="AF658" t="s">
        <v>247</v>
      </c>
      <c r="AG658" s="2"/>
      <c r="AH658" s="35">
        <f>1-COS(RADIANS(TA[[#This Row],[Avg. Target Angle during Fault Time (Radians)]]-TA[[#This Row],[Angle of affected equipment ]]))</f>
        <v>0.11705240714107301</v>
      </c>
      <c r="AI658" s="27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43">
        <f t="shared" si="41"/>
        <v>2026</v>
      </c>
      <c r="C659" s="116">
        <f t="shared" si="42"/>
        <v>2025</v>
      </c>
      <c r="D659" s="2" t="s">
        <v>155</v>
      </c>
      <c r="E659" s="2" t="s">
        <v>155</v>
      </c>
      <c r="F659" s="30">
        <v>45778</v>
      </c>
      <c r="G659" s="2">
        <f>DAY(EOMONTH(TA[[#This Row],[Month Year]],0))</f>
        <v>31</v>
      </c>
      <c r="H659" s="21">
        <v>45789</v>
      </c>
      <c r="I659" s="32">
        <f>IFERROR(VLOOKUP(TA[[#This Row],[Date]],Raw_Data[[Date]:[Sunset Time (POA&lt;20 W/m2)]],3,0),"")</f>
        <v>0.25416666666666665</v>
      </c>
      <c r="J659" s="32">
        <f>IFERROR(VLOOKUP(TA[[#This Row],[Date]],Raw_Data[[Date]:[Sunset Time (POA&lt;20 W/m2)]],4,0),"")</f>
        <v>0.75</v>
      </c>
      <c r="K659" s="27">
        <f>IFERROR((TA[[#This Row],[Sunset Time (POA&lt;20 W/m2)]]-TA[[#This Row],[Sunrise Time (POA&gt;20 W/m2)]])*24,"")</f>
        <v>11.9</v>
      </c>
      <c r="L659" s="2" t="s">
        <v>287</v>
      </c>
      <c r="M659" s="33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321</v>
      </c>
      <c r="Q659" s="2" t="s">
        <v>314</v>
      </c>
      <c r="R659">
        <v>31</v>
      </c>
      <c r="S659" s="2">
        <v>61</v>
      </c>
      <c r="T659" t="s">
        <v>288</v>
      </c>
      <c r="U659" t="s">
        <v>291</v>
      </c>
      <c r="V659" t="s">
        <v>292</v>
      </c>
      <c r="W659" s="32"/>
      <c r="X659" s="32"/>
      <c r="Y659" s="26"/>
      <c r="Z659" s="26"/>
      <c r="AA659" s="27">
        <f>IF(TA[[#This Row],[Work Start time on Fault]]="NA","",(TA[[#This Row],[Fault Acknowledgement Time ]]-TA[[#This Row],[Fault Time]])*24)</f>
        <v>0</v>
      </c>
      <c r="AB659" s="27">
        <f>(TA[[#This Row],[Work Start time on Fault]]-TA[[#This Row],[Fault Time]])*24</f>
        <v>0</v>
      </c>
      <c r="AC659" s="26">
        <f>(TA[[#This Row],[Work Completion time on fault]]-TA[[#This Row],[Fault Time]])*24</f>
        <v>0</v>
      </c>
      <c r="AD659" s="27">
        <f>IFERROR((TA[[#This Row],[Work Completion time on fault]]-TA[[#This Row],[Fault Time]])*24,"")</f>
        <v>0</v>
      </c>
      <c r="AE659" t="s">
        <v>319</v>
      </c>
      <c r="AF659" t="s">
        <v>247</v>
      </c>
      <c r="AG659" s="2"/>
      <c r="AH659" s="35">
        <f>1-COS(RADIANS(TA[[#This Row],[Avg. Target Angle during Fault Time (Radians)]]-TA[[#This Row],[Angle of affected equipment ]]))</f>
        <v>0.11705240714107301</v>
      </c>
      <c r="AI659" s="27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43">
        <f t="shared" si="41"/>
        <v>2026</v>
      </c>
      <c r="C660" s="116">
        <f t="shared" si="42"/>
        <v>2025</v>
      </c>
      <c r="D660" s="2" t="s">
        <v>155</v>
      </c>
      <c r="E660" s="2" t="s">
        <v>155</v>
      </c>
      <c r="F660" s="30">
        <v>45778</v>
      </c>
      <c r="G660" s="2">
        <f>DAY(EOMONTH(TA[[#This Row],[Month Year]],0))</f>
        <v>31</v>
      </c>
      <c r="H660" s="21">
        <v>45789</v>
      </c>
      <c r="I660" s="32">
        <f>IFERROR(VLOOKUP(TA[[#This Row],[Date]],Raw_Data[[Date]:[Sunset Time (POA&lt;20 W/m2)]],3,0),"")</f>
        <v>0.25416666666666665</v>
      </c>
      <c r="J660" s="32">
        <f>IFERROR(VLOOKUP(TA[[#This Row],[Date]],Raw_Data[[Date]:[Sunset Time (POA&lt;20 W/m2)]],4,0),"")</f>
        <v>0.75</v>
      </c>
      <c r="K660" s="27">
        <f>IFERROR((TA[[#This Row],[Sunset Time (POA&lt;20 W/m2)]]-TA[[#This Row],[Sunrise Time (POA&gt;20 W/m2)]])*24,"")</f>
        <v>11.9</v>
      </c>
      <c r="L660" s="2" t="s">
        <v>303</v>
      </c>
      <c r="M660" s="33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321</v>
      </c>
      <c r="Q660" s="2" t="s">
        <v>314</v>
      </c>
      <c r="R660">
        <v>26</v>
      </c>
      <c r="S660" s="2">
        <v>37</v>
      </c>
      <c r="T660" t="s">
        <v>288</v>
      </c>
      <c r="U660" t="s">
        <v>291</v>
      </c>
      <c r="V660" t="s">
        <v>292</v>
      </c>
      <c r="W660" s="32"/>
      <c r="X660" s="32"/>
      <c r="Y660" s="26"/>
      <c r="Z660" s="26"/>
      <c r="AA660" s="27">
        <f>IF(TA[[#This Row],[Work Start time on Fault]]="NA","",(TA[[#This Row],[Fault Acknowledgement Time ]]-TA[[#This Row],[Fault Time]])*24)</f>
        <v>0</v>
      </c>
      <c r="AB660" s="27">
        <f>(TA[[#This Row],[Work Start time on Fault]]-TA[[#This Row],[Fault Time]])*24</f>
        <v>0</v>
      </c>
      <c r="AC660" s="26">
        <f>(TA[[#This Row],[Work Completion time on fault]]-TA[[#This Row],[Fault Time]])*24</f>
        <v>0</v>
      </c>
      <c r="AD660" s="27">
        <f>IFERROR((TA[[#This Row],[Work Completion time on fault]]-TA[[#This Row],[Fault Time]])*24,"")</f>
        <v>0</v>
      </c>
      <c r="AE660" t="s">
        <v>319</v>
      </c>
      <c r="AF660" t="s">
        <v>247</v>
      </c>
      <c r="AG660" s="2"/>
      <c r="AH660" s="35">
        <f>1-COS(RADIANS(TA[[#This Row],[Avg. Target Angle during Fault Time (Radians)]]-TA[[#This Row],[Angle of affected equipment ]]))</f>
        <v>0.11705240714107301</v>
      </c>
      <c r="AI660" s="27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43">
        <f t="shared" si="41"/>
        <v>2026</v>
      </c>
      <c r="C661" s="116">
        <f t="shared" si="42"/>
        <v>2025</v>
      </c>
      <c r="D661" s="2" t="s">
        <v>155</v>
      </c>
      <c r="E661" s="2" t="s">
        <v>155</v>
      </c>
      <c r="F661" s="30">
        <v>45778</v>
      </c>
      <c r="G661" s="2">
        <f>DAY(EOMONTH(TA[[#This Row],[Month Year]],0))</f>
        <v>31</v>
      </c>
      <c r="H661" s="21">
        <v>45789</v>
      </c>
      <c r="I661" s="32">
        <f>IFERROR(VLOOKUP(TA[[#This Row],[Date]],Raw_Data[[Date]:[Sunset Time (POA&lt;20 W/m2)]],3,0),"")</f>
        <v>0.25416666666666665</v>
      </c>
      <c r="J661" s="32">
        <f>IFERROR(VLOOKUP(TA[[#This Row],[Date]],Raw_Data[[Date]:[Sunset Time (POA&lt;20 W/m2)]],4,0),"")</f>
        <v>0.75</v>
      </c>
      <c r="K661" s="27">
        <f>IFERROR((TA[[#This Row],[Sunset Time (POA&lt;20 W/m2)]]-TA[[#This Row],[Sunrise Time (POA&gt;20 W/m2)]])*24,"")</f>
        <v>11.9</v>
      </c>
      <c r="L661" s="2" t="s">
        <v>303</v>
      </c>
      <c r="M661" s="33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321</v>
      </c>
      <c r="Q661" s="2" t="s">
        <v>314</v>
      </c>
      <c r="R661">
        <v>27</v>
      </c>
      <c r="S661" s="2">
        <v>42</v>
      </c>
      <c r="T661" t="s">
        <v>288</v>
      </c>
      <c r="U661" t="s">
        <v>291</v>
      </c>
      <c r="V661" t="s">
        <v>292</v>
      </c>
      <c r="W661" s="32">
        <f>IFERROR(VLOOKUP(TA[[#This Row],[Date]],Raw_Data[[Date]:[Sunset Time (POA&lt;20 W/m2)]],3,0),"")</f>
        <v>0.25416666666666665</v>
      </c>
      <c r="X661" s="32">
        <f>IFERROR(VLOOKUP(TA[[#This Row],[Date]],Raw_Data[[Date]:[Sunset Time (POA&lt;20 W/m2)]],3,0),"")</f>
        <v>0.25416666666666665</v>
      </c>
      <c r="Y661" s="26"/>
      <c r="Z661" s="26">
        <v>0.76041666666666663</v>
      </c>
      <c r="AA661" s="27">
        <f>IF(TA[[#This Row],[Work Start time on Fault]]="NA","",(TA[[#This Row],[Fault Acknowledgement Time ]]-TA[[#This Row],[Fault Time]])*24)</f>
        <v>0</v>
      </c>
      <c r="AB661" s="27">
        <f>(TA[[#This Row],[Work Start time on Fault]]-TA[[#This Row],[Fault Time]])*24</f>
        <v>-6.1</v>
      </c>
      <c r="AC661" s="26">
        <f>(TA[[#This Row],[Work Completion time on fault]]-TA[[#This Row],[Fault Time]])*24</f>
        <v>12.149999999999999</v>
      </c>
      <c r="AD661" s="27">
        <f>IFERROR((TA[[#This Row],[Work Completion time on fault]]-TA[[#This Row],[Fault Time]])*24,"")</f>
        <v>12.149999999999999</v>
      </c>
      <c r="AE661" t="s">
        <v>300</v>
      </c>
      <c r="AF661" t="s">
        <v>247</v>
      </c>
      <c r="AG661" s="2"/>
      <c r="AH661" s="35">
        <f>1-COS(RADIANS(TA[[#This Row],[Avg. Target Angle during Fault Time (Radians)]]-TA[[#This Row],[Angle of affected equipment ]]))</f>
        <v>0.11705240714107301</v>
      </c>
      <c r="AI661" s="27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43">
        <f t="shared" ref="B662:B675" si="43">YEAR(H662)+IF(MONTH(H662)&gt;=4,1,0)</f>
        <v>2026</v>
      </c>
      <c r="C662" s="116">
        <f t="shared" ref="C662:C675" si="44">YEAR(H662)</f>
        <v>2025</v>
      </c>
      <c r="D662" s="2" t="s">
        <v>155</v>
      </c>
      <c r="E662" s="2" t="s">
        <v>155</v>
      </c>
      <c r="F662" s="30">
        <v>45778</v>
      </c>
      <c r="G662" s="2">
        <f>DAY(EOMONTH(TA[[#This Row],[Month Year]],0))</f>
        <v>31</v>
      </c>
      <c r="H662" s="21">
        <v>45790</v>
      </c>
      <c r="I662" s="32">
        <f>IFERROR(VLOOKUP(TA[[#This Row],[Date]],Raw_Data[[Date]:[Sunset Time (POA&lt;20 W/m2)]],3,0),"")</f>
        <v>0.26041666666666669</v>
      </c>
      <c r="J662" s="32">
        <f>IFERROR(VLOOKUP(TA[[#This Row],[Date]],Raw_Data[[Date]:[Sunset Time (POA&lt;20 W/m2)]],4,0),"")</f>
        <v>0.75486111111111109</v>
      </c>
      <c r="K662" s="27">
        <f>IFERROR((TA[[#This Row],[Sunset Time (POA&lt;20 W/m2)]]-TA[[#This Row],[Sunrise Time (POA&gt;20 W/m2)]])*24,"")</f>
        <v>11.866666666666665</v>
      </c>
      <c r="L662" s="2" t="s">
        <v>285</v>
      </c>
      <c r="M662" s="33">
        <f>IFERROR(VLOOKUP(TA[[#This Row],[Affected Equipment]],'Basic Data'!$I$2:$K$40,3,0),"")</f>
        <v>1.7241379310344799E-3</v>
      </c>
      <c r="N662">
        <v>-28</v>
      </c>
      <c r="O662" t="s">
        <v>135</v>
      </c>
      <c r="P662" s="114" t="s">
        <v>309</v>
      </c>
      <c r="Q662" s="113" t="s">
        <v>309</v>
      </c>
      <c r="R662">
        <v>130</v>
      </c>
      <c r="S662" s="2">
        <v>37</v>
      </c>
      <c r="T662" t="s">
        <v>286</v>
      </c>
      <c r="U662" t="s">
        <v>291</v>
      </c>
      <c r="V662" t="s">
        <v>289</v>
      </c>
      <c r="W662" s="32"/>
      <c r="X662" s="32"/>
      <c r="Y662" s="26"/>
      <c r="Z662" s="26"/>
      <c r="AA662" s="27">
        <f>IF(TA[[#This Row],[Work Start time on Fault]]="NA","",(TA[[#This Row],[Fault Acknowledgement Time ]]-TA[[#This Row],[Fault Time]])*24)</f>
        <v>0</v>
      </c>
      <c r="AB662" s="27">
        <f>(TA[[#This Row],[Work Start time on Fault]]-TA[[#This Row],[Fault Time]])*24</f>
        <v>0</v>
      </c>
      <c r="AC662" s="26">
        <f>(TA[[#This Row],[Work Completion time on fault]]-TA[[#This Row],[Fault Time]])*24</f>
        <v>0</v>
      </c>
      <c r="AD662" s="27">
        <f>IFERROR((TA[[#This Row],[Work Completion time on fault]]-TA[[#This Row],[Fault Time]])*24,"")</f>
        <v>0</v>
      </c>
      <c r="AE662" t="s">
        <v>319</v>
      </c>
      <c r="AF662" t="s">
        <v>247</v>
      </c>
      <c r="AG662" s="2"/>
      <c r="AH662" s="35">
        <f>1-COS(RADIANS(TA[[#This Row],[Avg. Target Angle during Fault Time (Radians)]]-TA[[#This Row],[Angle of affected equipment ]]))</f>
        <v>0.11705240714107301</v>
      </c>
      <c r="AI662" s="27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43">
        <f t="shared" si="43"/>
        <v>2026</v>
      </c>
      <c r="C663" s="116">
        <f t="shared" si="44"/>
        <v>2025</v>
      </c>
      <c r="D663" s="2" t="s">
        <v>155</v>
      </c>
      <c r="E663" s="2" t="s">
        <v>155</v>
      </c>
      <c r="F663" s="30">
        <v>45778</v>
      </c>
      <c r="G663" s="2">
        <f>DAY(EOMONTH(TA[[#This Row],[Month Year]],0))</f>
        <v>31</v>
      </c>
      <c r="H663" s="21">
        <v>45790</v>
      </c>
      <c r="I663" s="32">
        <f>IFERROR(VLOOKUP(TA[[#This Row],[Date]],Raw_Data[[Date]:[Sunset Time (POA&lt;20 W/m2)]],3,0),"")</f>
        <v>0.26041666666666669</v>
      </c>
      <c r="J663" s="32">
        <f>IFERROR(VLOOKUP(TA[[#This Row],[Date]],Raw_Data[[Date]:[Sunset Time (POA&lt;20 W/m2)]],4,0),"")</f>
        <v>0.75486111111111109</v>
      </c>
      <c r="K663" s="27">
        <f>IFERROR((TA[[#This Row],[Sunset Time (POA&lt;20 W/m2)]]-TA[[#This Row],[Sunrise Time (POA&gt;20 W/m2)]])*24,"")</f>
        <v>11.866666666666665</v>
      </c>
      <c r="L663" s="2" t="s">
        <v>285</v>
      </c>
      <c r="M663" s="33">
        <f>IFERROR(VLOOKUP(TA[[#This Row],[Affected Equipment]],'Basic Data'!$I$2:$K$40,3,0),"")</f>
        <v>1.7241379310344799E-3</v>
      </c>
      <c r="N663">
        <v>-28</v>
      </c>
      <c r="O663" t="s">
        <v>135</v>
      </c>
      <c r="P663" s="114" t="s">
        <v>309</v>
      </c>
      <c r="Q663" s="113" t="s">
        <v>309</v>
      </c>
      <c r="R663">
        <v>131</v>
      </c>
      <c r="S663" s="2">
        <v>38</v>
      </c>
      <c r="T663" t="s">
        <v>286</v>
      </c>
      <c r="U663" t="s">
        <v>291</v>
      </c>
      <c r="V663" t="s">
        <v>289</v>
      </c>
      <c r="W663" s="32"/>
      <c r="X663" s="32"/>
      <c r="Y663" s="26"/>
      <c r="Z663" s="26"/>
      <c r="AA663" s="27">
        <f>IF(TA[[#This Row],[Work Start time on Fault]]="NA","",(TA[[#This Row],[Fault Acknowledgement Time ]]-TA[[#This Row],[Fault Time]])*24)</f>
        <v>0</v>
      </c>
      <c r="AB663" s="27">
        <f>(TA[[#This Row],[Work Start time on Fault]]-TA[[#This Row],[Fault Time]])*24</f>
        <v>0</v>
      </c>
      <c r="AC663" s="26">
        <f>(TA[[#This Row],[Work Completion time on fault]]-TA[[#This Row],[Fault Time]])*24</f>
        <v>0</v>
      </c>
      <c r="AD663" s="27">
        <f>IFERROR((TA[[#This Row],[Work Completion time on fault]]-TA[[#This Row],[Fault Time]])*24,"")</f>
        <v>0</v>
      </c>
      <c r="AE663" t="s">
        <v>319</v>
      </c>
      <c r="AF663" t="s">
        <v>247</v>
      </c>
      <c r="AG663" s="2"/>
      <c r="AH663" s="35">
        <f>1-COS(RADIANS(TA[[#This Row],[Avg. Target Angle during Fault Time (Radians)]]-TA[[#This Row],[Angle of affected equipment ]]))</f>
        <v>0.11705240714107301</v>
      </c>
      <c r="AI663" s="27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43">
        <f t="shared" si="43"/>
        <v>2026</v>
      </c>
      <c r="C664" s="116">
        <f t="shared" si="44"/>
        <v>2025</v>
      </c>
      <c r="D664" s="2" t="s">
        <v>155</v>
      </c>
      <c r="E664" s="2" t="s">
        <v>155</v>
      </c>
      <c r="F664" s="30">
        <v>45778</v>
      </c>
      <c r="G664" s="2">
        <f>DAY(EOMONTH(TA[[#This Row],[Month Year]],0))</f>
        <v>31</v>
      </c>
      <c r="H664" s="21">
        <v>45790</v>
      </c>
      <c r="I664" s="32">
        <f>IFERROR(VLOOKUP(TA[[#This Row],[Date]],Raw_Data[[Date]:[Sunset Time (POA&lt;20 W/m2)]],3,0),"")</f>
        <v>0.26041666666666669</v>
      </c>
      <c r="J664" s="32">
        <f>IFERROR(VLOOKUP(TA[[#This Row],[Date]],Raw_Data[[Date]:[Sunset Time (POA&lt;20 W/m2)]],4,0),"")</f>
        <v>0.75486111111111109</v>
      </c>
      <c r="K664" s="27">
        <f>IFERROR((TA[[#This Row],[Sunset Time (POA&lt;20 W/m2)]]-TA[[#This Row],[Sunrise Time (POA&gt;20 W/m2)]])*24,"")</f>
        <v>11.866666666666665</v>
      </c>
      <c r="L664" s="2" t="s">
        <v>285</v>
      </c>
      <c r="M664" s="33">
        <f>IFERROR(VLOOKUP(TA[[#This Row],[Affected Equipment]],'Basic Data'!$I$2:$K$40,3,0),"")</f>
        <v>1.7241379310344799E-3</v>
      </c>
      <c r="N664">
        <v>-28</v>
      </c>
      <c r="O664" t="s">
        <v>135</v>
      </c>
      <c r="P664" s="114" t="s">
        <v>309</v>
      </c>
      <c r="Q664" s="113" t="s">
        <v>309</v>
      </c>
      <c r="R664">
        <v>131</v>
      </c>
      <c r="S664" s="2">
        <v>39</v>
      </c>
      <c r="T664" t="s">
        <v>286</v>
      </c>
      <c r="U664" t="s">
        <v>291</v>
      </c>
      <c r="V664" t="s">
        <v>289</v>
      </c>
      <c r="W664" s="32"/>
      <c r="X664" s="32"/>
      <c r="Y664" s="26"/>
      <c r="Z664" s="26"/>
      <c r="AA664" s="27">
        <f>IF(TA[[#This Row],[Work Start time on Fault]]="NA","",(TA[[#This Row],[Fault Acknowledgement Time ]]-TA[[#This Row],[Fault Time]])*24)</f>
        <v>0</v>
      </c>
      <c r="AB664" s="27">
        <f>(TA[[#This Row],[Work Start time on Fault]]-TA[[#This Row],[Fault Time]])*24</f>
        <v>0</v>
      </c>
      <c r="AC664" s="26">
        <f>(TA[[#This Row],[Work Completion time on fault]]-TA[[#This Row],[Fault Time]])*24</f>
        <v>0</v>
      </c>
      <c r="AD664" s="27">
        <f>IFERROR((TA[[#This Row],[Work Completion time on fault]]-TA[[#This Row],[Fault Time]])*24,"")</f>
        <v>0</v>
      </c>
      <c r="AE664" t="s">
        <v>319</v>
      </c>
      <c r="AF664" t="s">
        <v>247</v>
      </c>
      <c r="AG664" s="2"/>
      <c r="AH664" s="35">
        <f>1-COS(RADIANS(TA[[#This Row],[Avg. Target Angle during Fault Time (Radians)]]-TA[[#This Row],[Angle of affected equipment ]]))</f>
        <v>0.11705240714107301</v>
      </c>
      <c r="AI664" s="27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43">
        <f t="shared" si="43"/>
        <v>2026</v>
      </c>
      <c r="C665" s="116">
        <f t="shared" si="44"/>
        <v>2025</v>
      </c>
      <c r="D665" s="2" t="s">
        <v>155</v>
      </c>
      <c r="E665" s="2" t="s">
        <v>155</v>
      </c>
      <c r="F665" s="30">
        <v>45778</v>
      </c>
      <c r="G665" s="2">
        <f>DAY(EOMONTH(TA[[#This Row],[Month Year]],0))</f>
        <v>31</v>
      </c>
      <c r="H665" s="21">
        <v>45790</v>
      </c>
      <c r="I665" s="32">
        <f>IFERROR(VLOOKUP(TA[[#This Row],[Date]],Raw_Data[[Date]:[Sunset Time (POA&lt;20 W/m2)]],3,0),"")</f>
        <v>0.26041666666666669</v>
      </c>
      <c r="J665" s="32">
        <f>IFERROR(VLOOKUP(TA[[#This Row],[Date]],Raw_Data[[Date]:[Sunset Time (POA&lt;20 W/m2)]],4,0),"")</f>
        <v>0.75486111111111109</v>
      </c>
      <c r="K665" s="27">
        <f>IFERROR((TA[[#This Row],[Sunset Time (POA&lt;20 W/m2)]]-TA[[#This Row],[Sunrise Time (POA&gt;20 W/m2)]])*24,"")</f>
        <v>11.866666666666665</v>
      </c>
      <c r="L665" s="2" t="s">
        <v>287</v>
      </c>
      <c r="M665" s="33">
        <f>IFERROR(VLOOKUP(TA[[#This Row],[Affected Equipment]],'Basic Data'!$I$2:$K$40,3,0),"")</f>
        <v>8.6206896551724102E-3</v>
      </c>
      <c r="N665">
        <v>-28</v>
      </c>
      <c r="O665" t="s">
        <v>135</v>
      </c>
      <c r="P665" s="114" t="s">
        <v>309</v>
      </c>
      <c r="Q665" s="2" t="s">
        <v>312</v>
      </c>
      <c r="R665">
        <v>133</v>
      </c>
      <c r="S665" s="2">
        <v>26</v>
      </c>
      <c r="T665" t="s">
        <v>288</v>
      </c>
      <c r="U665" t="s">
        <v>291</v>
      </c>
      <c r="V665" t="s">
        <v>305</v>
      </c>
      <c r="W665" s="32">
        <f>IFERROR(VLOOKUP(TA[[#This Row],[Date]],Raw_Data[[Date]:[Sunset Time (POA&lt;20 W/m2)]],3,0),"")</f>
        <v>0.26041666666666669</v>
      </c>
      <c r="X665" s="32">
        <f>IFERROR(VLOOKUP(TA[[#This Row],[Date]],Raw_Data[[Date]:[Sunset Time (POA&lt;20 W/m2)]],3,0),"")</f>
        <v>0.26041666666666669</v>
      </c>
      <c r="Y665" s="26"/>
      <c r="Z665" s="26">
        <v>0.76041666666666663</v>
      </c>
      <c r="AA665" s="27">
        <f>IF(TA[[#This Row],[Work Start time on Fault]]="NA","",(TA[[#This Row],[Fault Acknowledgement Time ]]-TA[[#This Row],[Fault Time]])*24)</f>
        <v>0</v>
      </c>
      <c r="AB665" s="27">
        <f>(TA[[#This Row],[Work Start time on Fault]]-TA[[#This Row],[Fault Time]])*24</f>
        <v>-6.25</v>
      </c>
      <c r="AC665" s="26">
        <f>(TA[[#This Row],[Work Completion time on fault]]-TA[[#This Row],[Fault Time]])*24</f>
        <v>11.999999999999998</v>
      </c>
      <c r="AD665" s="27">
        <f>IFERROR((TA[[#This Row],[Work Completion time on fault]]-TA[[#This Row],[Fault Time]])*24,"")</f>
        <v>11.999999999999998</v>
      </c>
      <c r="AE665" t="s">
        <v>319</v>
      </c>
      <c r="AF665" t="s">
        <v>247</v>
      </c>
      <c r="AG665" s="2"/>
      <c r="AH665" s="35">
        <f>1-COS(RADIANS(TA[[#This Row],[Avg. Target Angle during Fault Time (Radians)]]-TA[[#This Row],[Angle of affected equipment ]]))</f>
        <v>0.11705240714107301</v>
      </c>
      <c r="AI665" s="27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43">
        <f t="shared" si="43"/>
        <v>2026</v>
      </c>
      <c r="C666" s="116">
        <f t="shared" si="44"/>
        <v>2025</v>
      </c>
      <c r="D666" s="2" t="s">
        <v>155</v>
      </c>
      <c r="E666" s="2" t="s">
        <v>155</v>
      </c>
      <c r="F666" s="30">
        <v>45778</v>
      </c>
      <c r="G666" s="2">
        <f>DAY(EOMONTH(TA[[#This Row],[Month Year]],0))</f>
        <v>31</v>
      </c>
      <c r="H666" s="21">
        <v>45790</v>
      </c>
      <c r="I666" s="32">
        <f>IFERROR(VLOOKUP(TA[[#This Row],[Date]],Raw_Data[[Date]:[Sunset Time (POA&lt;20 W/m2)]],3,0),"")</f>
        <v>0.26041666666666669</v>
      </c>
      <c r="J666" s="32">
        <f>IFERROR(VLOOKUP(TA[[#This Row],[Date]],Raw_Data[[Date]:[Sunset Time (POA&lt;20 W/m2)]],4,0),"")</f>
        <v>0.75486111111111109</v>
      </c>
      <c r="K666" s="27">
        <f>IFERROR((TA[[#This Row],[Sunset Time (POA&lt;20 W/m2)]]-TA[[#This Row],[Sunrise Time (POA&gt;20 W/m2)]])*24,"")</f>
        <v>11.866666666666665</v>
      </c>
      <c r="L666" s="2" t="s">
        <v>285</v>
      </c>
      <c r="M666" s="33">
        <f>IFERROR(VLOOKUP(TA[[#This Row],[Affected Equipment]],'Basic Data'!$I$2:$K$40,3,0),"")</f>
        <v>1.7241379310344799E-3</v>
      </c>
      <c r="N666">
        <v>-28</v>
      </c>
      <c r="O666" t="s">
        <v>133</v>
      </c>
      <c r="P666" s="114" t="s">
        <v>307</v>
      </c>
      <c r="Q666" s="113" t="s">
        <v>308</v>
      </c>
      <c r="R666">
        <v>7</v>
      </c>
      <c r="S666" s="2">
        <v>32</v>
      </c>
      <c r="T666" t="s">
        <v>286</v>
      </c>
      <c r="U666" t="s">
        <v>291</v>
      </c>
      <c r="V666" t="s">
        <v>289</v>
      </c>
      <c r="W666" s="32"/>
      <c r="X666" s="32"/>
      <c r="Y666" s="26"/>
      <c r="Z666" s="26"/>
      <c r="AA666" s="27">
        <f>IF(TA[[#This Row],[Work Start time on Fault]]="NA","",(TA[[#This Row],[Fault Acknowledgement Time ]]-TA[[#This Row],[Fault Time]])*24)</f>
        <v>0</v>
      </c>
      <c r="AB666" s="27">
        <f>(TA[[#This Row],[Work Start time on Fault]]-TA[[#This Row],[Fault Time]])*24</f>
        <v>0</v>
      </c>
      <c r="AC666" s="26">
        <f>(TA[[#This Row],[Work Completion time on fault]]-TA[[#This Row],[Fault Time]])*24</f>
        <v>0</v>
      </c>
      <c r="AD666" s="27">
        <f>IFERROR((TA[[#This Row],[Work Completion time on fault]]-TA[[#This Row],[Fault Time]])*24,"")</f>
        <v>0</v>
      </c>
      <c r="AE666" t="s">
        <v>319</v>
      </c>
      <c r="AF666" t="s">
        <v>247</v>
      </c>
      <c r="AG666" s="2"/>
      <c r="AH666" s="35">
        <f>1-COS(RADIANS(TA[[#This Row],[Avg. Target Angle during Fault Time (Radians)]]-TA[[#This Row],[Angle of affected equipment ]]))</f>
        <v>0.11705240714107301</v>
      </c>
      <c r="AI666" s="27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43">
        <f t="shared" si="43"/>
        <v>2026</v>
      </c>
      <c r="C667" s="116">
        <f t="shared" si="44"/>
        <v>2025</v>
      </c>
      <c r="D667" s="2" t="s">
        <v>155</v>
      </c>
      <c r="E667" s="2" t="s">
        <v>155</v>
      </c>
      <c r="F667" s="30">
        <v>45778</v>
      </c>
      <c r="G667" s="2">
        <f>DAY(EOMONTH(TA[[#This Row],[Month Year]],0))</f>
        <v>31</v>
      </c>
      <c r="H667" s="21">
        <v>45790</v>
      </c>
      <c r="I667" s="32">
        <f>IFERROR(VLOOKUP(TA[[#This Row],[Date]],Raw_Data[[Date]:[Sunset Time (POA&lt;20 W/m2)]],3,0),"")</f>
        <v>0.26041666666666669</v>
      </c>
      <c r="J667" s="32">
        <f>IFERROR(VLOOKUP(TA[[#This Row],[Date]],Raw_Data[[Date]:[Sunset Time (POA&lt;20 W/m2)]],4,0),"")</f>
        <v>0.75486111111111109</v>
      </c>
      <c r="K667" s="27">
        <f>IFERROR((TA[[#This Row],[Sunset Time (POA&lt;20 W/m2)]]-TA[[#This Row],[Sunrise Time (POA&gt;20 W/m2)]])*24,"")</f>
        <v>11.866666666666665</v>
      </c>
      <c r="L667" s="2" t="s">
        <v>285</v>
      </c>
      <c r="M667" s="33">
        <f>IFERROR(VLOOKUP(TA[[#This Row],[Affected Equipment]],'Basic Data'!$I$2:$K$40,3,0),"")</f>
        <v>1.7241379310344799E-3</v>
      </c>
      <c r="N667">
        <v>-28</v>
      </c>
      <c r="O667" t="s">
        <v>137</v>
      </c>
      <c r="P667" s="114" t="s">
        <v>306</v>
      </c>
      <c r="Q667" s="113" t="s">
        <v>310</v>
      </c>
      <c r="R667">
        <v>166</v>
      </c>
      <c r="S667" s="2">
        <v>91</v>
      </c>
      <c r="T667" t="s">
        <v>286</v>
      </c>
      <c r="U667" t="s">
        <v>291</v>
      </c>
      <c r="V667" t="s">
        <v>289</v>
      </c>
      <c r="W667" s="32"/>
      <c r="X667" s="32"/>
      <c r="Y667" s="26"/>
      <c r="Z667" s="26"/>
      <c r="AA667" s="27">
        <f>IF(TA[[#This Row],[Work Start time on Fault]]="NA","",(TA[[#This Row],[Fault Acknowledgement Time ]]-TA[[#This Row],[Fault Time]])*24)</f>
        <v>0</v>
      </c>
      <c r="AB667" s="27">
        <f>(TA[[#This Row],[Work Start time on Fault]]-TA[[#This Row],[Fault Time]])*24</f>
        <v>0</v>
      </c>
      <c r="AC667" s="26">
        <f>(TA[[#This Row],[Work Completion time on fault]]-TA[[#This Row],[Fault Time]])*24</f>
        <v>0</v>
      </c>
      <c r="AD667" s="27">
        <f>IFERROR((TA[[#This Row],[Work Completion time on fault]]-TA[[#This Row],[Fault Time]])*24,"")</f>
        <v>0</v>
      </c>
      <c r="AE667" t="s">
        <v>319</v>
      </c>
      <c r="AF667" t="s">
        <v>247</v>
      </c>
      <c r="AG667" s="2"/>
      <c r="AH667" s="35">
        <f>1-COS(RADIANS(TA[[#This Row],[Avg. Target Angle during Fault Time (Radians)]]-TA[[#This Row],[Angle of affected equipment ]]))</f>
        <v>0.11705240714107301</v>
      </c>
      <c r="AI667" s="27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43">
        <f t="shared" si="43"/>
        <v>2026</v>
      </c>
      <c r="C668" s="116">
        <f t="shared" si="44"/>
        <v>2025</v>
      </c>
      <c r="D668" s="2" t="s">
        <v>155</v>
      </c>
      <c r="E668" s="2" t="s">
        <v>155</v>
      </c>
      <c r="F668" s="30">
        <v>45778</v>
      </c>
      <c r="G668" s="2">
        <f>DAY(EOMONTH(TA[[#This Row],[Month Year]],0))</f>
        <v>31</v>
      </c>
      <c r="H668" s="21">
        <v>45790</v>
      </c>
      <c r="I668" s="32">
        <f>IFERROR(VLOOKUP(TA[[#This Row],[Date]],Raw_Data[[Date]:[Sunset Time (POA&lt;20 W/m2)]],3,0),"")</f>
        <v>0.26041666666666669</v>
      </c>
      <c r="J668" s="32">
        <f>IFERROR(VLOOKUP(TA[[#This Row],[Date]],Raw_Data[[Date]:[Sunset Time (POA&lt;20 W/m2)]],4,0),"")</f>
        <v>0.75486111111111109</v>
      </c>
      <c r="K668" s="27">
        <f>IFERROR((TA[[#This Row],[Sunset Time (POA&lt;20 W/m2)]]-TA[[#This Row],[Sunrise Time (POA&gt;20 W/m2)]])*24,"")</f>
        <v>11.866666666666665</v>
      </c>
      <c r="L668" s="2" t="s">
        <v>285</v>
      </c>
      <c r="M668" s="33">
        <f>IFERROR(VLOOKUP(TA[[#This Row],[Affected Equipment]],'Basic Data'!$I$2:$K$40,3,0),"")</f>
        <v>1.7241379310344799E-3</v>
      </c>
      <c r="N668">
        <v>-28</v>
      </c>
      <c r="O668" t="s">
        <v>133</v>
      </c>
      <c r="P668" s="114" t="s">
        <v>307</v>
      </c>
      <c r="Q668" s="113" t="s">
        <v>307</v>
      </c>
      <c r="R668">
        <v>117</v>
      </c>
      <c r="S668" s="2">
        <v>20</v>
      </c>
      <c r="T668" t="s">
        <v>286</v>
      </c>
      <c r="U668" t="s">
        <v>291</v>
      </c>
      <c r="V668" t="s">
        <v>289</v>
      </c>
      <c r="W668" s="32"/>
      <c r="X668" s="32"/>
      <c r="Y668" s="26"/>
      <c r="Z668" s="26"/>
      <c r="AA668" s="27">
        <f>IF(TA[[#This Row],[Work Start time on Fault]]="NA","",(TA[[#This Row],[Fault Acknowledgement Time ]]-TA[[#This Row],[Fault Time]])*24)</f>
        <v>0</v>
      </c>
      <c r="AB668" s="27">
        <f>(TA[[#This Row],[Work Start time on Fault]]-TA[[#This Row],[Fault Time]])*24</f>
        <v>0</v>
      </c>
      <c r="AC668" s="26">
        <f>(TA[[#This Row],[Work Completion time on fault]]-TA[[#This Row],[Fault Time]])*24</f>
        <v>0</v>
      </c>
      <c r="AD668" s="27">
        <f>IFERROR((TA[[#This Row],[Work Completion time on fault]]-TA[[#This Row],[Fault Time]])*24,"")</f>
        <v>0</v>
      </c>
      <c r="AE668" t="s">
        <v>319</v>
      </c>
      <c r="AF668" t="s">
        <v>247</v>
      </c>
      <c r="AG668" s="2"/>
      <c r="AH668" s="35">
        <f>1-COS(RADIANS(TA[[#This Row],[Avg. Target Angle during Fault Time (Radians)]]-TA[[#This Row],[Angle of affected equipment ]]))</f>
        <v>0.11705240714107301</v>
      </c>
      <c r="AI668" s="27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43">
        <f t="shared" si="43"/>
        <v>2026</v>
      </c>
      <c r="C669" s="116">
        <f t="shared" si="44"/>
        <v>2025</v>
      </c>
      <c r="D669" s="2" t="s">
        <v>155</v>
      </c>
      <c r="E669" s="2" t="s">
        <v>155</v>
      </c>
      <c r="F669" s="30">
        <v>45778</v>
      </c>
      <c r="G669" s="2">
        <f>DAY(EOMONTH(TA[[#This Row],[Month Year]],0))</f>
        <v>31</v>
      </c>
      <c r="H669" s="21">
        <v>45790</v>
      </c>
      <c r="I669" s="32">
        <f>IFERROR(VLOOKUP(TA[[#This Row],[Date]],Raw_Data[[Date]:[Sunset Time (POA&lt;20 W/m2)]],3,0),"")</f>
        <v>0.26041666666666669</v>
      </c>
      <c r="J669" s="32">
        <f>IFERROR(VLOOKUP(TA[[#This Row],[Date]],Raw_Data[[Date]:[Sunset Time (POA&lt;20 W/m2)]],4,0),"")</f>
        <v>0.75486111111111109</v>
      </c>
      <c r="K669" s="27">
        <f>IFERROR((TA[[#This Row],[Sunset Time (POA&lt;20 W/m2)]]-TA[[#This Row],[Sunrise Time (POA&gt;20 W/m2)]])*24,"")</f>
        <v>11.866666666666665</v>
      </c>
      <c r="L669" s="2" t="s">
        <v>285</v>
      </c>
      <c r="M669" s="33">
        <f>IFERROR(VLOOKUP(TA[[#This Row],[Affected Equipment]],'Basic Data'!$I$2:$K$40,3,0),"")</f>
        <v>1.7241379310344799E-3</v>
      </c>
      <c r="N669">
        <v>-28</v>
      </c>
      <c r="O669" t="s">
        <v>133</v>
      </c>
      <c r="P669" s="114" t="s">
        <v>307</v>
      </c>
      <c r="Q669" s="113" t="s">
        <v>307</v>
      </c>
      <c r="R669">
        <v>118</v>
      </c>
      <c r="S669" s="2">
        <v>22</v>
      </c>
      <c r="T669" t="s">
        <v>286</v>
      </c>
      <c r="U669" t="s">
        <v>291</v>
      </c>
      <c r="V669" t="s">
        <v>289</v>
      </c>
      <c r="W669" s="32"/>
      <c r="X669" s="32"/>
      <c r="Y669" s="26"/>
      <c r="Z669" s="26"/>
      <c r="AA669" s="27">
        <f>IF(TA[[#This Row],[Work Start time on Fault]]="NA","",(TA[[#This Row],[Fault Acknowledgement Time ]]-TA[[#This Row],[Fault Time]])*24)</f>
        <v>0</v>
      </c>
      <c r="AB669" s="27">
        <f>(TA[[#This Row],[Work Start time on Fault]]-TA[[#This Row],[Fault Time]])*24</f>
        <v>0</v>
      </c>
      <c r="AC669" s="26">
        <f>(TA[[#This Row],[Work Completion time on fault]]-TA[[#This Row],[Fault Time]])*24</f>
        <v>0</v>
      </c>
      <c r="AD669" s="27">
        <f>IFERROR((TA[[#This Row],[Work Completion time on fault]]-TA[[#This Row],[Fault Time]])*24,"")</f>
        <v>0</v>
      </c>
      <c r="AE669" t="s">
        <v>319</v>
      </c>
      <c r="AF669" t="s">
        <v>247</v>
      </c>
      <c r="AG669" s="2"/>
      <c r="AH669" s="35">
        <f>1-COS(RADIANS(TA[[#This Row],[Avg. Target Angle during Fault Time (Radians)]]-TA[[#This Row],[Angle of affected equipment ]]))</f>
        <v>0.11705240714107301</v>
      </c>
      <c r="AI669" s="27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43">
        <f t="shared" si="43"/>
        <v>2026</v>
      </c>
      <c r="C670" s="116">
        <f t="shared" si="44"/>
        <v>2025</v>
      </c>
      <c r="D670" s="2" t="s">
        <v>155</v>
      </c>
      <c r="E670" s="2" t="s">
        <v>155</v>
      </c>
      <c r="F670" s="30">
        <v>45778</v>
      </c>
      <c r="G670" s="2">
        <f>DAY(EOMONTH(TA[[#This Row],[Month Year]],0))</f>
        <v>31</v>
      </c>
      <c r="H670" s="21">
        <v>45790</v>
      </c>
      <c r="I670" s="32">
        <f>IFERROR(VLOOKUP(TA[[#This Row],[Date]],Raw_Data[[Date]:[Sunset Time (POA&lt;20 W/m2)]],3,0),"")</f>
        <v>0.26041666666666669</v>
      </c>
      <c r="J670" s="32">
        <f>IFERROR(VLOOKUP(TA[[#This Row],[Date]],Raw_Data[[Date]:[Sunset Time (POA&lt;20 W/m2)]],4,0),"")</f>
        <v>0.75486111111111109</v>
      </c>
      <c r="K670" s="27">
        <f>IFERROR((TA[[#This Row],[Sunset Time (POA&lt;20 W/m2)]]-TA[[#This Row],[Sunrise Time (POA&gt;20 W/m2)]])*24,"")</f>
        <v>11.866666666666665</v>
      </c>
      <c r="L670" s="2" t="s">
        <v>287</v>
      </c>
      <c r="M670" s="33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314</v>
      </c>
      <c r="Q670" s="2" t="s">
        <v>320</v>
      </c>
      <c r="R670">
        <v>45</v>
      </c>
      <c r="S670" s="2">
        <v>8</v>
      </c>
      <c r="T670" t="s">
        <v>288</v>
      </c>
      <c r="U670" t="s">
        <v>291</v>
      </c>
      <c r="V670" t="s">
        <v>292</v>
      </c>
      <c r="W670" s="32"/>
      <c r="X670" s="32"/>
      <c r="Y670" s="26"/>
      <c r="Z670" s="26"/>
      <c r="AA670" s="27">
        <f>IF(TA[[#This Row],[Work Start time on Fault]]="NA","",(TA[[#This Row],[Fault Acknowledgement Time ]]-TA[[#This Row],[Fault Time]])*24)</f>
        <v>0</v>
      </c>
      <c r="AB670" s="27">
        <f>(TA[[#This Row],[Work Start time on Fault]]-TA[[#This Row],[Fault Time]])*24</f>
        <v>0</v>
      </c>
      <c r="AC670" s="26">
        <f>(TA[[#This Row],[Work Completion time on fault]]-TA[[#This Row],[Fault Time]])*24</f>
        <v>0</v>
      </c>
      <c r="AD670" s="27">
        <f>IFERROR((TA[[#This Row],[Work Completion time on fault]]-TA[[#This Row],[Fault Time]])*24,"")</f>
        <v>0</v>
      </c>
      <c r="AE670" t="s">
        <v>319</v>
      </c>
      <c r="AF670" t="s">
        <v>247</v>
      </c>
      <c r="AG670" s="2"/>
      <c r="AH670" s="35">
        <f>1-COS(RADIANS(TA[[#This Row],[Avg. Target Angle during Fault Time (Radians)]]-TA[[#This Row],[Angle of affected equipment ]]))</f>
        <v>0.11705240714107301</v>
      </c>
      <c r="AI670" s="27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43">
        <f t="shared" si="43"/>
        <v>2026</v>
      </c>
      <c r="C671" s="116">
        <f t="shared" si="44"/>
        <v>2025</v>
      </c>
      <c r="D671" s="2" t="s">
        <v>155</v>
      </c>
      <c r="E671" s="2" t="s">
        <v>155</v>
      </c>
      <c r="F671" s="30">
        <v>45778</v>
      </c>
      <c r="G671" s="2">
        <f>DAY(EOMONTH(TA[[#This Row],[Month Year]],0))</f>
        <v>31</v>
      </c>
      <c r="H671" s="21">
        <v>45790</v>
      </c>
      <c r="I671" s="32">
        <f>IFERROR(VLOOKUP(TA[[#This Row],[Date]],Raw_Data[[Date]:[Sunset Time (POA&lt;20 W/m2)]],3,0),"")</f>
        <v>0.26041666666666669</v>
      </c>
      <c r="J671" s="32">
        <f>IFERROR(VLOOKUP(TA[[#This Row],[Date]],Raw_Data[[Date]:[Sunset Time (POA&lt;20 W/m2)]],4,0),"")</f>
        <v>0.75486111111111109</v>
      </c>
      <c r="K671" s="27">
        <f>IFERROR((TA[[#This Row],[Sunset Time (POA&lt;20 W/m2)]]-TA[[#This Row],[Sunrise Time (POA&gt;20 W/m2)]])*24,"")</f>
        <v>11.866666666666665</v>
      </c>
      <c r="L671" s="2" t="s">
        <v>287</v>
      </c>
      <c r="M671" s="33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314</v>
      </c>
      <c r="Q671" s="2" t="s">
        <v>320</v>
      </c>
      <c r="R671">
        <v>47</v>
      </c>
      <c r="S671" s="2">
        <v>18</v>
      </c>
      <c r="T671" t="s">
        <v>288</v>
      </c>
      <c r="U671" t="s">
        <v>291</v>
      </c>
      <c r="V671" t="s">
        <v>292</v>
      </c>
      <c r="W671" s="32"/>
      <c r="X671" s="32"/>
      <c r="Y671" s="26"/>
      <c r="Z671" s="26"/>
      <c r="AA671" s="27">
        <f>IF(TA[[#This Row],[Work Start time on Fault]]="NA","",(TA[[#This Row],[Fault Acknowledgement Time ]]-TA[[#This Row],[Fault Time]])*24)</f>
        <v>0</v>
      </c>
      <c r="AB671" s="27">
        <f>(TA[[#This Row],[Work Start time on Fault]]-TA[[#This Row],[Fault Time]])*24</f>
        <v>0</v>
      </c>
      <c r="AC671" s="26">
        <f>(TA[[#This Row],[Work Completion time on fault]]-TA[[#This Row],[Fault Time]])*24</f>
        <v>0</v>
      </c>
      <c r="AD671" s="27">
        <f>IFERROR((TA[[#This Row],[Work Completion time on fault]]-TA[[#This Row],[Fault Time]])*24,"")</f>
        <v>0</v>
      </c>
      <c r="AE671" t="s">
        <v>319</v>
      </c>
      <c r="AF671" t="s">
        <v>247</v>
      </c>
      <c r="AG671" s="2"/>
      <c r="AH671" s="35">
        <f>1-COS(RADIANS(TA[[#This Row],[Avg. Target Angle during Fault Time (Radians)]]-TA[[#This Row],[Angle of affected equipment ]]))</f>
        <v>0.11705240714107301</v>
      </c>
      <c r="AI671" s="27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43">
        <f t="shared" si="43"/>
        <v>2026</v>
      </c>
      <c r="C672" s="116">
        <f t="shared" si="44"/>
        <v>2025</v>
      </c>
      <c r="D672" s="2" t="s">
        <v>155</v>
      </c>
      <c r="E672" s="2" t="s">
        <v>155</v>
      </c>
      <c r="F672" s="30">
        <v>45778</v>
      </c>
      <c r="G672" s="2">
        <f>DAY(EOMONTH(TA[[#This Row],[Month Year]],0))</f>
        <v>31</v>
      </c>
      <c r="H672" s="21">
        <v>45790</v>
      </c>
      <c r="I672" s="32">
        <f>IFERROR(VLOOKUP(TA[[#This Row],[Date]],Raw_Data[[Date]:[Sunset Time (POA&lt;20 W/m2)]],3,0),"")</f>
        <v>0.26041666666666669</v>
      </c>
      <c r="J672" s="32">
        <f>IFERROR(VLOOKUP(TA[[#This Row],[Date]],Raw_Data[[Date]:[Sunset Time (POA&lt;20 W/m2)]],4,0),"")</f>
        <v>0.75486111111111109</v>
      </c>
      <c r="K672" s="27">
        <f>IFERROR((TA[[#This Row],[Sunset Time (POA&lt;20 W/m2)]]-TA[[#This Row],[Sunrise Time (POA&gt;20 W/m2)]])*24,"")</f>
        <v>11.866666666666665</v>
      </c>
      <c r="L672" s="2" t="s">
        <v>287</v>
      </c>
      <c r="M672" s="33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321</v>
      </c>
      <c r="Q672" s="2" t="s">
        <v>314</v>
      </c>
      <c r="R672">
        <v>30</v>
      </c>
      <c r="S672" s="2">
        <v>57</v>
      </c>
      <c r="T672" t="s">
        <v>288</v>
      </c>
      <c r="U672" t="s">
        <v>291</v>
      </c>
      <c r="V672" t="s">
        <v>292</v>
      </c>
      <c r="W672" s="32"/>
      <c r="X672" s="32"/>
      <c r="Y672" s="26"/>
      <c r="Z672" s="26"/>
      <c r="AA672" s="27">
        <f>IF(TA[[#This Row],[Work Start time on Fault]]="NA","",(TA[[#This Row],[Fault Acknowledgement Time ]]-TA[[#This Row],[Fault Time]])*24)</f>
        <v>0</v>
      </c>
      <c r="AB672" s="27">
        <f>(TA[[#This Row],[Work Start time on Fault]]-TA[[#This Row],[Fault Time]])*24</f>
        <v>0</v>
      </c>
      <c r="AC672" s="26">
        <f>(TA[[#This Row],[Work Completion time on fault]]-TA[[#This Row],[Fault Time]])*24</f>
        <v>0</v>
      </c>
      <c r="AD672" s="27">
        <f>IFERROR((TA[[#This Row],[Work Completion time on fault]]-TA[[#This Row],[Fault Time]])*24,"")</f>
        <v>0</v>
      </c>
      <c r="AE672" t="s">
        <v>319</v>
      </c>
      <c r="AF672" t="s">
        <v>247</v>
      </c>
      <c r="AG672" s="2"/>
      <c r="AH672" s="35">
        <f>1-COS(RADIANS(TA[[#This Row],[Avg. Target Angle during Fault Time (Radians)]]-TA[[#This Row],[Angle of affected equipment ]]))</f>
        <v>0.11705240714107301</v>
      </c>
      <c r="AI672" s="27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43">
        <f t="shared" si="43"/>
        <v>2026</v>
      </c>
      <c r="C673" s="116">
        <f t="shared" si="44"/>
        <v>2025</v>
      </c>
      <c r="D673" s="2" t="s">
        <v>155</v>
      </c>
      <c r="E673" s="2" t="s">
        <v>155</v>
      </c>
      <c r="F673" s="30">
        <v>45778</v>
      </c>
      <c r="G673" s="2">
        <f>DAY(EOMONTH(TA[[#This Row],[Month Year]],0))</f>
        <v>31</v>
      </c>
      <c r="H673" s="21">
        <v>45790</v>
      </c>
      <c r="I673" s="32">
        <f>IFERROR(VLOOKUP(TA[[#This Row],[Date]],Raw_Data[[Date]:[Sunset Time (POA&lt;20 W/m2)]],3,0),"")</f>
        <v>0.26041666666666669</v>
      </c>
      <c r="J673" s="32">
        <f>IFERROR(VLOOKUP(TA[[#This Row],[Date]],Raw_Data[[Date]:[Sunset Time (POA&lt;20 W/m2)]],4,0),"")</f>
        <v>0.75486111111111109</v>
      </c>
      <c r="K673" s="27">
        <f>IFERROR((TA[[#This Row],[Sunset Time (POA&lt;20 W/m2)]]-TA[[#This Row],[Sunrise Time (POA&gt;20 W/m2)]])*24,"")</f>
        <v>11.866666666666665</v>
      </c>
      <c r="L673" s="2" t="s">
        <v>287</v>
      </c>
      <c r="M673" s="33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321</v>
      </c>
      <c r="Q673" s="2" t="s">
        <v>314</v>
      </c>
      <c r="R673">
        <v>31</v>
      </c>
      <c r="S673" s="2">
        <v>61</v>
      </c>
      <c r="T673" t="s">
        <v>288</v>
      </c>
      <c r="U673" t="s">
        <v>291</v>
      </c>
      <c r="V673" t="s">
        <v>292</v>
      </c>
      <c r="W673" s="32"/>
      <c r="X673" s="32"/>
      <c r="Y673" s="26"/>
      <c r="Z673" s="26"/>
      <c r="AA673" s="27">
        <f>IF(TA[[#This Row],[Work Start time on Fault]]="NA","",(TA[[#This Row],[Fault Acknowledgement Time ]]-TA[[#This Row],[Fault Time]])*24)</f>
        <v>0</v>
      </c>
      <c r="AB673" s="27">
        <f>(TA[[#This Row],[Work Start time on Fault]]-TA[[#This Row],[Fault Time]])*24</f>
        <v>0</v>
      </c>
      <c r="AC673" s="26">
        <f>(TA[[#This Row],[Work Completion time on fault]]-TA[[#This Row],[Fault Time]])*24</f>
        <v>0</v>
      </c>
      <c r="AD673" s="27">
        <f>IFERROR((TA[[#This Row],[Work Completion time on fault]]-TA[[#This Row],[Fault Time]])*24,"")</f>
        <v>0</v>
      </c>
      <c r="AE673" t="s">
        <v>319</v>
      </c>
      <c r="AF673" t="s">
        <v>247</v>
      </c>
      <c r="AG673" s="2"/>
      <c r="AH673" s="35">
        <f>1-COS(RADIANS(TA[[#This Row],[Avg. Target Angle during Fault Time (Radians)]]-TA[[#This Row],[Angle of affected equipment ]]))</f>
        <v>0.11705240714107301</v>
      </c>
      <c r="AI673" s="27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43">
        <f t="shared" si="43"/>
        <v>2026</v>
      </c>
      <c r="C674" s="116">
        <f t="shared" si="44"/>
        <v>2025</v>
      </c>
      <c r="D674" s="2" t="s">
        <v>155</v>
      </c>
      <c r="E674" s="2" t="s">
        <v>155</v>
      </c>
      <c r="F674" s="30">
        <v>45778</v>
      </c>
      <c r="G674" s="2">
        <f>DAY(EOMONTH(TA[[#This Row],[Month Year]],0))</f>
        <v>31</v>
      </c>
      <c r="H674" s="21">
        <v>45790</v>
      </c>
      <c r="I674" s="32">
        <f>IFERROR(VLOOKUP(TA[[#This Row],[Date]],Raw_Data[[Date]:[Sunset Time (POA&lt;20 W/m2)]],3,0),"")</f>
        <v>0.26041666666666669</v>
      </c>
      <c r="J674" s="32">
        <f>IFERROR(VLOOKUP(TA[[#This Row],[Date]],Raw_Data[[Date]:[Sunset Time (POA&lt;20 W/m2)]],4,0),"")</f>
        <v>0.75486111111111109</v>
      </c>
      <c r="K674" s="27">
        <f>IFERROR((TA[[#This Row],[Sunset Time (POA&lt;20 W/m2)]]-TA[[#This Row],[Sunrise Time (POA&gt;20 W/m2)]])*24,"")</f>
        <v>11.866666666666665</v>
      </c>
      <c r="L674" s="2" t="s">
        <v>303</v>
      </c>
      <c r="M674" s="33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321</v>
      </c>
      <c r="Q674" s="2" t="s">
        <v>314</v>
      </c>
      <c r="R674">
        <v>26</v>
      </c>
      <c r="S674" s="2">
        <v>37</v>
      </c>
      <c r="T674" t="s">
        <v>288</v>
      </c>
      <c r="U674" t="s">
        <v>291</v>
      </c>
      <c r="V674" t="s">
        <v>292</v>
      </c>
      <c r="W674" s="32"/>
      <c r="X674" s="32"/>
      <c r="Y674" s="26"/>
      <c r="Z674" s="26"/>
      <c r="AA674" s="27">
        <f>IF(TA[[#This Row],[Work Start time on Fault]]="NA","",(TA[[#This Row],[Fault Acknowledgement Time ]]-TA[[#This Row],[Fault Time]])*24)</f>
        <v>0</v>
      </c>
      <c r="AB674" s="27">
        <f>(TA[[#This Row],[Work Start time on Fault]]-TA[[#This Row],[Fault Time]])*24</f>
        <v>0</v>
      </c>
      <c r="AC674" s="26">
        <f>(TA[[#This Row],[Work Completion time on fault]]-TA[[#This Row],[Fault Time]])*24</f>
        <v>0</v>
      </c>
      <c r="AD674" s="27">
        <f>IFERROR((TA[[#This Row],[Work Completion time on fault]]-TA[[#This Row],[Fault Time]])*24,"")</f>
        <v>0</v>
      </c>
      <c r="AE674" t="s">
        <v>319</v>
      </c>
      <c r="AF674" t="s">
        <v>247</v>
      </c>
      <c r="AG674" s="2"/>
      <c r="AH674" s="35">
        <f>1-COS(RADIANS(TA[[#This Row],[Avg. Target Angle during Fault Time (Radians)]]-TA[[#This Row],[Angle of affected equipment ]]))</f>
        <v>0.11705240714107301</v>
      </c>
      <c r="AI674" s="27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43">
        <f t="shared" si="43"/>
        <v>2026</v>
      </c>
      <c r="C675" s="116">
        <f t="shared" si="44"/>
        <v>2025</v>
      </c>
      <c r="D675" s="2" t="s">
        <v>155</v>
      </c>
      <c r="E675" s="2" t="s">
        <v>155</v>
      </c>
      <c r="F675" s="30">
        <v>45778</v>
      </c>
      <c r="G675" s="2">
        <f>DAY(EOMONTH(TA[[#This Row],[Month Year]],0))</f>
        <v>31</v>
      </c>
      <c r="H675" s="21">
        <v>45790</v>
      </c>
      <c r="I675" s="32">
        <f>IFERROR(VLOOKUP(TA[[#This Row],[Date]],Raw_Data[[Date]:[Sunset Time (POA&lt;20 W/m2)]],3,0),"")</f>
        <v>0.26041666666666669</v>
      </c>
      <c r="J675" s="32">
        <f>IFERROR(VLOOKUP(TA[[#This Row],[Date]],Raw_Data[[Date]:[Sunset Time (POA&lt;20 W/m2)]],4,0),"")</f>
        <v>0.75486111111111109</v>
      </c>
      <c r="K675" s="27">
        <f>IFERROR((TA[[#This Row],[Sunset Time (POA&lt;20 W/m2)]]-TA[[#This Row],[Sunrise Time (POA&gt;20 W/m2)]])*24,"")</f>
        <v>11.866666666666665</v>
      </c>
      <c r="L675" s="2" t="s">
        <v>303</v>
      </c>
      <c r="M675" s="33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321</v>
      </c>
      <c r="Q675" s="2" t="s">
        <v>314</v>
      </c>
      <c r="R675">
        <v>27</v>
      </c>
      <c r="S675" s="2">
        <v>42</v>
      </c>
      <c r="T675" t="s">
        <v>288</v>
      </c>
      <c r="U675" t="s">
        <v>291</v>
      </c>
      <c r="V675" t="s">
        <v>292</v>
      </c>
      <c r="W675" s="32">
        <f>IFERROR(VLOOKUP(TA[[#This Row],[Date]],Raw_Data[[Date]:[Sunset Time (POA&lt;20 W/m2)]],3,0),"")</f>
        <v>0.26041666666666669</v>
      </c>
      <c r="X675" s="32">
        <f>IFERROR(VLOOKUP(TA[[#This Row],[Date]],Raw_Data[[Date]:[Sunset Time (POA&lt;20 W/m2)]],3,0),"")</f>
        <v>0.26041666666666669</v>
      </c>
      <c r="Y675" s="26"/>
      <c r="Z675" s="26">
        <v>0.76041666666666663</v>
      </c>
      <c r="AA675" s="27">
        <f>IF(TA[[#This Row],[Work Start time on Fault]]="NA","",(TA[[#This Row],[Fault Acknowledgement Time ]]-TA[[#This Row],[Fault Time]])*24)</f>
        <v>0</v>
      </c>
      <c r="AB675" s="27">
        <f>(TA[[#This Row],[Work Start time on Fault]]-TA[[#This Row],[Fault Time]])*24</f>
        <v>-6.25</v>
      </c>
      <c r="AC675" s="26">
        <f>(TA[[#This Row],[Work Completion time on fault]]-TA[[#This Row],[Fault Time]])*24</f>
        <v>11.999999999999998</v>
      </c>
      <c r="AD675" s="27">
        <f>IFERROR((TA[[#This Row],[Work Completion time on fault]]-TA[[#This Row],[Fault Time]])*24,"")</f>
        <v>11.999999999999998</v>
      </c>
      <c r="AE675" t="s">
        <v>300</v>
      </c>
      <c r="AF675" t="s">
        <v>247</v>
      </c>
      <c r="AG675" s="2"/>
      <c r="AH675" s="35">
        <f>1-COS(RADIANS(TA[[#This Row],[Avg. Target Angle during Fault Time (Radians)]]-TA[[#This Row],[Angle of affected equipment ]]))</f>
        <v>0.11705240714107301</v>
      </c>
      <c r="AI675" s="27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43">
        <f t="shared" ref="B676:B689" si="45">YEAR(H676)+IF(MONTH(H676)&gt;=4,1,0)</f>
        <v>2026</v>
      </c>
      <c r="C676" s="116">
        <f t="shared" ref="C676:C689" si="46">YEAR(H676)</f>
        <v>2025</v>
      </c>
      <c r="D676" s="2" t="s">
        <v>155</v>
      </c>
      <c r="E676" s="2" t="s">
        <v>155</v>
      </c>
      <c r="F676" s="30">
        <v>45778</v>
      </c>
      <c r="G676" s="2">
        <f>DAY(EOMONTH(TA[[#This Row],[Month Year]],0))</f>
        <v>31</v>
      </c>
      <c r="H676" s="21">
        <v>45791</v>
      </c>
      <c r="I676" s="32">
        <f>IFERROR(VLOOKUP(TA[[#This Row],[Date]],Raw_Data[[Date]:[Sunset Time (POA&lt;20 W/m2)]],3,0),"")</f>
        <v>0.25486111111111109</v>
      </c>
      <c r="J676" s="32">
        <f>IFERROR(VLOOKUP(TA[[#This Row],[Date]],Raw_Data[[Date]:[Sunset Time (POA&lt;20 W/m2)]],4,0),"")</f>
        <v>0.73472222222222228</v>
      </c>
      <c r="K676" s="27">
        <f>IFERROR((TA[[#This Row],[Sunset Time (POA&lt;20 W/m2)]]-TA[[#This Row],[Sunrise Time (POA&gt;20 W/m2)]])*24,"")</f>
        <v>11.516666666666669</v>
      </c>
      <c r="L676" s="2" t="s">
        <v>285</v>
      </c>
      <c r="M676" s="33">
        <f>IFERROR(VLOOKUP(TA[[#This Row],[Affected Equipment]],'Basic Data'!$I$2:$K$40,3,0),"")</f>
        <v>1.7241379310344799E-3</v>
      </c>
      <c r="N676">
        <v>-28</v>
      </c>
      <c r="O676" t="s">
        <v>135</v>
      </c>
      <c r="P676" s="114" t="s">
        <v>309</v>
      </c>
      <c r="Q676" s="113" t="s">
        <v>309</v>
      </c>
      <c r="R676">
        <v>130</v>
      </c>
      <c r="S676" s="2">
        <v>37</v>
      </c>
      <c r="T676" t="s">
        <v>286</v>
      </c>
      <c r="U676" t="s">
        <v>291</v>
      </c>
      <c r="V676" t="s">
        <v>289</v>
      </c>
      <c r="W676" s="32"/>
      <c r="X676" s="32"/>
      <c r="Y676" s="26"/>
      <c r="Z676" s="26"/>
      <c r="AA676" s="27">
        <f>IF(TA[[#This Row],[Work Start time on Fault]]="NA","",(TA[[#This Row],[Fault Acknowledgement Time ]]-TA[[#This Row],[Fault Time]])*24)</f>
        <v>0</v>
      </c>
      <c r="AB676" s="27">
        <f>(TA[[#This Row],[Work Start time on Fault]]-TA[[#This Row],[Fault Time]])*24</f>
        <v>0</v>
      </c>
      <c r="AC676" s="26">
        <f>(TA[[#This Row],[Work Completion time on fault]]-TA[[#This Row],[Fault Time]])*24</f>
        <v>0</v>
      </c>
      <c r="AD676" s="27">
        <f>IFERROR((TA[[#This Row],[Work Completion time on fault]]-TA[[#This Row],[Fault Time]])*24,"")</f>
        <v>0</v>
      </c>
      <c r="AE676" t="s">
        <v>319</v>
      </c>
      <c r="AF676" t="s">
        <v>247</v>
      </c>
      <c r="AG676" s="2"/>
      <c r="AH676" s="35">
        <f>1-COS(RADIANS(TA[[#This Row],[Avg. Target Angle during Fault Time (Radians)]]-TA[[#This Row],[Angle of affected equipment ]]))</f>
        <v>0.11705240714107301</v>
      </c>
      <c r="AI676" s="27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43">
        <f t="shared" si="45"/>
        <v>2026</v>
      </c>
      <c r="C677" s="116">
        <f t="shared" si="46"/>
        <v>2025</v>
      </c>
      <c r="D677" s="2" t="s">
        <v>155</v>
      </c>
      <c r="E677" s="2" t="s">
        <v>155</v>
      </c>
      <c r="F677" s="30">
        <v>45778</v>
      </c>
      <c r="G677" s="2">
        <f>DAY(EOMONTH(TA[[#This Row],[Month Year]],0))</f>
        <v>31</v>
      </c>
      <c r="H677" s="21">
        <v>45791</v>
      </c>
      <c r="I677" s="32">
        <f>IFERROR(VLOOKUP(TA[[#This Row],[Date]],Raw_Data[[Date]:[Sunset Time (POA&lt;20 W/m2)]],3,0),"")</f>
        <v>0.25486111111111109</v>
      </c>
      <c r="J677" s="32">
        <f>IFERROR(VLOOKUP(TA[[#This Row],[Date]],Raw_Data[[Date]:[Sunset Time (POA&lt;20 W/m2)]],4,0),"")</f>
        <v>0.73472222222222228</v>
      </c>
      <c r="K677" s="27">
        <f>IFERROR((TA[[#This Row],[Sunset Time (POA&lt;20 W/m2)]]-TA[[#This Row],[Sunrise Time (POA&gt;20 W/m2)]])*24,"")</f>
        <v>11.516666666666669</v>
      </c>
      <c r="L677" s="2" t="s">
        <v>285</v>
      </c>
      <c r="M677" s="33">
        <f>IFERROR(VLOOKUP(TA[[#This Row],[Affected Equipment]],'Basic Data'!$I$2:$K$40,3,0),"")</f>
        <v>1.7241379310344799E-3</v>
      </c>
      <c r="N677">
        <v>-28</v>
      </c>
      <c r="O677" t="s">
        <v>135</v>
      </c>
      <c r="P677" s="114" t="s">
        <v>309</v>
      </c>
      <c r="Q677" s="113" t="s">
        <v>309</v>
      </c>
      <c r="R677">
        <v>131</v>
      </c>
      <c r="S677" s="2">
        <v>38</v>
      </c>
      <c r="T677" t="s">
        <v>286</v>
      </c>
      <c r="U677" t="s">
        <v>291</v>
      </c>
      <c r="V677" t="s">
        <v>289</v>
      </c>
      <c r="W677" s="32"/>
      <c r="X677" s="32"/>
      <c r="Y677" s="26"/>
      <c r="Z677" s="26"/>
      <c r="AA677" s="27">
        <f>IF(TA[[#This Row],[Work Start time on Fault]]="NA","",(TA[[#This Row],[Fault Acknowledgement Time ]]-TA[[#This Row],[Fault Time]])*24)</f>
        <v>0</v>
      </c>
      <c r="AB677" s="27">
        <f>(TA[[#This Row],[Work Start time on Fault]]-TA[[#This Row],[Fault Time]])*24</f>
        <v>0</v>
      </c>
      <c r="AC677" s="26">
        <f>(TA[[#This Row],[Work Completion time on fault]]-TA[[#This Row],[Fault Time]])*24</f>
        <v>0</v>
      </c>
      <c r="AD677" s="27">
        <f>IFERROR((TA[[#This Row],[Work Completion time on fault]]-TA[[#This Row],[Fault Time]])*24,"")</f>
        <v>0</v>
      </c>
      <c r="AE677" t="s">
        <v>319</v>
      </c>
      <c r="AF677" t="s">
        <v>247</v>
      </c>
      <c r="AG677" s="2"/>
      <c r="AH677" s="35">
        <f>1-COS(RADIANS(TA[[#This Row],[Avg. Target Angle during Fault Time (Radians)]]-TA[[#This Row],[Angle of affected equipment ]]))</f>
        <v>0.11705240714107301</v>
      </c>
      <c r="AI677" s="27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43">
        <f t="shared" si="45"/>
        <v>2026</v>
      </c>
      <c r="C678" s="116">
        <f t="shared" si="46"/>
        <v>2025</v>
      </c>
      <c r="D678" s="2" t="s">
        <v>155</v>
      </c>
      <c r="E678" s="2" t="s">
        <v>155</v>
      </c>
      <c r="F678" s="30">
        <v>45778</v>
      </c>
      <c r="G678" s="2">
        <f>DAY(EOMONTH(TA[[#This Row],[Month Year]],0))</f>
        <v>31</v>
      </c>
      <c r="H678" s="21">
        <v>45791</v>
      </c>
      <c r="I678" s="32">
        <f>IFERROR(VLOOKUP(TA[[#This Row],[Date]],Raw_Data[[Date]:[Sunset Time (POA&lt;20 W/m2)]],3,0),"")</f>
        <v>0.25486111111111109</v>
      </c>
      <c r="J678" s="32">
        <f>IFERROR(VLOOKUP(TA[[#This Row],[Date]],Raw_Data[[Date]:[Sunset Time (POA&lt;20 W/m2)]],4,0),"")</f>
        <v>0.73472222222222228</v>
      </c>
      <c r="K678" s="27">
        <f>IFERROR((TA[[#This Row],[Sunset Time (POA&lt;20 W/m2)]]-TA[[#This Row],[Sunrise Time (POA&gt;20 W/m2)]])*24,"")</f>
        <v>11.516666666666669</v>
      </c>
      <c r="L678" s="2" t="s">
        <v>285</v>
      </c>
      <c r="M678" s="33">
        <f>IFERROR(VLOOKUP(TA[[#This Row],[Affected Equipment]],'Basic Data'!$I$2:$K$40,3,0),"")</f>
        <v>1.7241379310344799E-3</v>
      </c>
      <c r="N678">
        <v>-28</v>
      </c>
      <c r="O678" t="s">
        <v>135</v>
      </c>
      <c r="P678" s="114" t="s">
        <v>309</v>
      </c>
      <c r="Q678" s="113" t="s">
        <v>309</v>
      </c>
      <c r="R678">
        <v>131</v>
      </c>
      <c r="S678" s="2">
        <v>39</v>
      </c>
      <c r="T678" t="s">
        <v>286</v>
      </c>
      <c r="U678" t="s">
        <v>291</v>
      </c>
      <c r="V678" t="s">
        <v>289</v>
      </c>
      <c r="W678" s="32"/>
      <c r="X678" s="32"/>
      <c r="Y678" s="26"/>
      <c r="Z678" s="26"/>
      <c r="AA678" s="27">
        <f>IF(TA[[#This Row],[Work Start time on Fault]]="NA","",(TA[[#This Row],[Fault Acknowledgement Time ]]-TA[[#This Row],[Fault Time]])*24)</f>
        <v>0</v>
      </c>
      <c r="AB678" s="27">
        <f>(TA[[#This Row],[Work Start time on Fault]]-TA[[#This Row],[Fault Time]])*24</f>
        <v>0</v>
      </c>
      <c r="AC678" s="26">
        <f>(TA[[#This Row],[Work Completion time on fault]]-TA[[#This Row],[Fault Time]])*24</f>
        <v>0</v>
      </c>
      <c r="AD678" s="27">
        <f>IFERROR((TA[[#This Row],[Work Completion time on fault]]-TA[[#This Row],[Fault Time]])*24,"")</f>
        <v>0</v>
      </c>
      <c r="AE678" t="s">
        <v>319</v>
      </c>
      <c r="AF678" t="s">
        <v>247</v>
      </c>
      <c r="AG678" s="2"/>
      <c r="AH678" s="35">
        <f>1-COS(RADIANS(TA[[#This Row],[Avg. Target Angle during Fault Time (Radians)]]-TA[[#This Row],[Angle of affected equipment ]]))</f>
        <v>0.11705240714107301</v>
      </c>
      <c r="AI678" s="27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43">
        <f t="shared" si="45"/>
        <v>2026</v>
      </c>
      <c r="C679" s="116">
        <f t="shared" si="46"/>
        <v>2025</v>
      </c>
      <c r="D679" s="2" t="s">
        <v>155</v>
      </c>
      <c r="E679" s="2" t="s">
        <v>155</v>
      </c>
      <c r="F679" s="30">
        <v>45778</v>
      </c>
      <c r="G679" s="2">
        <f>DAY(EOMONTH(TA[[#This Row],[Month Year]],0))</f>
        <v>31</v>
      </c>
      <c r="H679" s="21">
        <v>45791</v>
      </c>
      <c r="I679" s="32">
        <f>IFERROR(VLOOKUP(TA[[#This Row],[Date]],Raw_Data[[Date]:[Sunset Time (POA&lt;20 W/m2)]],3,0),"")</f>
        <v>0.25486111111111109</v>
      </c>
      <c r="J679" s="32">
        <f>IFERROR(VLOOKUP(TA[[#This Row],[Date]],Raw_Data[[Date]:[Sunset Time (POA&lt;20 W/m2)]],4,0),"")</f>
        <v>0.73472222222222228</v>
      </c>
      <c r="K679" s="27">
        <f>IFERROR((TA[[#This Row],[Sunset Time (POA&lt;20 W/m2)]]-TA[[#This Row],[Sunrise Time (POA&gt;20 W/m2)]])*24,"")</f>
        <v>11.516666666666669</v>
      </c>
      <c r="L679" s="2" t="s">
        <v>287</v>
      </c>
      <c r="M679" s="33">
        <f>IFERROR(VLOOKUP(TA[[#This Row],[Affected Equipment]],'Basic Data'!$I$2:$K$40,3,0),"")</f>
        <v>8.6206896551724102E-3</v>
      </c>
      <c r="N679">
        <v>-28</v>
      </c>
      <c r="O679" t="s">
        <v>135</v>
      </c>
      <c r="P679" s="114" t="s">
        <v>309</v>
      </c>
      <c r="Q679" s="2" t="s">
        <v>312</v>
      </c>
      <c r="R679">
        <v>133</v>
      </c>
      <c r="S679" s="2">
        <v>26</v>
      </c>
      <c r="T679" t="s">
        <v>288</v>
      </c>
      <c r="U679" t="s">
        <v>291</v>
      </c>
      <c r="V679" t="s">
        <v>305</v>
      </c>
      <c r="W679" s="32">
        <f>IFERROR(VLOOKUP(TA[[#This Row],[Date]],Raw_Data[[Date]:[Sunset Time (POA&lt;20 W/m2)]],3,0),"")</f>
        <v>0.25486111111111109</v>
      </c>
      <c r="X679" s="32">
        <f>IFERROR(VLOOKUP(TA[[#This Row],[Date]],Raw_Data[[Date]:[Sunset Time (POA&lt;20 W/m2)]],3,0),"")</f>
        <v>0.25486111111111109</v>
      </c>
      <c r="Y679" s="26"/>
      <c r="Z679" s="26">
        <v>0.76041666666666663</v>
      </c>
      <c r="AA679" s="27">
        <f>IF(TA[[#This Row],[Work Start time on Fault]]="NA","",(TA[[#This Row],[Fault Acknowledgement Time ]]-TA[[#This Row],[Fault Time]])*24)</f>
        <v>0</v>
      </c>
      <c r="AB679" s="27">
        <f>(TA[[#This Row],[Work Start time on Fault]]-TA[[#This Row],[Fault Time]])*24</f>
        <v>-6.1166666666666663</v>
      </c>
      <c r="AC679" s="26">
        <f>(TA[[#This Row],[Work Completion time on fault]]-TA[[#This Row],[Fault Time]])*24</f>
        <v>12.133333333333333</v>
      </c>
      <c r="AD679" s="27">
        <f>IFERROR((TA[[#This Row],[Work Completion time on fault]]-TA[[#This Row],[Fault Time]])*24,"")</f>
        <v>12.133333333333333</v>
      </c>
      <c r="AE679" t="s">
        <v>319</v>
      </c>
      <c r="AF679" t="s">
        <v>247</v>
      </c>
      <c r="AG679" s="2"/>
      <c r="AH679" s="35">
        <f>1-COS(RADIANS(TA[[#This Row],[Avg. Target Angle during Fault Time (Radians)]]-TA[[#This Row],[Angle of affected equipment ]]))</f>
        <v>0.11705240714107301</v>
      </c>
      <c r="AI679" s="27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43">
        <f t="shared" si="45"/>
        <v>2026</v>
      </c>
      <c r="C680" s="116">
        <f t="shared" si="46"/>
        <v>2025</v>
      </c>
      <c r="D680" s="2" t="s">
        <v>155</v>
      </c>
      <c r="E680" s="2" t="s">
        <v>155</v>
      </c>
      <c r="F680" s="30">
        <v>45778</v>
      </c>
      <c r="G680" s="2">
        <f>DAY(EOMONTH(TA[[#This Row],[Month Year]],0))</f>
        <v>31</v>
      </c>
      <c r="H680" s="21">
        <v>45791</v>
      </c>
      <c r="I680" s="32">
        <f>IFERROR(VLOOKUP(TA[[#This Row],[Date]],Raw_Data[[Date]:[Sunset Time (POA&lt;20 W/m2)]],3,0),"")</f>
        <v>0.25486111111111109</v>
      </c>
      <c r="J680" s="32">
        <f>IFERROR(VLOOKUP(TA[[#This Row],[Date]],Raw_Data[[Date]:[Sunset Time (POA&lt;20 W/m2)]],4,0),"")</f>
        <v>0.73472222222222228</v>
      </c>
      <c r="K680" s="27">
        <f>IFERROR((TA[[#This Row],[Sunset Time (POA&lt;20 W/m2)]]-TA[[#This Row],[Sunrise Time (POA&gt;20 W/m2)]])*24,"")</f>
        <v>11.516666666666669</v>
      </c>
      <c r="L680" s="2" t="s">
        <v>285</v>
      </c>
      <c r="M680" s="33">
        <f>IFERROR(VLOOKUP(TA[[#This Row],[Affected Equipment]],'Basic Data'!$I$2:$K$40,3,0),"")</f>
        <v>1.7241379310344799E-3</v>
      </c>
      <c r="N680">
        <v>-28</v>
      </c>
      <c r="O680" t="s">
        <v>133</v>
      </c>
      <c r="P680" s="114" t="s">
        <v>307</v>
      </c>
      <c r="Q680" s="113" t="s">
        <v>308</v>
      </c>
      <c r="R680">
        <v>7</v>
      </c>
      <c r="S680" s="2">
        <v>32</v>
      </c>
      <c r="T680" t="s">
        <v>286</v>
      </c>
      <c r="U680" t="s">
        <v>291</v>
      </c>
      <c r="V680" t="s">
        <v>289</v>
      </c>
      <c r="W680" s="32"/>
      <c r="X680" s="32"/>
      <c r="Y680" s="26"/>
      <c r="Z680" s="26"/>
      <c r="AA680" s="27">
        <f>IF(TA[[#This Row],[Work Start time on Fault]]="NA","",(TA[[#This Row],[Fault Acknowledgement Time ]]-TA[[#This Row],[Fault Time]])*24)</f>
        <v>0</v>
      </c>
      <c r="AB680" s="27">
        <f>(TA[[#This Row],[Work Start time on Fault]]-TA[[#This Row],[Fault Time]])*24</f>
        <v>0</v>
      </c>
      <c r="AC680" s="26">
        <f>(TA[[#This Row],[Work Completion time on fault]]-TA[[#This Row],[Fault Time]])*24</f>
        <v>0</v>
      </c>
      <c r="AD680" s="27">
        <f>IFERROR((TA[[#This Row],[Work Completion time on fault]]-TA[[#This Row],[Fault Time]])*24,"")</f>
        <v>0</v>
      </c>
      <c r="AE680" t="s">
        <v>319</v>
      </c>
      <c r="AF680" t="s">
        <v>247</v>
      </c>
      <c r="AG680" s="2"/>
      <c r="AH680" s="35">
        <f>1-COS(RADIANS(TA[[#This Row],[Avg. Target Angle during Fault Time (Radians)]]-TA[[#This Row],[Angle of affected equipment ]]))</f>
        <v>0.11705240714107301</v>
      </c>
      <c r="AI680" s="27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43">
        <f t="shared" si="45"/>
        <v>2026</v>
      </c>
      <c r="C681" s="116">
        <f t="shared" si="46"/>
        <v>2025</v>
      </c>
      <c r="D681" s="2" t="s">
        <v>155</v>
      </c>
      <c r="E681" s="2" t="s">
        <v>155</v>
      </c>
      <c r="F681" s="30">
        <v>45778</v>
      </c>
      <c r="G681" s="2">
        <f>DAY(EOMONTH(TA[[#This Row],[Month Year]],0))</f>
        <v>31</v>
      </c>
      <c r="H681" s="21">
        <v>45791</v>
      </c>
      <c r="I681" s="32">
        <f>IFERROR(VLOOKUP(TA[[#This Row],[Date]],Raw_Data[[Date]:[Sunset Time (POA&lt;20 W/m2)]],3,0),"")</f>
        <v>0.25486111111111109</v>
      </c>
      <c r="J681" s="32">
        <f>IFERROR(VLOOKUP(TA[[#This Row],[Date]],Raw_Data[[Date]:[Sunset Time (POA&lt;20 W/m2)]],4,0),"")</f>
        <v>0.73472222222222228</v>
      </c>
      <c r="K681" s="27">
        <f>IFERROR((TA[[#This Row],[Sunset Time (POA&lt;20 W/m2)]]-TA[[#This Row],[Sunrise Time (POA&gt;20 W/m2)]])*24,"")</f>
        <v>11.516666666666669</v>
      </c>
      <c r="L681" s="2" t="s">
        <v>285</v>
      </c>
      <c r="M681" s="33">
        <f>IFERROR(VLOOKUP(TA[[#This Row],[Affected Equipment]],'Basic Data'!$I$2:$K$40,3,0),"")</f>
        <v>1.7241379310344799E-3</v>
      </c>
      <c r="N681">
        <v>-28</v>
      </c>
      <c r="O681" t="s">
        <v>137</v>
      </c>
      <c r="P681" s="114" t="s">
        <v>306</v>
      </c>
      <c r="Q681" s="113" t="s">
        <v>310</v>
      </c>
      <c r="R681">
        <v>166</v>
      </c>
      <c r="S681" s="2">
        <v>91</v>
      </c>
      <c r="T681" t="s">
        <v>286</v>
      </c>
      <c r="U681" t="s">
        <v>291</v>
      </c>
      <c r="V681" t="s">
        <v>289</v>
      </c>
      <c r="W681" s="32"/>
      <c r="X681" s="32"/>
      <c r="Y681" s="26"/>
      <c r="Z681" s="26"/>
      <c r="AA681" s="27">
        <f>IF(TA[[#This Row],[Work Start time on Fault]]="NA","",(TA[[#This Row],[Fault Acknowledgement Time ]]-TA[[#This Row],[Fault Time]])*24)</f>
        <v>0</v>
      </c>
      <c r="AB681" s="27">
        <f>(TA[[#This Row],[Work Start time on Fault]]-TA[[#This Row],[Fault Time]])*24</f>
        <v>0</v>
      </c>
      <c r="AC681" s="26">
        <f>(TA[[#This Row],[Work Completion time on fault]]-TA[[#This Row],[Fault Time]])*24</f>
        <v>0</v>
      </c>
      <c r="AD681" s="27">
        <f>IFERROR((TA[[#This Row],[Work Completion time on fault]]-TA[[#This Row],[Fault Time]])*24,"")</f>
        <v>0</v>
      </c>
      <c r="AE681" t="s">
        <v>319</v>
      </c>
      <c r="AF681" t="s">
        <v>247</v>
      </c>
      <c r="AG681" s="2"/>
      <c r="AH681" s="35">
        <f>1-COS(RADIANS(TA[[#This Row],[Avg. Target Angle during Fault Time (Radians)]]-TA[[#This Row],[Angle of affected equipment ]]))</f>
        <v>0.11705240714107301</v>
      </c>
      <c r="AI681" s="27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43">
        <f t="shared" si="45"/>
        <v>2026</v>
      </c>
      <c r="C682" s="116">
        <f t="shared" si="46"/>
        <v>2025</v>
      </c>
      <c r="D682" s="2" t="s">
        <v>155</v>
      </c>
      <c r="E682" s="2" t="s">
        <v>155</v>
      </c>
      <c r="F682" s="30">
        <v>45778</v>
      </c>
      <c r="G682" s="2">
        <f>DAY(EOMONTH(TA[[#This Row],[Month Year]],0))</f>
        <v>31</v>
      </c>
      <c r="H682" s="21">
        <v>45791</v>
      </c>
      <c r="I682" s="32">
        <f>IFERROR(VLOOKUP(TA[[#This Row],[Date]],Raw_Data[[Date]:[Sunset Time (POA&lt;20 W/m2)]],3,0),"")</f>
        <v>0.25486111111111109</v>
      </c>
      <c r="J682" s="32">
        <f>IFERROR(VLOOKUP(TA[[#This Row],[Date]],Raw_Data[[Date]:[Sunset Time (POA&lt;20 W/m2)]],4,0),"")</f>
        <v>0.73472222222222228</v>
      </c>
      <c r="K682" s="27">
        <f>IFERROR((TA[[#This Row],[Sunset Time (POA&lt;20 W/m2)]]-TA[[#This Row],[Sunrise Time (POA&gt;20 W/m2)]])*24,"")</f>
        <v>11.516666666666669</v>
      </c>
      <c r="L682" s="2" t="s">
        <v>285</v>
      </c>
      <c r="M682" s="33">
        <f>IFERROR(VLOOKUP(TA[[#This Row],[Affected Equipment]],'Basic Data'!$I$2:$K$40,3,0),"")</f>
        <v>1.7241379310344799E-3</v>
      </c>
      <c r="N682">
        <v>-28</v>
      </c>
      <c r="O682" t="s">
        <v>133</v>
      </c>
      <c r="P682" s="114" t="s">
        <v>307</v>
      </c>
      <c r="Q682" s="113" t="s">
        <v>307</v>
      </c>
      <c r="R682">
        <v>117</v>
      </c>
      <c r="S682" s="2">
        <v>20</v>
      </c>
      <c r="T682" t="s">
        <v>286</v>
      </c>
      <c r="U682" t="s">
        <v>291</v>
      </c>
      <c r="V682" t="s">
        <v>289</v>
      </c>
      <c r="W682" s="32"/>
      <c r="X682" s="32"/>
      <c r="Y682" s="26"/>
      <c r="Z682" s="26"/>
      <c r="AA682" s="27">
        <f>IF(TA[[#This Row],[Work Start time on Fault]]="NA","",(TA[[#This Row],[Fault Acknowledgement Time ]]-TA[[#This Row],[Fault Time]])*24)</f>
        <v>0</v>
      </c>
      <c r="AB682" s="27">
        <f>(TA[[#This Row],[Work Start time on Fault]]-TA[[#This Row],[Fault Time]])*24</f>
        <v>0</v>
      </c>
      <c r="AC682" s="26">
        <f>(TA[[#This Row],[Work Completion time on fault]]-TA[[#This Row],[Fault Time]])*24</f>
        <v>0</v>
      </c>
      <c r="AD682" s="27">
        <f>IFERROR((TA[[#This Row],[Work Completion time on fault]]-TA[[#This Row],[Fault Time]])*24,"")</f>
        <v>0</v>
      </c>
      <c r="AE682" t="s">
        <v>319</v>
      </c>
      <c r="AF682" t="s">
        <v>247</v>
      </c>
      <c r="AG682" s="2"/>
      <c r="AH682" s="35">
        <f>1-COS(RADIANS(TA[[#This Row],[Avg. Target Angle during Fault Time (Radians)]]-TA[[#This Row],[Angle of affected equipment ]]))</f>
        <v>0.11705240714107301</v>
      </c>
      <c r="AI682" s="27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43">
        <f t="shared" si="45"/>
        <v>2026</v>
      </c>
      <c r="C683" s="116">
        <f t="shared" si="46"/>
        <v>2025</v>
      </c>
      <c r="D683" s="2" t="s">
        <v>155</v>
      </c>
      <c r="E683" s="2" t="s">
        <v>155</v>
      </c>
      <c r="F683" s="30">
        <v>45778</v>
      </c>
      <c r="G683" s="2">
        <f>DAY(EOMONTH(TA[[#This Row],[Month Year]],0))</f>
        <v>31</v>
      </c>
      <c r="H683" s="21">
        <v>45791</v>
      </c>
      <c r="I683" s="32">
        <f>IFERROR(VLOOKUP(TA[[#This Row],[Date]],Raw_Data[[Date]:[Sunset Time (POA&lt;20 W/m2)]],3,0),"")</f>
        <v>0.25486111111111109</v>
      </c>
      <c r="J683" s="32">
        <f>IFERROR(VLOOKUP(TA[[#This Row],[Date]],Raw_Data[[Date]:[Sunset Time (POA&lt;20 W/m2)]],4,0),"")</f>
        <v>0.73472222222222228</v>
      </c>
      <c r="K683" s="27">
        <f>IFERROR((TA[[#This Row],[Sunset Time (POA&lt;20 W/m2)]]-TA[[#This Row],[Sunrise Time (POA&gt;20 W/m2)]])*24,"")</f>
        <v>11.516666666666669</v>
      </c>
      <c r="L683" s="2" t="s">
        <v>285</v>
      </c>
      <c r="M683" s="33">
        <f>IFERROR(VLOOKUP(TA[[#This Row],[Affected Equipment]],'Basic Data'!$I$2:$K$40,3,0),"")</f>
        <v>1.7241379310344799E-3</v>
      </c>
      <c r="N683">
        <v>-28</v>
      </c>
      <c r="O683" t="s">
        <v>133</v>
      </c>
      <c r="P683" s="114" t="s">
        <v>307</v>
      </c>
      <c r="Q683" s="113" t="s">
        <v>307</v>
      </c>
      <c r="R683">
        <v>118</v>
      </c>
      <c r="S683" s="2">
        <v>22</v>
      </c>
      <c r="T683" t="s">
        <v>286</v>
      </c>
      <c r="U683" t="s">
        <v>291</v>
      </c>
      <c r="V683" t="s">
        <v>289</v>
      </c>
      <c r="W683" s="32"/>
      <c r="X683" s="32"/>
      <c r="Y683" s="26"/>
      <c r="Z683" s="26"/>
      <c r="AA683" s="27">
        <f>IF(TA[[#This Row],[Work Start time on Fault]]="NA","",(TA[[#This Row],[Fault Acknowledgement Time ]]-TA[[#This Row],[Fault Time]])*24)</f>
        <v>0</v>
      </c>
      <c r="AB683" s="27">
        <f>(TA[[#This Row],[Work Start time on Fault]]-TA[[#This Row],[Fault Time]])*24</f>
        <v>0</v>
      </c>
      <c r="AC683" s="26">
        <f>(TA[[#This Row],[Work Completion time on fault]]-TA[[#This Row],[Fault Time]])*24</f>
        <v>0</v>
      </c>
      <c r="AD683" s="27">
        <f>IFERROR((TA[[#This Row],[Work Completion time on fault]]-TA[[#This Row],[Fault Time]])*24,"")</f>
        <v>0</v>
      </c>
      <c r="AE683" t="s">
        <v>319</v>
      </c>
      <c r="AF683" t="s">
        <v>247</v>
      </c>
      <c r="AG683" s="2"/>
      <c r="AH683" s="35">
        <f>1-COS(RADIANS(TA[[#This Row],[Avg. Target Angle during Fault Time (Radians)]]-TA[[#This Row],[Angle of affected equipment ]]))</f>
        <v>0.11705240714107301</v>
      </c>
      <c r="AI683" s="27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43">
        <f t="shared" si="45"/>
        <v>2026</v>
      </c>
      <c r="C684" s="116">
        <f t="shared" si="46"/>
        <v>2025</v>
      </c>
      <c r="D684" s="2" t="s">
        <v>155</v>
      </c>
      <c r="E684" s="2" t="s">
        <v>155</v>
      </c>
      <c r="F684" s="30">
        <v>45778</v>
      </c>
      <c r="G684" s="2">
        <f>DAY(EOMONTH(TA[[#This Row],[Month Year]],0))</f>
        <v>31</v>
      </c>
      <c r="H684" s="21">
        <v>45791</v>
      </c>
      <c r="I684" s="32">
        <f>IFERROR(VLOOKUP(TA[[#This Row],[Date]],Raw_Data[[Date]:[Sunset Time (POA&lt;20 W/m2)]],3,0),"")</f>
        <v>0.25486111111111109</v>
      </c>
      <c r="J684" s="32">
        <f>IFERROR(VLOOKUP(TA[[#This Row],[Date]],Raw_Data[[Date]:[Sunset Time (POA&lt;20 W/m2)]],4,0),"")</f>
        <v>0.73472222222222228</v>
      </c>
      <c r="K684" s="27">
        <f>IFERROR((TA[[#This Row],[Sunset Time (POA&lt;20 W/m2)]]-TA[[#This Row],[Sunrise Time (POA&gt;20 W/m2)]])*24,"")</f>
        <v>11.516666666666669</v>
      </c>
      <c r="L684" s="2" t="s">
        <v>287</v>
      </c>
      <c r="M684" s="33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314</v>
      </c>
      <c r="Q684" s="2" t="s">
        <v>320</v>
      </c>
      <c r="R684">
        <v>45</v>
      </c>
      <c r="S684" s="2">
        <v>8</v>
      </c>
      <c r="T684" t="s">
        <v>288</v>
      </c>
      <c r="U684" t="s">
        <v>291</v>
      </c>
      <c r="V684" t="s">
        <v>292</v>
      </c>
      <c r="W684" s="32"/>
      <c r="X684" s="32"/>
      <c r="Y684" s="26"/>
      <c r="Z684" s="26"/>
      <c r="AA684" s="27">
        <f>IF(TA[[#This Row],[Work Start time on Fault]]="NA","",(TA[[#This Row],[Fault Acknowledgement Time ]]-TA[[#This Row],[Fault Time]])*24)</f>
        <v>0</v>
      </c>
      <c r="AB684" s="27">
        <f>(TA[[#This Row],[Work Start time on Fault]]-TA[[#This Row],[Fault Time]])*24</f>
        <v>0</v>
      </c>
      <c r="AC684" s="26">
        <f>(TA[[#This Row],[Work Completion time on fault]]-TA[[#This Row],[Fault Time]])*24</f>
        <v>0</v>
      </c>
      <c r="AD684" s="27">
        <f>IFERROR((TA[[#This Row],[Work Completion time on fault]]-TA[[#This Row],[Fault Time]])*24,"")</f>
        <v>0</v>
      </c>
      <c r="AE684" t="s">
        <v>319</v>
      </c>
      <c r="AF684" t="s">
        <v>247</v>
      </c>
      <c r="AG684" s="2"/>
      <c r="AH684" s="35">
        <f>1-COS(RADIANS(TA[[#This Row],[Avg. Target Angle during Fault Time (Radians)]]-TA[[#This Row],[Angle of affected equipment ]]))</f>
        <v>0.11705240714107301</v>
      </c>
      <c r="AI684" s="27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43">
        <f t="shared" si="45"/>
        <v>2026</v>
      </c>
      <c r="C685" s="116">
        <f t="shared" si="46"/>
        <v>2025</v>
      </c>
      <c r="D685" s="2" t="s">
        <v>155</v>
      </c>
      <c r="E685" s="2" t="s">
        <v>155</v>
      </c>
      <c r="F685" s="30">
        <v>45778</v>
      </c>
      <c r="G685" s="2">
        <f>DAY(EOMONTH(TA[[#This Row],[Month Year]],0))</f>
        <v>31</v>
      </c>
      <c r="H685" s="21">
        <v>45791</v>
      </c>
      <c r="I685" s="32">
        <f>IFERROR(VLOOKUP(TA[[#This Row],[Date]],Raw_Data[[Date]:[Sunset Time (POA&lt;20 W/m2)]],3,0),"")</f>
        <v>0.25486111111111109</v>
      </c>
      <c r="J685" s="32">
        <f>IFERROR(VLOOKUP(TA[[#This Row],[Date]],Raw_Data[[Date]:[Sunset Time (POA&lt;20 W/m2)]],4,0),"")</f>
        <v>0.73472222222222228</v>
      </c>
      <c r="K685" s="27">
        <f>IFERROR((TA[[#This Row],[Sunset Time (POA&lt;20 W/m2)]]-TA[[#This Row],[Sunrise Time (POA&gt;20 W/m2)]])*24,"")</f>
        <v>11.516666666666669</v>
      </c>
      <c r="L685" s="2" t="s">
        <v>287</v>
      </c>
      <c r="M685" s="33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314</v>
      </c>
      <c r="Q685" s="2" t="s">
        <v>320</v>
      </c>
      <c r="R685">
        <v>47</v>
      </c>
      <c r="S685" s="2">
        <v>18</v>
      </c>
      <c r="T685" t="s">
        <v>288</v>
      </c>
      <c r="U685" t="s">
        <v>291</v>
      </c>
      <c r="V685" t="s">
        <v>292</v>
      </c>
      <c r="W685" s="32"/>
      <c r="X685" s="32"/>
      <c r="Y685" s="26"/>
      <c r="Z685" s="26"/>
      <c r="AA685" s="27">
        <f>IF(TA[[#This Row],[Work Start time on Fault]]="NA","",(TA[[#This Row],[Fault Acknowledgement Time ]]-TA[[#This Row],[Fault Time]])*24)</f>
        <v>0</v>
      </c>
      <c r="AB685" s="27">
        <f>(TA[[#This Row],[Work Start time on Fault]]-TA[[#This Row],[Fault Time]])*24</f>
        <v>0</v>
      </c>
      <c r="AC685" s="26">
        <f>(TA[[#This Row],[Work Completion time on fault]]-TA[[#This Row],[Fault Time]])*24</f>
        <v>0</v>
      </c>
      <c r="AD685" s="27">
        <f>IFERROR((TA[[#This Row],[Work Completion time on fault]]-TA[[#This Row],[Fault Time]])*24,"")</f>
        <v>0</v>
      </c>
      <c r="AE685" t="s">
        <v>319</v>
      </c>
      <c r="AF685" t="s">
        <v>247</v>
      </c>
      <c r="AG685" s="2"/>
      <c r="AH685" s="35">
        <f>1-COS(RADIANS(TA[[#This Row],[Avg. Target Angle during Fault Time (Radians)]]-TA[[#This Row],[Angle of affected equipment ]]))</f>
        <v>0.11705240714107301</v>
      </c>
      <c r="AI685" s="27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43">
        <f t="shared" si="45"/>
        <v>2026</v>
      </c>
      <c r="C686" s="116">
        <f t="shared" si="46"/>
        <v>2025</v>
      </c>
      <c r="D686" s="2" t="s">
        <v>155</v>
      </c>
      <c r="E686" s="2" t="s">
        <v>155</v>
      </c>
      <c r="F686" s="30">
        <v>45778</v>
      </c>
      <c r="G686" s="2">
        <f>DAY(EOMONTH(TA[[#This Row],[Month Year]],0))</f>
        <v>31</v>
      </c>
      <c r="H686" s="21">
        <v>45791</v>
      </c>
      <c r="I686" s="32">
        <f>IFERROR(VLOOKUP(TA[[#This Row],[Date]],Raw_Data[[Date]:[Sunset Time (POA&lt;20 W/m2)]],3,0),"")</f>
        <v>0.25486111111111109</v>
      </c>
      <c r="J686" s="32">
        <f>IFERROR(VLOOKUP(TA[[#This Row],[Date]],Raw_Data[[Date]:[Sunset Time (POA&lt;20 W/m2)]],4,0),"")</f>
        <v>0.73472222222222228</v>
      </c>
      <c r="K686" s="27">
        <f>IFERROR((TA[[#This Row],[Sunset Time (POA&lt;20 W/m2)]]-TA[[#This Row],[Sunrise Time (POA&gt;20 W/m2)]])*24,"")</f>
        <v>11.516666666666669</v>
      </c>
      <c r="L686" s="2" t="s">
        <v>287</v>
      </c>
      <c r="M686" s="33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321</v>
      </c>
      <c r="Q686" s="2" t="s">
        <v>314</v>
      </c>
      <c r="R686">
        <v>30</v>
      </c>
      <c r="S686" s="2">
        <v>57</v>
      </c>
      <c r="T686" t="s">
        <v>288</v>
      </c>
      <c r="U686" t="s">
        <v>291</v>
      </c>
      <c r="V686" t="s">
        <v>292</v>
      </c>
      <c r="W686" s="32"/>
      <c r="X686" s="32"/>
      <c r="Y686" s="26"/>
      <c r="Z686" s="26"/>
      <c r="AA686" s="27">
        <f>IF(TA[[#This Row],[Work Start time on Fault]]="NA","",(TA[[#This Row],[Fault Acknowledgement Time ]]-TA[[#This Row],[Fault Time]])*24)</f>
        <v>0</v>
      </c>
      <c r="AB686" s="27">
        <f>(TA[[#This Row],[Work Start time on Fault]]-TA[[#This Row],[Fault Time]])*24</f>
        <v>0</v>
      </c>
      <c r="AC686" s="26">
        <f>(TA[[#This Row],[Work Completion time on fault]]-TA[[#This Row],[Fault Time]])*24</f>
        <v>0</v>
      </c>
      <c r="AD686" s="27">
        <f>IFERROR((TA[[#This Row],[Work Completion time on fault]]-TA[[#This Row],[Fault Time]])*24,"")</f>
        <v>0</v>
      </c>
      <c r="AE686" t="s">
        <v>319</v>
      </c>
      <c r="AF686" t="s">
        <v>247</v>
      </c>
      <c r="AG686" s="2"/>
      <c r="AH686" s="35">
        <f>1-COS(RADIANS(TA[[#This Row],[Avg. Target Angle during Fault Time (Radians)]]-TA[[#This Row],[Angle of affected equipment ]]))</f>
        <v>0.11705240714107301</v>
      </c>
      <c r="AI686" s="27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43">
        <f t="shared" si="45"/>
        <v>2026</v>
      </c>
      <c r="C687" s="116">
        <f t="shared" si="46"/>
        <v>2025</v>
      </c>
      <c r="D687" s="2" t="s">
        <v>155</v>
      </c>
      <c r="E687" s="2" t="s">
        <v>155</v>
      </c>
      <c r="F687" s="30">
        <v>45778</v>
      </c>
      <c r="G687" s="2">
        <f>DAY(EOMONTH(TA[[#This Row],[Month Year]],0))</f>
        <v>31</v>
      </c>
      <c r="H687" s="21">
        <v>45791</v>
      </c>
      <c r="I687" s="32">
        <f>IFERROR(VLOOKUP(TA[[#This Row],[Date]],Raw_Data[[Date]:[Sunset Time (POA&lt;20 W/m2)]],3,0),"")</f>
        <v>0.25486111111111109</v>
      </c>
      <c r="J687" s="32">
        <f>IFERROR(VLOOKUP(TA[[#This Row],[Date]],Raw_Data[[Date]:[Sunset Time (POA&lt;20 W/m2)]],4,0),"")</f>
        <v>0.73472222222222228</v>
      </c>
      <c r="K687" s="27">
        <f>IFERROR((TA[[#This Row],[Sunset Time (POA&lt;20 W/m2)]]-TA[[#This Row],[Sunrise Time (POA&gt;20 W/m2)]])*24,"")</f>
        <v>11.516666666666669</v>
      </c>
      <c r="L687" s="2" t="s">
        <v>287</v>
      </c>
      <c r="M687" s="33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321</v>
      </c>
      <c r="Q687" s="2" t="s">
        <v>314</v>
      </c>
      <c r="R687">
        <v>31</v>
      </c>
      <c r="S687" s="2">
        <v>61</v>
      </c>
      <c r="T687" t="s">
        <v>288</v>
      </c>
      <c r="U687" t="s">
        <v>291</v>
      </c>
      <c r="V687" t="s">
        <v>292</v>
      </c>
      <c r="W687" s="32"/>
      <c r="X687" s="32"/>
      <c r="Y687" s="26"/>
      <c r="Z687" s="26"/>
      <c r="AA687" s="27">
        <f>IF(TA[[#This Row],[Work Start time on Fault]]="NA","",(TA[[#This Row],[Fault Acknowledgement Time ]]-TA[[#This Row],[Fault Time]])*24)</f>
        <v>0</v>
      </c>
      <c r="AB687" s="27">
        <f>(TA[[#This Row],[Work Start time on Fault]]-TA[[#This Row],[Fault Time]])*24</f>
        <v>0</v>
      </c>
      <c r="AC687" s="26">
        <f>(TA[[#This Row],[Work Completion time on fault]]-TA[[#This Row],[Fault Time]])*24</f>
        <v>0</v>
      </c>
      <c r="AD687" s="27">
        <f>IFERROR((TA[[#This Row],[Work Completion time on fault]]-TA[[#This Row],[Fault Time]])*24,"")</f>
        <v>0</v>
      </c>
      <c r="AE687" t="s">
        <v>319</v>
      </c>
      <c r="AF687" t="s">
        <v>247</v>
      </c>
      <c r="AG687" s="2"/>
      <c r="AH687" s="35">
        <f>1-COS(RADIANS(TA[[#This Row],[Avg. Target Angle during Fault Time (Radians)]]-TA[[#This Row],[Angle of affected equipment ]]))</f>
        <v>0.11705240714107301</v>
      </c>
      <c r="AI687" s="27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43">
        <f t="shared" si="45"/>
        <v>2026</v>
      </c>
      <c r="C688" s="116">
        <f t="shared" si="46"/>
        <v>2025</v>
      </c>
      <c r="D688" s="2" t="s">
        <v>155</v>
      </c>
      <c r="E688" s="2" t="s">
        <v>155</v>
      </c>
      <c r="F688" s="30">
        <v>45778</v>
      </c>
      <c r="G688" s="2">
        <f>DAY(EOMONTH(TA[[#This Row],[Month Year]],0))</f>
        <v>31</v>
      </c>
      <c r="H688" s="21">
        <v>45791</v>
      </c>
      <c r="I688" s="32">
        <f>IFERROR(VLOOKUP(TA[[#This Row],[Date]],Raw_Data[[Date]:[Sunset Time (POA&lt;20 W/m2)]],3,0),"")</f>
        <v>0.25486111111111109</v>
      </c>
      <c r="J688" s="32">
        <f>IFERROR(VLOOKUP(TA[[#This Row],[Date]],Raw_Data[[Date]:[Sunset Time (POA&lt;20 W/m2)]],4,0),"")</f>
        <v>0.73472222222222228</v>
      </c>
      <c r="K688" s="27">
        <f>IFERROR((TA[[#This Row],[Sunset Time (POA&lt;20 W/m2)]]-TA[[#This Row],[Sunrise Time (POA&gt;20 W/m2)]])*24,"")</f>
        <v>11.516666666666669</v>
      </c>
      <c r="L688" s="2" t="s">
        <v>303</v>
      </c>
      <c r="M688" s="33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321</v>
      </c>
      <c r="Q688" s="2" t="s">
        <v>314</v>
      </c>
      <c r="R688">
        <v>26</v>
      </c>
      <c r="S688" s="2">
        <v>37</v>
      </c>
      <c r="T688" t="s">
        <v>288</v>
      </c>
      <c r="U688" t="s">
        <v>291</v>
      </c>
      <c r="V688" t="s">
        <v>292</v>
      </c>
      <c r="W688" s="32"/>
      <c r="X688" s="32"/>
      <c r="Y688" s="26"/>
      <c r="Z688" s="26"/>
      <c r="AA688" s="27">
        <f>IF(TA[[#This Row],[Work Start time on Fault]]="NA","",(TA[[#This Row],[Fault Acknowledgement Time ]]-TA[[#This Row],[Fault Time]])*24)</f>
        <v>0</v>
      </c>
      <c r="AB688" s="27">
        <f>(TA[[#This Row],[Work Start time on Fault]]-TA[[#This Row],[Fault Time]])*24</f>
        <v>0</v>
      </c>
      <c r="AC688" s="26">
        <f>(TA[[#This Row],[Work Completion time on fault]]-TA[[#This Row],[Fault Time]])*24</f>
        <v>0</v>
      </c>
      <c r="AD688" s="27">
        <f>IFERROR((TA[[#This Row],[Work Completion time on fault]]-TA[[#This Row],[Fault Time]])*24,"")</f>
        <v>0</v>
      </c>
      <c r="AE688" t="s">
        <v>319</v>
      </c>
      <c r="AF688" t="s">
        <v>247</v>
      </c>
      <c r="AG688" s="2"/>
      <c r="AH688" s="35">
        <f>1-COS(RADIANS(TA[[#This Row],[Avg. Target Angle during Fault Time (Radians)]]-TA[[#This Row],[Angle of affected equipment ]]))</f>
        <v>0.11705240714107301</v>
      </c>
      <c r="AI688" s="27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43">
        <f t="shared" si="45"/>
        <v>2026</v>
      </c>
      <c r="C689" s="116">
        <f t="shared" si="46"/>
        <v>2025</v>
      </c>
      <c r="D689" s="2" t="s">
        <v>155</v>
      </c>
      <c r="E689" s="2" t="s">
        <v>155</v>
      </c>
      <c r="F689" s="30">
        <v>45778</v>
      </c>
      <c r="G689" s="2">
        <f>DAY(EOMONTH(TA[[#This Row],[Month Year]],0))</f>
        <v>31</v>
      </c>
      <c r="H689" s="21">
        <v>45791</v>
      </c>
      <c r="I689" s="32">
        <f>IFERROR(VLOOKUP(TA[[#This Row],[Date]],Raw_Data[[Date]:[Sunset Time (POA&lt;20 W/m2)]],3,0),"")</f>
        <v>0.25486111111111109</v>
      </c>
      <c r="J689" s="32">
        <f>IFERROR(VLOOKUP(TA[[#This Row],[Date]],Raw_Data[[Date]:[Sunset Time (POA&lt;20 W/m2)]],4,0),"")</f>
        <v>0.73472222222222228</v>
      </c>
      <c r="K689" s="27">
        <f>IFERROR((TA[[#This Row],[Sunset Time (POA&lt;20 W/m2)]]-TA[[#This Row],[Sunrise Time (POA&gt;20 W/m2)]])*24,"")</f>
        <v>11.516666666666669</v>
      </c>
      <c r="L689" s="2" t="s">
        <v>303</v>
      </c>
      <c r="M689" s="33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321</v>
      </c>
      <c r="Q689" s="2" t="s">
        <v>314</v>
      </c>
      <c r="R689">
        <v>27</v>
      </c>
      <c r="S689" s="2">
        <v>42</v>
      </c>
      <c r="T689" t="s">
        <v>288</v>
      </c>
      <c r="U689" t="s">
        <v>291</v>
      </c>
      <c r="V689" t="s">
        <v>292</v>
      </c>
      <c r="W689" s="32">
        <f>IFERROR(VLOOKUP(TA[[#This Row],[Date]],Raw_Data[[Date]:[Sunset Time (POA&lt;20 W/m2)]],3,0),"")</f>
        <v>0.25486111111111109</v>
      </c>
      <c r="X689" s="32">
        <f>IFERROR(VLOOKUP(TA[[#This Row],[Date]],Raw_Data[[Date]:[Sunset Time (POA&lt;20 W/m2)]],3,0),"")</f>
        <v>0.25486111111111109</v>
      </c>
      <c r="Y689" s="26"/>
      <c r="Z689" s="26">
        <v>0.76041666666666663</v>
      </c>
      <c r="AA689" s="27">
        <f>IF(TA[[#This Row],[Work Start time on Fault]]="NA","",(TA[[#This Row],[Fault Acknowledgement Time ]]-TA[[#This Row],[Fault Time]])*24)</f>
        <v>0</v>
      </c>
      <c r="AB689" s="27">
        <f>(TA[[#This Row],[Work Start time on Fault]]-TA[[#This Row],[Fault Time]])*24</f>
        <v>-6.1166666666666663</v>
      </c>
      <c r="AC689" s="26">
        <f>(TA[[#This Row],[Work Completion time on fault]]-TA[[#This Row],[Fault Time]])*24</f>
        <v>12.133333333333333</v>
      </c>
      <c r="AD689" s="27">
        <f>IFERROR((TA[[#This Row],[Work Completion time on fault]]-TA[[#This Row],[Fault Time]])*24,"")</f>
        <v>12.133333333333333</v>
      </c>
      <c r="AE689" t="s">
        <v>300</v>
      </c>
      <c r="AF689" t="s">
        <v>247</v>
      </c>
      <c r="AG689" s="2"/>
      <c r="AH689" s="35">
        <f>1-COS(RADIANS(TA[[#This Row],[Avg. Target Angle during Fault Time (Radians)]]-TA[[#This Row],[Angle of affected equipment ]]))</f>
        <v>0.11705240714107301</v>
      </c>
      <c r="AI689" s="27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43">
        <f t="shared" ref="B690:B703" si="48">YEAR(H690)+IF(MONTH(H690)&gt;=4,1,0)</f>
        <v>2026</v>
      </c>
      <c r="C690" s="116">
        <f t="shared" ref="C690:C703" si="49">YEAR(H690)</f>
        <v>2025</v>
      </c>
      <c r="D690" s="2" t="s">
        <v>155</v>
      </c>
      <c r="E690" s="2" t="s">
        <v>155</v>
      </c>
      <c r="F690" s="30">
        <v>45778</v>
      </c>
      <c r="G690" s="2">
        <f>DAY(EOMONTH(TA[[#This Row],[Month Year]],0))</f>
        <v>31</v>
      </c>
      <c r="H690" s="21">
        <v>45792</v>
      </c>
      <c r="I690" s="32">
        <f>IFERROR(VLOOKUP(TA[[#This Row],[Date]],Raw_Data[[Date]:[Sunset Time (POA&lt;20 W/m2)]],3,0),"")</f>
        <v>0.30625000000000002</v>
      </c>
      <c r="J690" s="32">
        <f>IFERROR(VLOOKUP(TA[[#This Row],[Date]],Raw_Data[[Date]:[Sunset Time (POA&lt;20 W/m2)]],4,0),"")</f>
        <v>0.76944444444444449</v>
      </c>
      <c r="K690" s="27">
        <f>IFERROR((TA[[#This Row],[Sunset Time (POA&lt;20 W/m2)]]-TA[[#This Row],[Sunrise Time (POA&gt;20 W/m2)]])*24,"")</f>
        <v>11.116666666666667</v>
      </c>
      <c r="L690" s="2" t="s">
        <v>285</v>
      </c>
      <c r="M690" s="33">
        <f>IFERROR(VLOOKUP(TA[[#This Row],[Affected Equipment]],'Basic Data'!$I$2:$K$40,3,0),"")</f>
        <v>1.7241379310344799E-3</v>
      </c>
      <c r="N690">
        <v>-28</v>
      </c>
      <c r="O690" t="s">
        <v>135</v>
      </c>
      <c r="P690" s="114" t="s">
        <v>309</v>
      </c>
      <c r="Q690" s="113" t="s">
        <v>309</v>
      </c>
      <c r="R690">
        <v>130</v>
      </c>
      <c r="S690" s="2">
        <v>37</v>
      </c>
      <c r="T690" t="s">
        <v>286</v>
      </c>
      <c r="U690" t="s">
        <v>291</v>
      </c>
      <c r="V690" t="s">
        <v>289</v>
      </c>
      <c r="W690" s="32"/>
      <c r="X690" s="32"/>
      <c r="Y690" s="26"/>
      <c r="Z690" s="26"/>
      <c r="AA690" s="27">
        <f>IF(TA[[#This Row],[Work Start time on Fault]]="NA","",(TA[[#This Row],[Fault Acknowledgement Time ]]-TA[[#This Row],[Fault Time]])*24)</f>
        <v>0</v>
      </c>
      <c r="AB690" s="27">
        <f>(TA[[#This Row],[Work Start time on Fault]]-TA[[#This Row],[Fault Time]])*24</f>
        <v>0</v>
      </c>
      <c r="AC690" s="26">
        <f>(TA[[#This Row],[Work Completion time on fault]]-TA[[#This Row],[Fault Time]])*24</f>
        <v>0</v>
      </c>
      <c r="AD690" s="27">
        <f>IFERROR((TA[[#This Row],[Work Completion time on fault]]-TA[[#This Row],[Fault Time]])*24,"")</f>
        <v>0</v>
      </c>
      <c r="AE690" t="s">
        <v>319</v>
      </c>
      <c r="AF690" t="s">
        <v>247</v>
      </c>
      <c r="AG690" s="2"/>
      <c r="AH690" s="35">
        <f>1-COS(RADIANS(TA[[#This Row],[Avg. Target Angle during Fault Time (Radians)]]-TA[[#This Row],[Angle of affected equipment ]]))</f>
        <v>0.11705240714107301</v>
      </c>
      <c r="AI690" s="27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43">
        <f t="shared" si="48"/>
        <v>2026</v>
      </c>
      <c r="C691" s="116">
        <f t="shared" si="49"/>
        <v>2025</v>
      </c>
      <c r="D691" s="2" t="s">
        <v>155</v>
      </c>
      <c r="E691" s="2" t="s">
        <v>155</v>
      </c>
      <c r="F691" s="30">
        <v>45778</v>
      </c>
      <c r="G691" s="2">
        <f>DAY(EOMONTH(TA[[#This Row],[Month Year]],0))</f>
        <v>31</v>
      </c>
      <c r="H691" s="21">
        <v>45792</v>
      </c>
      <c r="I691" s="32">
        <f>IFERROR(VLOOKUP(TA[[#This Row],[Date]],Raw_Data[[Date]:[Sunset Time (POA&lt;20 W/m2)]],3,0),"")</f>
        <v>0.30625000000000002</v>
      </c>
      <c r="J691" s="32">
        <f>IFERROR(VLOOKUP(TA[[#This Row],[Date]],Raw_Data[[Date]:[Sunset Time (POA&lt;20 W/m2)]],4,0),"")</f>
        <v>0.76944444444444449</v>
      </c>
      <c r="K691" s="27">
        <f>IFERROR((TA[[#This Row],[Sunset Time (POA&lt;20 W/m2)]]-TA[[#This Row],[Sunrise Time (POA&gt;20 W/m2)]])*24,"")</f>
        <v>11.116666666666667</v>
      </c>
      <c r="L691" s="2" t="s">
        <v>285</v>
      </c>
      <c r="M691" s="33">
        <f>IFERROR(VLOOKUP(TA[[#This Row],[Affected Equipment]],'Basic Data'!$I$2:$K$40,3,0),"")</f>
        <v>1.7241379310344799E-3</v>
      </c>
      <c r="N691">
        <v>-28</v>
      </c>
      <c r="O691" t="s">
        <v>135</v>
      </c>
      <c r="P691" s="114" t="s">
        <v>309</v>
      </c>
      <c r="Q691" s="113" t="s">
        <v>309</v>
      </c>
      <c r="R691">
        <v>131</v>
      </c>
      <c r="S691" s="2">
        <v>38</v>
      </c>
      <c r="T691" t="s">
        <v>286</v>
      </c>
      <c r="U691" t="s">
        <v>291</v>
      </c>
      <c r="V691" t="s">
        <v>289</v>
      </c>
      <c r="W691" s="32"/>
      <c r="X691" s="32"/>
      <c r="Y691" s="26"/>
      <c r="Z691" s="26"/>
      <c r="AA691" s="27">
        <f>IF(TA[[#This Row],[Work Start time on Fault]]="NA","",(TA[[#This Row],[Fault Acknowledgement Time ]]-TA[[#This Row],[Fault Time]])*24)</f>
        <v>0</v>
      </c>
      <c r="AB691" s="27">
        <f>(TA[[#This Row],[Work Start time on Fault]]-TA[[#This Row],[Fault Time]])*24</f>
        <v>0</v>
      </c>
      <c r="AC691" s="26">
        <f>(TA[[#This Row],[Work Completion time on fault]]-TA[[#This Row],[Fault Time]])*24</f>
        <v>0</v>
      </c>
      <c r="AD691" s="27">
        <f>IFERROR((TA[[#This Row],[Work Completion time on fault]]-TA[[#This Row],[Fault Time]])*24,"")</f>
        <v>0</v>
      </c>
      <c r="AE691" t="s">
        <v>319</v>
      </c>
      <c r="AF691" t="s">
        <v>247</v>
      </c>
      <c r="AG691" s="2"/>
      <c r="AH691" s="35">
        <f>1-COS(RADIANS(TA[[#This Row],[Avg. Target Angle during Fault Time (Radians)]]-TA[[#This Row],[Angle of affected equipment ]]))</f>
        <v>0.11705240714107301</v>
      </c>
      <c r="AI691" s="27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43">
        <f t="shared" si="48"/>
        <v>2026</v>
      </c>
      <c r="C692" s="116">
        <f t="shared" si="49"/>
        <v>2025</v>
      </c>
      <c r="D692" s="2" t="s">
        <v>155</v>
      </c>
      <c r="E692" s="2" t="s">
        <v>155</v>
      </c>
      <c r="F692" s="30">
        <v>45778</v>
      </c>
      <c r="G692" s="2">
        <f>DAY(EOMONTH(TA[[#This Row],[Month Year]],0))</f>
        <v>31</v>
      </c>
      <c r="H692" s="21">
        <v>45792</v>
      </c>
      <c r="I692" s="32">
        <f>IFERROR(VLOOKUP(TA[[#This Row],[Date]],Raw_Data[[Date]:[Sunset Time (POA&lt;20 W/m2)]],3,0),"")</f>
        <v>0.30625000000000002</v>
      </c>
      <c r="J692" s="32">
        <f>IFERROR(VLOOKUP(TA[[#This Row],[Date]],Raw_Data[[Date]:[Sunset Time (POA&lt;20 W/m2)]],4,0),"")</f>
        <v>0.76944444444444449</v>
      </c>
      <c r="K692" s="27">
        <f>IFERROR((TA[[#This Row],[Sunset Time (POA&lt;20 W/m2)]]-TA[[#This Row],[Sunrise Time (POA&gt;20 W/m2)]])*24,"")</f>
        <v>11.116666666666667</v>
      </c>
      <c r="L692" s="2" t="s">
        <v>285</v>
      </c>
      <c r="M692" s="33">
        <f>IFERROR(VLOOKUP(TA[[#This Row],[Affected Equipment]],'Basic Data'!$I$2:$K$40,3,0),"")</f>
        <v>1.7241379310344799E-3</v>
      </c>
      <c r="N692">
        <v>-28</v>
      </c>
      <c r="O692" t="s">
        <v>135</v>
      </c>
      <c r="P692" s="114" t="s">
        <v>309</v>
      </c>
      <c r="Q692" s="113" t="s">
        <v>309</v>
      </c>
      <c r="R692">
        <v>131</v>
      </c>
      <c r="S692" s="2">
        <v>39</v>
      </c>
      <c r="T692" t="s">
        <v>286</v>
      </c>
      <c r="U692" t="s">
        <v>291</v>
      </c>
      <c r="V692" t="s">
        <v>289</v>
      </c>
      <c r="W692" s="32"/>
      <c r="X692" s="32"/>
      <c r="Y692" s="26"/>
      <c r="Z692" s="26"/>
      <c r="AA692" s="27">
        <f>IF(TA[[#This Row],[Work Start time on Fault]]="NA","",(TA[[#This Row],[Fault Acknowledgement Time ]]-TA[[#This Row],[Fault Time]])*24)</f>
        <v>0</v>
      </c>
      <c r="AB692" s="27">
        <f>(TA[[#This Row],[Work Start time on Fault]]-TA[[#This Row],[Fault Time]])*24</f>
        <v>0</v>
      </c>
      <c r="AC692" s="26">
        <f>(TA[[#This Row],[Work Completion time on fault]]-TA[[#This Row],[Fault Time]])*24</f>
        <v>0</v>
      </c>
      <c r="AD692" s="27">
        <f>IFERROR((TA[[#This Row],[Work Completion time on fault]]-TA[[#This Row],[Fault Time]])*24,"")</f>
        <v>0</v>
      </c>
      <c r="AE692" t="s">
        <v>319</v>
      </c>
      <c r="AF692" t="s">
        <v>247</v>
      </c>
      <c r="AG692" s="2"/>
      <c r="AH692" s="35">
        <f>1-COS(RADIANS(TA[[#This Row],[Avg. Target Angle during Fault Time (Radians)]]-TA[[#This Row],[Angle of affected equipment ]]))</f>
        <v>0.11705240714107301</v>
      </c>
      <c r="AI692" s="27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43">
        <f t="shared" si="48"/>
        <v>2026</v>
      </c>
      <c r="C693" s="116">
        <f t="shared" si="49"/>
        <v>2025</v>
      </c>
      <c r="D693" s="2" t="s">
        <v>155</v>
      </c>
      <c r="E693" s="2" t="s">
        <v>155</v>
      </c>
      <c r="F693" s="30">
        <v>45778</v>
      </c>
      <c r="G693" s="2">
        <f>DAY(EOMONTH(TA[[#This Row],[Month Year]],0))</f>
        <v>31</v>
      </c>
      <c r="H693" s="21">
        <v>45792</v>
      </c>
      <c r="I693" s="32">
        <f>IFERROR(VLOOKUP(TA[[#This Row],[Date]],Raw_Data[[Date]:[Sunset Time (POA&lt;20 W/m2)]],3,0),"")</f>
        <v>0.30625000000000002</v>
      </c>
      <c r="J693" s="32">
        <f>IFERROR(VLOOKUP(TA[[#This Row],[Date]],Raw_Data[[Date]:[Sunset Time (POA&lt;20 W/m2)]],4,0),"")</f>
        <v>0.76944444444444449</v>
      </c>
      <c r="K693" s="27">
        <f>IFERROR((TA[[#This Row],[Sunset Time (POA&lt;20 W/m2)]]-TA[[#This Row],[Sunrise Time (POA&gt;20 W/m2)]])*24,"")</f>
        <v>11.116666666666667</v>
      </c>
      <c r="L693" s="2" t="s">
        <v>287</v>
      </c>
      <c r="M693" s="33">
        <f>IFERROR(VLOOKUP(TA[[#This Row],[Affected Equipment]],'Basic Data'!$I$2:$K$40,3,0),"")</f>
        <v>8.6206896551724102E-3</v>
      </c>
      <c r="N693">
        <v>-28</v>
      </c>
      <c r="O693" t="s">
        <v>135</v>
      </c>
      <c r="P693" s="114" t="s">
        <v>309</v>
      </c>
      <c r="Q693" s="2" t="s">
        <v>312</v>
      </c>
      <c r="R693">
        <v>133</v>
      </c>
      <c r="S693" s="2">
        <v>26</v>
      </c>
      <c r="T693" t="s">
        <v>288</v>
      </c>
      <c r="U693" t="s">
        <v>291</v>
      </c>
      <c r="V693" t="s">
        <v>305</v>
      </c>
      <c r="W693" s="32">
        <f>IFERROR(VLOOKUP(TA[[#This Row],[Date]],Raw_Data[[Date]:[Sunset Time (POA&lt;20 W/m2)]],3,0),"")</f>
        <v>0.30625000000000002</v>
      </c>
      <c r="X693" s="32">
        <f>IFERROR(VLOOKUP(TA[[#This Row],[Date]],Raw_Data[[Date]:[Sunset Time (POA&lt;20 W/m2)]],3,0),"")</f>
        <v>0.30625000000000002</v>
      </c>
      <c r="Y693" s="26"/>
      <c r="Z693" s="26">
        <v>0.76041666666666663</v>
      </c>
      <c r="AA693" s="27">
        <f>IF(TA[[#This Row],[Work Start time on Fault]]="NA","",(TA[[#This Row],[Fault Acknowledgement Time ]]-TA[[#This Row],[Fault Time]])*24)</f>
        <v>0</v>
      </c>
      <c r="AB693" s="27">
        <f>(TA[[#This Row],[Work Start time on Fault]]-TA[[#This Row],[Fault Time]])*24</f>
        <v>-7.3500000000000005</v>
      </c>
      <c r="AC693" s="26">
        <f>(TA[[#This Row],[Work Completion time on fault]]-TA[[#This Row],[Fault Time]])*24</f>
        <v>10.899999999999999</v>
      </c>
      <c r="AD693" s="27">
        <f>IFERROR((TA[[#This Row],[Work Completion time on fault]]-TA[[#This Row],[Fault Time]])*24,"")</f>
        <v>10.899999999999999</v>
      </c>
      <c r="AE693" t="s">
        <v>319</v>
      </c>
      <c r="AF693" t="s">
        <v>247</v>
      </c>
      <c r="AG693" s="2"/>
      <c r="AH693" s="35">
        <f>1-COS(RADIANS(TA[[#This Row],[Avg. Target Angle during Fault Time (Radians)]]-TA[[#This Row],[Angle of affected equipment ]]))</f>
        <v>0.11705240714107301</v>
      </c>
      <c r="AI693" s="27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43">
        <f t="shared" si="48"/>
        <v>2026</v>
      </c>
      <c r="C694" s="116">
        <f t="shared" si="49"/>
        <v>2025</v>
      </c>
      <c r="D694" s="2" t="s">
        <v>155</v>
      </c>
      <c r="E694" s="2" t="s">
        <v>155</v>
      </c>
      <c r="F694" s="30">
        <v>45778</v>
      </c>
      <c r="G694" s="2">
        <f>DAY(EOMONTH(TA[[#This Row],[Month Year]],0))</f>
        <v>31</v>
      </c>
      <c r="H694" s="21">
        <v>45792</v>
      </c>
      <c r="I694" s="32">
        <f>IFERROR(VLOOKUP(TA[[#This Row],[Date]],Raw_Data[[Date]:[Sunset Time (POA&lt;20 W/m2)]],3,0),"")</f>
        <v>0.30625000000000002</v>
      </c>
      <c r="J694" s="32">
        <f>IFERROR(VLOOKUP(TA[[#This Row],[Date]],Raw_Data[[Date]:[Sunset Time (POA&lt;20 W/m2)]],4,0),"")</f>
        <v>0.76944444444444449</v>
      </c>
      <c r="K694" s="27">
        <f>IFERROR((TA[[#This Row],[Sunset Time (POA&lt;20 W/m2)]]-TA[[#This Row],[Sunrise Time (POA&gt;20 W/m2)]])*24,"")</f>
        <v>11.116666666666667</v>
      </c>
      <c r="L694" s="2" t="s">
        <v>285</v>
      </c>
      <c r="M694" s="33">
        <f>IFERROR(VLOOKUP(TA[[#This Row],[Affected Equipment]],'Basic Data'!$I$2:$K$40,3,0),"")</f>
        <v>1.7241379310344799E-3</v>
      </c>
      <c r="N694">
        <v>-28</v>
      </c>
      <c r="O694" t="s">
        <v>133</v>
      </c>
      <c r="P694" s="114" t="s">
        <v>307</v>
      </c>
      <c r="Q694" s="113" t="s">
        <v>308</v>
      </c>
      <c r="R694">
        <v>7</v>
      </c>
      <c r="S694" s="2">
        <v>32</v>
      </c>
      <c r="T694" t="s">
        <v>286</v>
      </c>
      <c r="U694" t="s">
        <v>291</v>
      </c>
      <c r="V694" t="s">
        <v>289</v>
      </c>
      <c r="W694" s="32"/>
      <c r="X694" s="32"/>
      <c r="Y694" s="26"/>
      <c r="Z694" s="26"/>
      <c r="AA694" s="27">
        <f>IF(TA[[#This Row],[Work Start time on Fault]]="NA","",(TA[[#This Row],[Fault Acknowledgement Time ]]-TA[[#This Row],[Fault Time]])*24)</f>
        <v>0</v>
      </c>
      <c r="AB694" s="27">
        <f>(TA[[#This Row],[Work Start time on Fault]]-TA[[#This Row],[Fault Time]])*24</f>
        <v>0</v>
      </c>
      <c r="AC694" s="26">
        <f>(TA[[#This Row],[Work Completion time on fault]]-TA[[#This Row],[Fault Time]])*24</f>
        <v>0</v>
      </c>
      <c r="AD694" s="27">
        <f>IFERROR((TA[[#This Row],[Work Completion time on fault]]-TA[[#This Row],[Fault Time]])*24,"")</f>
        <v>0</v>
      </c>
      <c r="AE694" t="s">
        <v>319</v>
      </c>
      <c r="AF694" t="s">
        <v>247</v>
      </c>
      <c r="AG694" s="2"/>
      <c r="AH694" s="35">
        <f>1-COS(RADIANS(TA[[#This Row],[Avg. Target Angle during Fault Time (Radians)]]-TA[[#This Row],[Angle of affected equipment ]]))</f>
        <v>0.11705240714107301</v>
      </c>
      <c r="AI694" s="27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43">
        <f t="shared" si="48"/>
        <v>2026</v>
      </c>
      <c r="C695" s="116">
        <f t="shared" si="49"/>
        <v>2025</v>
      </c>
      <c r="D695" s="2" t="s">
        <v>155</v>
      </c>
      <c r="E695" s="2" t="s">
        <v>155</v>
      </c>
      <c r="F695" s="30">
        <v>45778</v>
      </c>
      <c r="G695" s="2">
        <f>DAY(EOMONTH(TA[[#This Row],[Month Year]],0))</f>
        <v>31</v>
      </c>
      <c r="H695" s="21">
        <v>45792</v>
      </c>
      <c r="I695" s="32">
        <f>IFERROR(VLOOKUP(TA[[#This Row],[Date]],Raw_Data[[Date]:[Sunset Time (POA&lt;20 W/m2)]],3,0),"")</f>
        <v>0.30625000000000002</v>
      </c>
      <c r="J695" s="32">
        <f>IFERROR(VLOOKUP(TA[[#This Row],[Date]],Raw_Data[[Date]:[Sunset Time (POA&lt;20 W/m2)]],4,0),"")</f>
        <v>0.76944444444444449</v>
      </c>
      <c r="K695" s="27">
        <f>IFERROR((TA[[#This Row],[Sunset Time (POA&lt;20 W/m2)]]-TA[[#This Row],[Sunrise Time (POA&gt;20 W/m2)]])*24,"")</f>
        <v>11.116666666666667</v>
      </c>
      <c r="L695" s="2" t="s">
        <v>285</v>
      </c>
      <c r="M695" s="33">
        <f>IFERROR(VLOOKUP(TA[[#This Row],[Affected Equipment]],'Basic Data'!$I$2:$K$40,3,0),"")</f>
        <v>1.7241379310344799E-3</v>
      </c>
      <c r="N695">
        <v>-28</v>
      </c>
      <c r="O695" t="s">
        <v>137</v>
      </c>
      <c r="P695" s="114" t="s">
        <v>306</v>
      </c>
      <c r="Q695" s="113" t="s">
        <v>310</v>
      </c>
      <c r="R695">
        <v>166</v>
      </c>
      <c r="S695" s="2">
        <v>91</v>
      </c>
      <c r="T695" t="s">
        <v>286</v>
      </c>
      <c r="U695" t="s">
        <v>291</v>
      </c>
      <c r="V695" t="s">
        <v>289</v>
      </c>
      <c r="W695" s="32"/>
      <c r="X695" s="32"/>
      <c r="Y695" s="26"/>
      <c r="Z695" s="26"/>
      <c r="AA695" s="27">
        <f>IF(TA[[#This Row],[Work Start time on Fault]]="NA","",(TA[[#This Row],[Fault Acknowledgement Time ]]-TA[[#This Row],[Fault Time]])*24)</f>
        <v>0</v>
      </c>
      <c r="AB695" s="27">
        <f>(TA[[#This Row],[Work Start time on Fault]]-TA[[#This Row],[Fault Time]])*24</f>
        <v>0</v>
      </c>
      <c r="AC695" s="26">
        <f>(TA[[#This Row],[Work Completion time on fault]]-TA[[#This Row],[Fault Time]])*24</f>
        <v>0</v>
      </c>
      <c r="AD695" s="27">
        <f>IFERROR((TA[[#This Row],[Work Completion time on fault]]-TA[[#This Row],[Fault Time]])*24,"")</f>
        <v>0</v>
      </c>
      <c r="AE695" t="s">
        <v>319</v>
      </c>
      <c r="AF695" t="s">
        <v>247</v>
      </c>
      <c r="AG695" s="2"/>
      <c r="AH695" s="35">
        <f>1-COS(RADIANS(TA[[#This Row],[Avg. Target Angle during Fault Time (Radians)]]-TA[[#This Row],[Angle of affected equipment ]]))</f>
        <v>0.11705240714107301</v>
      </c>
      <c r="AI695" s="27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43">
        <f t="shared" si="48"/>
        <v>2026</v>
      </c>
      <c r="C696" s="116">
        <f t="shared" si="49"/>
        <v>2025</v>
      </c>
      <c r="D696" s="2" t="s">
        <v>155</v>
      </c>
      <c r="E696" s="2" t="s">
        <v>155</v>
      </c>
      <c r="F696" s="30">
        <v>45778</v>
      </c>
      <c r="G696" s="2">
        <f>DAY(EOMONTH(TA[[#This Row],[Month Year]],0))</f>
        <v>31</v>
      </c>
      <c r="H696" s="21">
        <v>45792</v>
      </c>
      <c r="I696" s="32">
        <f>IFERROR(VLOOKUP(TA[[#This Row],[Date]],Raw_Data[[Date]:[Sunset Time (POA&lt;20 W/m2)]],3,0),"")</f>
        <v>0.30625000000000002</v>
      </c>
      <c r="J696" s="32">
        <f>IFERROR(VLOOKUP(TA[[#This Row],[Date]],Raw_Data[[Date]:[Sunset Time (POA&lt;20 W/m2)]],4,0),"")</f>
        <v>0.76944444444444449</v>
      </c>
      <c r="K696" s="27">
        <f>IFERROR((TA[[#This Row],[Sunset Time (POA&lt;20 W/m2)]]-TA[[#This Row],[Sunrise Time (POA&gt;20 W/m2)]])*24,"")</f>
        <v>11.116666666666667</v>
      </c>
      <c r="L696" s="2" t="s">
        <v>285</v>
      </c>
      <c r="M696" s="33">
        <f>IFERROR(VLOOKUP(TA[[#This Row],[Affected Equipment]],'Basic Data'!$I$2:$K$40,3,0),"")</f>
        <v>1.7241379310344799E-3</v>
      </c>
      <c r="N696">
        <v>-28</v>
      </c>
      <c r="O696" t="s">
        <v>133</v>
      </c>
      <c r="P696" s="114" t="s">
        <v>307</v>
      </c>
      <c r="Q696" s="113" t="s">
        <v>307</v>
      </c>
      <c r="R696">
        <v>117</v>
      </c>
      <c r="S696" s="2">
        <v>20</v>
      </c>
      <c r="T696" t="s">
        <v>286</v>
      </c>
      <c r="U696" t="s">
        <v>291</v>
      </c>
      <c r="V696" t="s">
        <v>289</v>
      </c>
      <c r="W696" s="32"/>
      <c r="X696" s="32"/>
      <c r="Y696" s="26"/>
      <c r="Z696" s="26"/>
      <c r="AA696" s="27">
        <f>IF(TA[[#This Row],[Work Start time on Fault]]="NA","",(TA[[#This Row],[Fault Acknowledgement Time ]]-TA[[#This Row],[Fault Time]])*24)</f>
        <v>0</v>
      </c>
      <c r="AB696" s="27">
        <f>(TA[[#This Row],[Work Start time on Fault]]-TA[[#This Row],[Fault Time]])*24</f>
        <v>0</v>
      </c>
      <c r="AC696" s="26">
        <f>(TA[[#This Row],[Work Completion time on fault]]-TA[[#This Row],[Fault Time]])*24</f>
        <v>0</v>
      </c>
      <c r="AD696" s="27">
        <f>IFERROR((TA[[#This Row],[Work Completion time on fault]]-TA[[#This Row],[Fault Time]])*24,"")</f>
        <v>0</v>
      </c>
      <c r="AE696" t="s">
        <v>319</v>
      </c>
      <c r="AF696" t="s">
        <v>247</v>
      </c>
      <c r="AG696" s="2"/>
      <c r="AH696" s="35">
        <f>1-COS(RADIANS(TA[[#This Row],[Avg. Target Angle during Fault Time (Radians)]]-TA[[#This Row],[Angle of affected equipment ]]))</f>
        <v>0.11705240714107301</v>
      </c>
      <c r="AI696" s="27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43">
        <f t="shared" si="48"/>
        <v>2026</v>
      </c>
      <c r="C697" s="116">
        <f t="shared" si="49"/>
        <v>2025</v>
      </c>
      <c r="D697" s="2" t="s">
        <v>155</v>
      </c>
      <c r="E697" s="2" t="s">
        <v>155</v>
      </c>
      <c r="F697" s="30">
        <v>45778</v>
      </c>
      <c r="G697" s="2">
        <f>DAY(EOMONTH(TA[[#This Row],[Month Year]],0))</f>
        <v>31</v>
      </c>
      <c r="H697" s="21">
        <v>45792</v>
      </c>
      <c r="I697" s="32">
        <f>IFERROR(VLOOKUP(TA[[#This Row],[Date]],Raw_Data[[Date]:[Sunset Time (POA&lt;20 W/m2)]],3,0),"")</f>
        <v>0.30625000000000002</v>
      </c>
      <c r="J697" s="32">
        <f>IFERROR(VLOOKUP(TA[[#This Row],[Date]],Raw_Data[[Date]:[Sunset Time (POA&lt;20 W/m2)]],4,0),"")</f>
        <v>0.76944444444444449</v>
      </c>
      <c r="K697" s="27">
        <f>IFERROR((TA[[#This Row],[Sunset Time (POA&lt;20 W/m2)]]-TA[[#This Row],[Sunrise Time (POA&gt;20 W/m2)]])*24,"")</f>
        <v>11.116666666666667</v>
      </c>
      <c r="L697" s="2" t="s">
        <v>285</v>
      </c>
      <c r="M697" s="33">
        <f>IFERROR(VLOOKUP(TA[[#This Row],[Affected Equipment]],'Basic Data'!$I$2:$K$40,3,0),"")</f>
        <v>1.7241379310344799E-3</v>
      </c>
      <c r="N697">
        <v>-28</v>
      </c>
      <c r="O697" t="s">
        <v>133</v>
      </c>
      <c r="P697" s="114" t="s">
        <v>307</v>
      </c>
      <c r="Q697" s="113" t="s">
        <v>307</v>
      </c>
      <c r="R697">
        <v>118</v>
      </c>
      <c r="S697" s="2">
        <v>22</v>
      </c>
      <c r="T697" t="s">
        <v>286</v>
      </c>
      <c r="U697" t="s">
        <v>291</v>
      </c>
      <c r="V697" t="s">
        <v>289</v>
      </c>
      <c r="W697" s="32"/>
      <c r="X697" s="32"/>
      <c r="Y697" s="26"/>
      <c r="Z697" s="26"/>
      <c r="AA697" s="27">
        <f>IF(TA[[#This Row],[Work Start time on Fault]]="NA","",(TA[[#This Row],[Fault Acknowledgement Time ]]-TA[[#This Row],[Fault Time]])*24)</f>
        <v>0</v>
      </c>
      <c r="AB697" s="27">
        <f>(TA[[#This Row],[Work Start time on Fault]]-TA[[#This Row],[Fault Time]])*24</f>
        <v>0</v>
      </c>
      <c r="AC697" s="26">
        <f>(TA[[#This Row],[Work Completion time on fault]]-TA[[#This Row],[Fault Time]])*24</f>
        <v>0</v>
      </c>
      <c r="AD697" s="27">
        <f>IFERROR((TA[[#This Row],[Work Completion time on fault]]-TA[[#This Row],[Fault Time]])*24,"")</f>
        <v>0</v>
      </c>
      <c r="AE697" t="s">
        <v>319</v>
      </c>
      <c r="AF697" t="s">
        <v>247</v>
      </c>
      <c r="AG697" s="2"/>
      <c r="AH697" s="35">
        <f>1-COS(RADIANS(TA[[#This Row],[Avg. Target Angle during Fault Time (Radians)]]-TA[[#This Row],[Angle of affected equipment ]]))</f>
        <v>0.11705240714107301</v>
      </c>
      <c r="AI697" s="27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43">
        <f t="shared" si="48"/>
        <v>2026</v>
      </c>
      <c r="C698" s="116">
        <f t="shared" si="49"/>
        <v>2025</v>
      </c>
      <c r="D698" s="2" t="s">
        <v>155</v>
      </c>
      <c r="E698" s="2" t="s">
        <v>155</v>
      </c>
      <c r="F698" s="30">
        <v>45778</v>
      </c>
      <c r="G698" s="2">
        <f>DAY(EOMONTH(TA[[#This Row],[Month Year]],0))</f>
        <v>31</v>
      </c>
      <c r="H698" s="21">
        <v>45792</v>
      </c>
      <c r="I698" s="32">
        <f>IFERROR(VLOOKUP(TA[[#This Row],[Date]],Raw_Data[[Date]:[Sunset Time (POA&lt;20 W/m2)]],3,0),"")</f>
        <v>0.30625000000000002</v>
      </c>
      <c r="J698" s="32">
        <f>IFERROR(VLOOKUP(TA[[#This Row],[Date]],Raw_Data[[Date]:[Sunset Time (POA&lt;20 W/m2)]],4,0),"")</f>
        <v>0.76944444444444449</v>
      </c>
      <c r="K698" s="27">
        <f>IFERROR((TA[[#This Row],[Sunset Time (POA&lt;20 W/m2)]]-TA[[#This Row],[Sunrise Time (POA&gt;20 W/m2)]])*24,"")</f>
        <v>11.116666666666667</v>
      </c>
      <c r="L698" s="2" t="s">
        <v>287</v>
      </c>
      <c r="M698" s="33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314</v>
      </c>
      <c r="Q698" s="2" t="s">
        <v>320</v>
      </c>
      <c r="R698">
        <v>45</v>
      </c>
      <c r="S698" s="2">
        <v>8</v>
      </c>
      <c r="T698" t="s">
        <v>288</v>
      </c>
      <c r="U698" t="s">
        <v>291</v>
      </c>
      <c r="V698" t="s">
        <v>292</v>
      </c>
      <c r="W698" s="32"/>
      <c r="X698" s="32"/>
      <c r="Y698" s="26"/>
      <c r="Z698" s="26"/>
      <c r="AA698" s="27">
        <f>IF(TA[[#This Row],[Work Start time on Fault]]="NA","",(TA[[#This Row],[Fault Acknowledgement Time ]]-TA[[#This Row],[Fault Time]])*24)</f>
        <v>0</v>
      </c>
      <c r="AB698" s="27">
        <f>(TA[[#This Row],[Work Start time on Fault]]-TA[[#This Row],[Fault Time]])*24</f>
        <v>0</v>
      </c>
      <c r="AC698" s="26">
        <f>(TA[[#This Row],[Work Completion time on fault]]-TA[[#This Row],[Fault Time]])*24</f>
        <v>0</v>
      </c>
      <c r="AD698" s="27">
        <f>IFERROR((TA[[#This Row],[Work Completion time on fault]]-TA[[#This Row],[Fault Time]])*24,"")</f>
        <v>0</v>
      </c>
      <c r="AE698" t="s">
        <v>319</v>
      </c>
      <c r="AF698" t="s">
        <v>247</v>
      </c>
      <c r="AG698" s="2"/>
      <c r="AH698" s="35">
        <f>1-COS(RADIANS(TA[[#This Row],[Avg. Target Angle during Fault Time (Radians)]]-TA[[#This Row],[Angle of affected equipment ]]))</f>
        <v>0.11705240714107301</v>
      </c>
      <c r="AI698" s="27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43">
        <f t="shared" si="48"/>
        <v>2026</v>
      </c>
      <c r="C699" s="116">
        <f t="shared" si="49"/>
        <v>2025</v>
      </c>
      <c r="D699" s="2" t="s">
        <v>155</v>
      </c>
      <c r="E699" s="2" t="s">
        <v>155</v>
      </c>
      <c r="F699" s="30">
        <v>45778</v>
      </c>
      <c r="G699" s="2">
        <f>DAY(EOMONTH(TA[[#This Row],[Month Year]],0))</f>
        <v>31</v>
      </c>
      <c r="H699" s="21">
        <v>45792</v>
      </c>
      <c r="I699" s="32">
        <f>IFERROR(VLOOKUP(TA[[#This Row],[Date]],Raw_Data[[Date]:[Sunset Time (POA&lt;20 W/m2)]],3,0),"")</f>
        <v>0.30625000000000002</v>
      </c>
      <c r="J699" s="32">
        <f>IFERROR(VLOOKUP(TA[[#This Row],[Date]],Raw_Data[[Date]:[Sunset Time (POA&lt;20 W/m2)]],4,0),"")</f>
        <v>0.76944444444444449</v>
      </c>
      <c r="K699" s="27">
        <f>IFERROR((TA[[#This Row],[Sunset Time (POA&lt;20 W/m2)]]-TA[[#This Row],[Sunrise Time (POA&gt;20 W/m2)]])*24,"")</f>
        <v>11.116666666666667</v>
      </c>
      <c r="L699" s="2" t="s">
        <v>287</v>
      </c>
      <c r="M699" s="33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314</v>
      </c>
      <c r="Q699" s="2" t="s">
        <v>320</v>
      </c>
      <c r="R699">
        <v>47</v>
      </c>
      <c r="S699" s="2">
        <v>18</v>
      </c>
      <c r="T699" t="s">
        <v>288</v>
      </c>
      <c r="U699" t="s">
        <v>291</v>
      </c>
      <c r="V699" t="s">
        <v>292</v>
      </c>
      <c r="W699" s="32"/>
      <c r="X699" s="32"/>
      <c r="Y699" s="26"/>
      <c r="Z699" s="26"/>
      <c r="AA699" s="27">
        <f>IF(TA[[#This Row],[Work Start time on Fault]]="NA","",(TA[[#This Row],[Fault Acknowledgement Time ]]-TA[[#This Row],[Fault Time]])*24)</f>
        <v>0</v>
      </c>
      <c r="AB699" s="27">
        <f>(TA[[#This Row],[Work Start time on Fault]]-TA[[#This Row],[Fault Time]])*24</f>
        <v>0</v>
      </c>
      <c r="AC699" s="26">
        <f>(TA[[#This Row],[Work Completion time on fault]]-TA[[#This Row],[Fault Time]])*24</f>
        <v>0</v>
      </c>
      <c r="AD699" s="27">
        <f>IFERROR((TA[[#This Row],[Work Completion time on fault]]-TA[[#This Row],[Fault Time]])*24,"")</f>
        <v>0</v>
      </c>
      <c r="AE699" t="s">
        <v>319</v>
      </c>
      <c r="AF699" t="s">
        <v>247</v>
      </c>
      <c r="AG699" s="2"/>
      <c r="AH699" s="35">
        <f>1-COS(RADIANS(TA[[#This Row],[Avg. Target Angle during Fault Time (Radians)]]-TA[[#This Row],[Angle of affected equipment ]]))</f>
        <v>0.11705240714107301</v>
      </c>
      <c r="AI699" s="27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43">
        <f t="shared" si="48"/>
        <v>2026</v>
      </c>
      <c r="C700" s="116">
        <f t="shared" si="49"/>
        <v>2025</v>
      </c>
      <c r="D700" s="2" t="s">
        <v>155</v>
      </c>
      <c r="E700" s="2" t="s">
        <v>155</v>
      </c>
      <c r="F700" s="30">
        <v>45778</v>
      </c>
      <c r="G700" s="2">
        <f>DAY(EOMONTH(TA[[#This Row],[Month Year]],0))</f>
        <v>31</v>
      </c>
      <c r="H700" s="21">
        <v>45792</v>
      </c>
      <c r="I700" s="32">
        <f>IFERROR(VLOOKUP(TA[[#This Row],[Date]],Raw_Data[[Date]:[Sunset Time (POA&lt;20 W/m2)]],3,0),"")</f>
        <v>0.30625000000000002</v>
      </c>
      <c r="J700" s="32">
        <f>IFERROR(VLOOKUP(TA[[#This Row],[Date]],Raw_Data[[Date]:[Sunset Time (POA&lt;20 W/m2)]],4,0),"")</f>
        <v>0.76944444444444449</v>
      </c>
      <c r="K700" s="27">
        <f>IFERROR((TA[[#This Row],[Sunset Time (POA&lt;20 W/m2)]]-TA[[#This Row],[Sunrise Time (POA&gt;20 W/m2)]])*24,"")</f>
        <v>11.116666666666667</v>
      </c>
      <c r="L700" s="2" t="s">
        <v>287</v>
      </c>
      <c r="M700" s="33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321</v>
      </c>
      <c r="Q700" s="2" t="s">
        <v>314</v>
      </c>
      <c r="R700">
        <v>30</v>
      </c>
      <c r="S700" s="2">
        <v>57</v>
      </c>
      <c r="T700" t="s">
        <v>288</v>
      </c>
      <c r="U700" t="s">
        <v>291</v>
      </c>
      <c r="V700" t="s">
        <v>292</v>
      </c>
      <c r="W700" s="32"/>
      <c r="X700" s="32"/>
      <c r="Y700" s="26"/>
      <c r="Z700" s="26"/>
      <c r="AA700" s="27">
        <f>IF(TA[[#This Row],[Work Start time on Fault]]="NA","",(TA[[#This Row],[Fault Acknowledgement Time ]]-TA[[#This Row],[Fault Time]])*24)</f>
        <v>0</v>
      </c>
      <c r="AB700" s="27">
        <f>(TA[[#This Row],[Work Start time on Fault]]-TA[[#This Row],[Fault Time]])*24</f>
        <v>0</v>
      </c>
      <c r="AC700" s="26">
        <f>(TA[[#This Row],[Work Completion time on fault]]-TA[[#This Row],[Fault Time]])*24</f>
        <v>0</v>
      </c>
      <c r="AD700" s="27">
        <f>IFERROR((TA[[#This Row],[Work Completion time on fault]]-TA[[#This Row],[Fault Time]])*24,"")</f>
        <v>0</v>
      </c>
      <c r="AE700" t="s">
        <v>319</v>
      </c>
      <c r="AF700" t="s">
        <v>247</v>
      </c>
      <c r="AG700" s="2"/>
      <c r="AH700" s="35">
        <f>1-COS(RADIANS(TA[[#This Row],[Avg. Target Angle during Fault Time (Radians)]]-TA[[#This Row],[Angle of affected equipment ]]))</f>
        <v>0.11705240714107301</v>
      </c>
      <c r="AI700" s="27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43">
        <f t="shared" si="48"/>
        <v>2026</v>
      </c>
      <c r="C701" s="116">
        <f t="shared" si="49"/>
        <v>2025</v>
      </c>
      <c r="D701" s="2" t="s">
        <v>155</v>
      </c>
      <c r="E701" s="2" t="s">
        <v>155</v>
      </c>
      <c r="F701" s="30">
        <v>45778</v>
      </c>
      <c r="G701" s="2">
        <f>DAY(EOMONTH(TA[[#This Row],[Month Year]],0))</f>
        <v>31</v>
      </c>
      <c r="H701" s="21">
        <v>45792</v>
      </c>
      <c r="I701" s="32">
        <f>IFERROR(VLOOKUP(TA[[#This Row],[Date]],Raw_Data[[Date]:[Sunset Time (POA&lt;20 W/m2)]],3,0),"")</f>
        <v>0.30625000000000002</v>
      </c>
      <c r="J701" s="32">
        <f>IFERROR(VLOOKUP(TA[[#This Row],[Date]],Raw_Data[[Date]:[Sunset Time (POA&lt;20 W/m2)]],4,0),"")</f>
        <v>0.76944444444444449</v>
      </c>
      <c r="K701" s="27">
        <f>IFERROR((TA[[#This Row],[Sunset Time (POA&lt;20 W/m2)]]-TA[[#This Row],[Sunrise Time (POA&gt;20 W/m2)]])*24,"")</f>
        <v>11.116666666666667</v>
      </c>
      <c r="L701" s="2" t="s">
        <v>287</v>
      </c>
      <c r="M701" s="33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321</v>
      </c>
      <c r="Q701" s="2" t="s">
        <v>314</v>
      </c>
      <c r="R701">
        <v>31</v>
      </c>
      <c r="S701" s="2">
        <v>61</v>
      </c>
      <c r="T701" t="s">
        <v>288</v>
      </c>
      <c r="U701" t="s">
        <v>291</v>
      </c>
      <c r="V701" t="s">
        <v>292</v>
      </c>
      <c r="W701" s="32"/>
      <c r="X701" s="32"/>
      <c r="Y701" s="26"/>
      <c r="Z701" s="26"/>
      <c r="AA701" s="27">
        <f>IF(TA[[#This Row],[Work Start time on Fault]]="NA","",(TA[[#This Row],[Fault Acknowledgement Time ]]-TA[[#This Row],[Fault Time]])*24)</f>
        <v>0</v>
      </c>
      <c r="AB701" s="27">
        <f>(TA[[#This Row],[Work Start time on Fault]]-TA[[#This Row],[Fault Time]])*24</f>
        <v>0</v>
      </c>
      <c r="AC701" s="26">
        <f>(TA[[#This Row],[Work Completion time on fault]]-TA[[#This Row],[Fault Time]])*24</f>
        <v>0</v>
      </c>
      <c r="AD701" s="27">
        <f>IFERROR((TA[[#This Row],[Work Completion time on fault]]-TA[[#This Row],[Fault Time]])*24,"")</f>
        <v>0</v>
      </c>
      <c r="AE701" t="s">
        <v>319</v>
      </c>
      <c r="AF701" t="s">
        <v>247</v>
      </c>
      <c r="AG701" s="2"/>
      <c r="AH701" s="35">
        <f>1-COS(RADIANS(TA[[#This Row],[Avg. Target Angle during Fault Time (Radians)]]-TA[[#This Row],[Angle of affected equipment ]]))</f>
        <v>0.11705240714107301</v>
      </c>
      <c r="AI701" s="27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43">
        <f t="shared" si="48"/>
        <v>2026</v>
      </c>
      <c r="C702" s="116">
        <f t="shared" si="49"/>
        <v>2025</v>
      </c>
      <c r="D702" s="2" t="s">
        <v>155</v>
      </c>
      <c r="E702" s="2" t="s">
        <v>155</v>
      </c>
      <c r="F702" s="30">
        <v>45778</v>
      </c>
      <c r="G702" s="2">
        <f>DAY(EOMONTH(TA[[#This Row],[Month Year]],0))</f>
        <v>31</v>
      </c>
      <c r="H702" s="21">
        <v>45792</v>
      </c>
      <c r="I702" s="32">
        <f>IFERROR(VLOOKUP(TA[[#This Row],[Date]],Raw_Data[[Date]:[Sunset Time (POA&lt;20 W/m2)]],3,0),"")</f>
        <v>0.30625000000000002</v>
      </c>
      <c r="J702" s="32">
        <f>IFERROR(VLOOKUP(TA[[#This Row],[Date]],Raw_Data[[Date]:[Sunset Time (POA&lt;20 W/m2)]],4,0),"")</f>
        <v>0.76944444444444449</v>
      </c>
      <c r="K702" s="27">
        <f>IFERROR((TA[[#This Row],[Sunset Time (POA&lt;20 W/m2)]]-TA[[#This Row],[Sunrise Time (POA&gt;20 W/m2)]])*24,"")</f>
        <v>11.116666666666667</v>
      </c>
      <c r="L702" s="2" t="s">
        <v>303</v>
      </c>
      <c r="M702" s="33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321</v>
      </c>
      <c r="Q702" s="2" t="s">
        <v>314</v>
      </c>
      <c r="R702">
        <v>26</v>
      </c>
      <c r="S702" s="2">
        <v>37</v>
      </c>
      <c r="T702" t="s">
        <v>288</v>
      </c>
      <c r="U702" t="s">
        <v>291</v>
      </c>
      <c r="V702" t="s">
        <v>292</v>
      </c>
      <c r="W702" s="32"/>
      <c r="X702" s="32"/>
      <c r="Y702" s="26"/>
      <c r="Z702" s="26"/>
      <c r="AA702" s="27">
        <f>IF(TA[[#This Row],[Work Start time on Fault]]="NA","",(TA[[#This Row],[Fault Acknowledgement Time ]]-TA[[#This Row],[Fault Time]])*24)</f>
        <v>0</v>
      </c>
      <c r="AB702" s="27">
        <f>(TA[[#This Row],[Work Start time on Fault]]-TA[[#This Row],[Fault Time]])*24</f>
        <v>0</v>
      </c>
      <c r="AC702" s="26">
        <f>(TA[[#This Row],[Work Completion time on fault]]-TA[[#This Row],[Fault Time]])*24</f>
        <v>0</v>
      </c>
      <c r="AD702" s="27">
        <f>IFERROR((TA[[#This Row],[Work Completion time on fault]]-TA[[#This Row],[Fault Time]])*24,"")</f>
        <v>0</v>
      </c>
      <c r="AE702" t="s">
        <v>319</v>
      </c>
      <c r="AF702" t="s">
        <v>247</v>
      </c>
      <c r="AG702" s="2"/>
      <c r="AH702" s="35">
        <f>1-COS(RADIANS(TA[[#This Row],[Avg. Target Angle during Fault Time (Radians)]]-TA[[#This Row],[Angle of affected equipment ]]))</f>
        <v>0.11705240714107301</v>
      </c>
      <c r="AI702" s="27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43">
        <f t="shared" si="48"/>
        <v>2026</v>
      </c>
      <c r="C703" s="116">
        <f t="shared" si="49"/>
        <v>2025</v>
      </c>
      <c r="D703" s="2" t="s">
        <v>155</v>
      </c>
      <c r="E703" s="2" t="s">
        <v>155</v>
      </c>
      <c r="F703" s="30">
        <v>45778</v>
      </c>
      <c r="G703" s="2">
        <f>DAY(EOMONTH(TA[[#This Row],[Month Year]],0))</f>
        <v>31</v>
      </c>
      <c r="H703" s="21">
        <v>45792</v>
      </c>
      <c r="I703" s="32">
        <f>IFERROR(VLOOKUP(TA[[#This Row],[Date]],Raw_Data[[Date]:[Sunset Time (POA&lt;20 W/m2)]],3,0),"")</f>
        <v>0.30625000000000002</v>
      </c>
      <c r="J703" s="32">
        <f>IFERROR(VLOOKUP(TA[[#This Row],[Date]],Raw_Data[[Date]:[Sunset Time (POA&lt;20 W/m2)]],4,0),"")</f>
        <v>0.76944444444444449</v>
      </c>
      <c r="K703" s="27">
        <f>IFERROR((TA[[#This Row],[Sunset Time (POA&lt;20 W/m2)]]-TA[[#This Row],[Sunrise Time (POA&gt;20 W/m2)]])*24,"")</f>
        <v>11.116666666666667</v>
      </c>
      <c r="L703" s="2" t="s">
        <v>303</v>
      </c>
      <c r="M703" s="33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321</v>
      </c>
      <c r="Q703" s="2" t="s">
        <v>314</v>
      </c>
      <c r="R703">
        <v>27</v>
      </c>
      <c r="S703" s="2">
        <v>42</v>
      </c>
      <c r="T703" t="s">
        <v>288</v>
      </c>
      <c r="U703" t="s">
        <v>291</v>
      </c>
      <c r="V703" t="s">
        <v>292</v>
      </c>
      <c r="W703" s="32">
        <f>IFERROR(VLOOKUP(TA[[#This Row],[Date]],Raw_Data[[Date]:[Sunset Time (POA&lt;20 W/m2)]],3,0),"")</f>
        <v>0.30625000000000002</v>
      </c>
      <c r="X703" s="32">
        <f>IFERROR(VLOOKUP(TA[[#This Row],[Date]],Raw_Data[[Date]:[Sunset Time (POA&lt;20 W/m2)]],3,0),"")</f>
        <v>0.30625000000000002</v>
      </c>
      <c r="Y703" s="26"/>
      <c r="Z703" s="26">
        <v>0.76041666666666663</v>
      </c>
      <c r="AA703" s="27">
        <f>IF(TA[[#This Row],[Work Start time on Fault]]="NA","",(TA[[#This Row],[Fault Acknowledgement Time ]]-TA[[#This Row],[Fault Time]])*24)</f>
        <v>0</v>
      </c>
      <c r="AB703" s="27">
        <f>(TA[[#This Row],[Work Start time on Fault]]-TA[[#This Row],[Fault Time]])*24</f>
        <v>-7.3500000000000005</v>
      </c>
      <c r="AC703" s="26">
        <f>(TA[[#This Row],[Work Completion time on fault]]-TA[[#This Row],[Fault Time]])*24</f>
        <v>10.899999999999999</v>
      </c>
      <c r="AD703" s="27">
        <f>IFERROR((TA[[#This Row],[Work Completion time on fault]]-TA[[#This Row],[Fault Time]])*24,"")</f>
        <v>10.899999999999999</v>
      </c>
      <c r="AE703" t="s">
        <v>300</v>
      </c>
      <c r="AF703" t="s">
        <v>247</v>
      </c>
      <c r="AG703" s="2"/>
      <c r="AH703" s="35">
        <f>1-COS(RADIANS(TA[[#This Row],[Avg. Target Angle during Fault Time (Radians)]]-TA[[#This Row],[Angle of affected equipment ]]))</f>
        <v>0.11705240714107301</v>
      </c>
      <c r="AI703" s="27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43">
        <f t="shared" ref="B704:B717" si="50">YEAR(H704)+IF(MONTH(H704)&gt;=4,1,0)</f>
        <v>2026</v>
      </c>
      <c r="C704" s="116">
        <f t="shared" ref="C704:C717" si="51">YEAR(H704)</f>
        <v>2025</v>
      </c>
      <c r="D704" s="2" t="s">
        <v>155</v>
      </c>
      <c r="E704" s="2" t="s">
        <v>155</v>
      </c>
      <c r="F704" s="30">
        <v>45778</v>
      </c>
      <c r="G704" s="2">
        <f>DAY(EOMONTH(TA[[#This Row],[Month Year]],0))</f>
        <v>31</v>
      </c>
      <c r="H704" s="21">
        <v>45793</v>
      </c>
      <c r="I704" s="32">
        <f>IFERROR(VLOOKUP(TA[[#This Row],[Date]],Raw_Data[[Date]:[Sunset Time (POA&lt;20 W/m2)]],3,0),"")</f>
        <v>0.25138888888888888</v>
      </c>
      <c r="J704" s="32">
        <f>IFERROR(VLOOKUP(TA[[#This Row],[Date]],Raw_Data[[Date]:[Sunset Time (POA&lt;20 W/m2)]],4,0),"")</f>
        <v>0.77222222222222225</v>
      </c>
      <c r="K704" s="27">
        <f>IFERROR((TA[[#This Row],[Sunset Time (POA&lt;20 W/m2)]]-TA[[#This Row],[Sunrise Time (POA&gt;20 W/m2)]])*24,"")</f>
        <v>12.5</v>
      </c>
      <c r="L704" s="2" t="s">
        <v>285</v>
      </c>
      <c r="M704" s="33">
        <f>IFERROR(VLOOKUP(TA[[#This Row],[Affected Equipment]],'Basic Data'!$I$2:$K$40,3,0),"")</f>
        <v>1.7241379310344799E-3</v>
      </c>
      <c r="N704">
        <v>-28</v>
      </c>
      <c r="O704" t="s">
        <v>135</v>
      </c>
      <c r="P704" s="114" t="s">
        <v>309</v>
      </c>
      <c r="Q704" s="113" t="s">
        <v>309</v>
      </c>
      <c r="R704">
        <v>130</v>
      </c>
      <c r="S704" s="2">
        <v>37</v>
      </c>
      <c r="T704" t="s">
        <v>286</v>
      </c>
      <c r="U704" t="s">
        <v>291</v>
      </c>
      <c r="V704" t="s">
        <v>289</v>
      </c>
      <c r="W704" s="32"/>
      <c r="X704" s="32"/>
      <c r="Y704" s="26"/>
      <c r="Z704" s="26"/>
      <c r="AA704" s="27">
        <f>IF(TA[[#This Row],[Work Start time on Fault]]="NA","",(TA[[#This Row],[Fault Acknowledgement Time ]]-TA[[#This Row],[Fault Time]])*24)</f>
        <v>0</v>
      </c>
      <c r="AB704" s="27">
        <f>(TA[[#This Row],[Work Start time on Fault]]-TA[[#This Row],[Fault Time]])*24</f>
        <v>0</v>
      </c>
      <c r="AC704" s="26">
        <f>(TA[[#This Row],[Work Completion time on fault]]-TA[[#This Row],[Fault Time]])*24</f>
        <v>0</v>
      </c>
      <c r="AD704" s="27">
        <f>IFERROR((TA[[#This Row],[Work Completion time on fault]]-TA[[#This Row],[Fault Time]])*24,"")</f>
        <v>0</v>
      </c>
      <c r="AE704" t="s">
        <v>319</v>
      </c>
      <c r="AF704" t="s">
        <v>247</v>
      </c>
      <c r="AG704" s="2"/>
      <c r="AH704" s="35">
        <f>1-COS(RADIANS(TA[[#This Row],[Avg. Target Angle during Fault Time (Radians)]]-TA[[#This Row],[Angle of affected equipment ]]))</f>
        <v>0.11705240714107301</v>
      </c>
      <c r="AI704" s="27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43">
        <f t="shared" si="50"/>
        <v>2026</v>
      </c>
      <c r="C705" s="116">
        <f t="shared" si="51"/>
        <v>2025</v>
      </c>
      <c r="D705" s="2" t="s">
        <v>155</v>
      </c>
      <c r="E705" s="2" t="s">
        <v>155</v>
      </c>
      <c r="F705" s="30">
        <v>45778</v>
      </c>
      <c r="G705" s="2">
        <f>DAY(EOMONTH(TA[[#This Row],[Month Year]],0))</f>
        <v>31</v>
      </c>
      <c r="H705" s="21">
        <v>45793</v>
      </c>
      <c r="I705" s="32">
        <f>IFERROR(VLOOKUP(TA[[#This Row],[Date]],Raw_Data[[Date]:[Sunset Time (POA&lt;20 W/m2)]],3,0),"")</f>
        <v>0.25138888888888888</v>
      </c>
      <c r="J705" s="32">
        <f>IFERROR(VLOOKUP(TA[[#This Row],[Date]],Raw_Data[[Date]:[Sunset Time (POA&lt;20 W/m2)]],4,0),"")</f>
        <v>0.77222222222222225</v>
      </c>
      <c r="K705" s="27">
        <f>IFERROR((TA[[#This Row],[Sunset Time (POA&lt;20 W/m2)]]-TA[[#This Row],[Sunrise Time (POA&gt;20 W/m2)]])*24,"")</f>
        <v>12.5</v>
      </c>
      <c r="L705" s="2" t="s">
        <v>285</v>
      </c>
      <c r="M705" s="33">
        <f>IFERROR(VLOOKUP(TA[[#This Row],[Affected Equipment]],'Basic Data'!$I$2:$K$40,3,0),"")</f>
        <v>1.7241379310344799E-3</v>
      </c>
      <c r="N705">
        <v>-28</v>
      </c>
      <c r="O705" t="s">
        <v>135</v>
      </c>
      <c r="P705" s="114" t="s">
        <v>309</v>
      </c>
      <c r="Q705" s="113" t="s">
        <v>309</v>
      </c>
      <c r="R705">
        <v>131</v>
      </c>
      <c r="S705" s="2">
        <v>38</v>
      </c>
      <c r="T705" t="s">
        <v>286</v>
      </c>
      <c r="U705" t="s">
        <v>291</v>
      </c>
      <c r="V705" t="s">
        <v>289</v>
      </c>
      <c r="W705" s="32"/>
      <c r="X705" s="32"/>
      <c r="Y705" s="26"/>
      <c r="Z705" s="26"/>
      <c r="AA705" s="27">
        <f>IF(TA[[#This Row],[Work Start time on Fault]]="NA","",(TA[[#This Row],[Fault Acknowledgement Time ]]-TA[[#This Row],[Fault Time]])*24)</f>
        <v>0</v>
      </c>
      <c r="AB705" s="27">
        <f>(TA[[#This Row],[Work Start time on Fault]]-TA[[#This Row],[Fault Time]])*24</f>
        <v>0</v>
      </c>
      <c r="AC705" s="26">
        <f>(TA[[#This Row],[Work Completion time on fault]]-TA[[#This Row],[Fault Time]])*24</f>
        <v>0</v>
      </c>
      <c r="AD705" s="27">
        <f>IFERROR((TA[[#This Row],[Work Completion time on fault]]-TA[[#This Row],[Fault Time]])*24,"")</f>
        <v>0</v>
      </c>
      <c r="AE705" t="s">
        <v>319</v>
      </c>
      <c r="AF705" t="s">
        <v>247</v>
      </c>
      <c r="AG705" s="2"/>
      <c r="AH705" s="35">
        <f>1-COS(RADIANS(TA[[#This Row],[Avg. Target Angle during Fault Time (Radians)]]-TA[[#This Row],[Angle of affected equipment ]]))</f>
        <v>0.11705240714107301</v>
      </c>
      <c r="AI705" s="27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43">
        <f t="shared" si="50"/>
        <v>2026</v>
      </c>
      <c r="C706" s="116">
        <f t="shared" si="51"/>
        <v>2025</v>
      </c>
      <c r="D706" s="2" t="s">
        <v>155</v>
      </c>
      <c r="E706" s="2" t="s">
        <v>155</v>
      </c>
      <c r="F706" s="30">
        <v>45778</v>
      </c>
      <c r="G706" s="2">
        <f>DAY(EOMONTH(TA[[#This Row],[Month Year]],0))</f>
        <v>31</v>
      </c>
      <c r="H706" s="21">
        <v>45793</v>
      </c>
      <c r="I706" s="32">
        <f>IFERROR(VLOOKUP(TA[[#This Row],[Date]],Raw_Data[[Date]:[Sunset Time (POA&lt;20 W/m2)]],3,0),"")</f>
        <v>0.25138888888888888</v>
      </c>
      <c r="J706" s="32">
        <f>IFERROR(VLOOKUP(TA[[#This Row],[Date]],Raw_Data[[Date]:[Sunset Time (POA&lt;20 W/m2)]],4,0),"")</f>
        <v>0.77222222222222225</v>
      </c>
      <c r="K706" s="27">
        <f>IFERROR((TA[[#This Row],[Sunset Time (POA&lt;20 W/m2)]]-TA[[#This Row],[Sunrise Time (POA&gt;20 W/m2)]])*24,"")</f>
        <v>12.5</v>
      </c>
      <c r="L706" s="2" t="s">
        <v>285</v>
      </c>
      <c r="M706" s="33">
        <f>IFERROR(VLOOKUP(TA[[#This Row],[Affected Equipment]],'Basic Data'!$I$2:$K$40,3,0),"")</f>
        <v>1.7241379310344799E-3</v>
      </c>
      <c r="N706">
        <v>-28</v>
      </c>
      <c r="O706" t="s">
        <v>135</v>
      </c>
      <c r="P706" s="114" t="s">
        <v>309</v>
      </c>
      <c r="Q706" s="113" t="s">
        <v>309</v>
      </c>
      <c r="R706">
        <v>131</v>
      </c>
      <c r="S706" s="2">
        <v>39</v>
      </c>
      <c r="T706" t="s">
        <v>286</v>
      </c>
      <c r="U706" t="s">
        <v>291</v>
      </c>
      <c r="V706" t="s">
        <v>289</v>
      </c>
      <c r="W706" s="32"/>
      <c r="X706" s="32"/>
      <c r="Y706" s="26"/>
      <c r="Z706" s="26"/>
      <c r="AA706" s="27">
        <f>IF(TA[[#This Row],[Work Start time on Fault]]="NA","",(TA[[#This Row],[Fault Acknowledgement Time ]]-TA[[#This Row],[Fault Time]])*24)</f>
        <v>0</v>
      </c>
      <c r="AB706" s="27">
        <f>(TA[[#This Row],[Work Start time on Fault]]-TA[[#This Row],[Fault Time]])*24</f>
        <v>0</v>
      </c>
      <c r="AC706" s="26">
        <f>(TA[[#This Row],[Work Completion time on fault]]-TA[[#This Row],[Fault Time]])*24</f>
        <v>0</v>
      </c>
      <c r="AD706" s="27">
        <f>IFERROR((TA[[#This Row],[Work Completion time on fault]]-TA[[#This Row],[Fault Time]])*24,"")</f>
        <v>0</v>
      </c>
      <c r="AE706" t="s">
        <v>319</v>
      </c>
      <c r="AF706" t="s">
        <v>247</v>
      </c>
      <c r="AG706" s="2"/>
      <c r="AH706" s="35">
        <f>1-COS(RADIANS(TA[[#This Row],[Avg. Target Angle during Fault Time (Radians)]]-TA[[#This Row],[Angle of affected equipment ]]))</f>
        <v>0.11705240714107301</v>
      </c>
      <c r="AI706" s="27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43">
        <f t="shared" si="50"/>
        <v>2026</v>
      </c>
      <c r="C707" s="116">
        <f t="shared" si="51"/>
        <v>2025</v>
      </c>
      <c r="D707" s="2" t="s">
        <v>155</v>
      </c>
      <c r="E707" s="2" t="s">
        <v>155</v>
      </c>
      <c r="F707" s="30">
        <v>45778</v>
      </c>
      <c r="G707" s="2">
        <f>DAY(EOMONTH(TA[[#This Row],[Month Year]],0))</f>
        <v>31</v>
      </c>
      <c r="H707" s="21">
        <v>45793</v>
      </c>
      <c r="I707" s="32">
        <f>IFERROR(VLOOKUP(TA[[#This Row],[Date]],Raw_Data[[Date]:[Sunset Time (POA&lt;20 W/m2)]],3,0),"")</f>
        <v>0.25138888888888888</v>
      </c>
      <c r="J707" s="32">
        <f>IFERROR(VLOOKUP(TA[[#This Row],[Date]],Raw_Data[[Date]:[Sunset Time (POA&lt;20 W/m2)]],4,0),"")</f>
        <v>0.77222222222222225</v>
      </c>
      <c r="K707" s="27">
        <f>IFERROR((TA[[#This Row],[Sunset Time (POA&lt;20 W/m2)]]-TA[[#This Row],[Sunrise Time (POA&gt;20 W/m2)]])*24,"")</f>
        <v>12.5</v>
      </c>
      <c r="L707" s="2" t="s">
        <v>287</v>
      </c>
      <c r="M707" s="33">
        <f>IFERROR(VLOOKUP(TA[[#This Row],[Affected Equipment]],'Basic Data'!$I$2:$K$40,3,0),"")</f>
        <v>8.6206896551724102E-3</v>
      </c>
      <c r="N707">
        <v>-28</v>
      </c>
      <c r="O707" t="s">
        <v>135</v>
      </c>
      <c r="P707" s="114" t="s">
        <v>309</v>
      </c>
      <c r="Q707" s="2" t="s">
        <v>312</v>
      </c>
      <c r="R707">
        <v>133</v>
      </c>
      <c r="S707" s="2">
        <v>26</v>
      </c>
      <c r="T707" t="s">
        <v>288</v>
      </c>
      <c r="U707" t="s">
        <v>291</v>
      </c>
      <c r="V707" t="s">
        <v>305</v>
      </c>
      <c r="W707" s="32">
        <f>IFERROR(VLOOKUP(TA[[#This Row],[Date]],Raw_Data[[Date]:[Sunset Time (POA&lt;20 W/m2)]],3,0),"")</f>
        <v>0.25138888888888888</v>
      </c>
      <c r="X707" s="32">
        <f>IFERROR(VLOOKUP(TA[[#This Row],[Date]],Raw_Data[[Date]:[Sunset Time (POA&lt;20 W/m2)]],3,0),"")</f>
        <v>0.25138888888888888</v>
      </c>
      <c r="Y707" s="26"/>
      <c r="Z707" s="26">
        <v>0.76041666666666663</v>
      </c>
      <c r="AA707" s="27">
        <f>IF(TA[[#This Row],[Work Start time on Fault]]="NA","",(TA[[#This Row],[Fault Acknowledgement Time ]]-TA[[#This Row],[Fault Time]])*24)</f>
        <v>0</v>
      </c>
      <c r="AB707" s="27">
        <f>(TA[[#This Row],[Work Start time on Fault]]-TA[[#This Row],[Fault Time]])*24</f>
        <v>-6.0333333333333332</v>
      </c>
      <c r="AC707" s="26">
        <f>(TA[[#This Row],[Work Completion time on fault]]-TA[[#This Row],[Fault Time]])*24</f>
        <v>12.216666666666665</v>
      </c>
      <c r="AD707" s="27">
        <f>IFERROR((TA[[#This Row],[Work Completion time on fault]]-TA[[#This Row],[Fault Time]])*24,"")</f>
        <v>12.216666666666665</v>
      </c>
      <c r="AE707" t="s">
        <v>319</v>
      </c>
      <c r="AF707" t="s">
        <v>247</v>
      </c>
      <c r="AG707" s="2"/>
      <c r="AH707" s="35">
        <f>1-COS(RADIANS(TA[[#This Row],[Avg. Target Angle during Fault Time (Radians)]]-TA[[#This Row],[Angle of affected equipment ]]))</f>
        <v>0.11705240714107301</v>
      </c>
      <c r="AI707" s="27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43">
        <f t="shared" si="50"/>
        <v>2026</v>
      </c>
      <c r="C708" s="116">
        <f t="shared" si="51"/>
        <v>2025</v>
      </c>
      <c r="D708" s="2" t="s">
        <v>155</v>
      </c>
      <c r="E708" s="2" t="s">
        <v>155</v>
      </c>
      <c r="F708" s="30">
        <v>45778</v>
      </c>
      <c r="G708" s="2">
        <f>DAY(EOMONTH(TA[[#This Row],[Month Year]],0))</f>
        <v>31</v>
      </c>
      <c r="H708" s="21">
        <v>45793</v>
      </c>
      <c r="I708" s="32">
        <f>IFERROR(VLOOKUP(TA[[#This Row],[Date]],Raw_Data[[Date]:[Sunset Time (POA&lt;20 W/m2)]],3,0),"")</f>
        <v>0.25138888888888888</v>
      </c>
      <c r="J708" s="32">
        <f>IFERROR(VLOOKUP(TA[[#This Row],[Date]],Raw_Data[[Date]:[Sunset Time (POA&lt;20 W/m2)]],4,0),"")</f>
        <v>0.77222222222222225</v>
      </c>
      <c r="K708" s="27">
        <f>IFERROR((TA[[#This Row],[Sunset Time (POA&lt;20 W/m2)]]-TA[[#This Row],[Sunrise Time (POA&gt;20 W/m2)]])*24,"")</f>
        <v>12.5</v>
      </c>
      <c r="L708" s="2" t="s">
        <v>285</v>
      </c>
      <c r="M708" s="33">
        <f>IFERROR(VLOOKUP(TA[[#This Row],[Affected Equipment]],'Basic Data'!$I$2:$K$40,3,0),"")</f>
        <v>1.7241379310344799E-3</v>
      </c>
      <c r="N708">
        <v>-28</v>
      </c>
      <c r="O708" t="s">
        <v>133</v>
      </c>
      <c r="P708" s="114" t="s">
        <v>307</v>
      </c>
      <c r="Q708" s="113" t="s">
        <v>308</v>
      </c>
      <c r="R708">
        <v>7</v>
      </c>
      <c r="S708" s="2">
        <v>32</v>
      </c>
      <c r="T708" t="s">
        <v>286</v>
      </c>
      <c r="U708" t="s">
        <v>291</v>
      </c>
      <c r="V708" t="s">
        <v>289</v>
      </c>
      <c r="W708" s="32"/>
      <c r="X708" s="32"/>
      <c r="Y708" s="26"/>
      <c r="Z708" s="26"/>
      <c r="AA708" s="27">
        <f>IF(TA[[#This Row],[Work Start time on Fault]]="NA","",(TA[[#This Row],[Fault Acknowledgement Time ]]-TA[[#This Row],[Fault Time]])*24)</f>
        <v>0</v>
      </c>
      <c r="AB708" s="27">
        <f>(TA[[#This Row],[Work Start time on Fault]]-TA[[#This Row],[Fault Time]])*24</f>
        <v>0</v>
      </c>
      <c r="AC708" s="26">
        <f>(TA[[#This Row],[Work Completion time on fault]]-TA[[#This Row],[Fault Time]])*24</f>
        <v>0</v>
      </c>
      <c r="AD708" s="27">
        <f>IFERROR((TA[[#This Row],[Work Completion time on fault]]-TA[[#This Row],[Fault Time]])*24,"")</f>
        <v>0</v>
      </c>
      <c r="AE708" t="s">
        <v>319</v>
      </c>
      <c r="AF708" t="s">
        <v>247</v>
      </c>
      <c r="AG708" s="2"/>
      <c r="AH708" s="35">
        <f>1-COS(RADIANS(TA[[#This Row],[Avg. Target Angle during Fault Time (Radians)]]-TA[[#This Row],[Angle of affected equipment ]]))</f>
        <v>0.11705240714107301</v>
      </c>
      <c r="AI708" s="27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43">
        <f t="shared" si="50"/>
        <v>2026</v>
      </c>
      <c r="C709" s="116">
        <f t="shared" si="51"/>
        <v>2025</v>
      </c>
      <c r="D709" s="2" t="s">
        <v>155</v>
      </c>
      <c r="E709" s="2" t="s">
        <v>155</v>
      </c>
      <c r="F709" s="30">
        <v>45778</v>
      </c>
      <c r="G709" s="2">
        <f>DAY(EOMONTH(TA[[#This Row],[Month Year]],0))</f>
        <v>31</v>
      </c>
      <c r="H709" s="21">
        <v>45793</v>
      </c>
      <c r="I709" s="32">
        <f>IFERROR(VLOOKUP(TA[[#This Row],[Date]],Raw_Data[[Date]:[Sunset Time (POA&lt;20 W/m2)]],3,0),"")</f>
        <v>0.25138888888888888</v>
      </c>
      <c r="J709" s="32">
        <f>IFERROR(VLOOKUP(TA[[#This Row],[Date]],Raw_Data[[Date]:[Sunset Time (POA&lt;20 W/m2)]],4,0),"")</f>
        <v>0.77222222222222225</v>
      </c>
      <c r="K709" s="27">
        <f>IFERROR((TA[[#This Row],[Sunset Time (POA&lt;20 W/m2)]]-TA[[#This Row],[Sunrise Time (POA&gt;20 W/m2)]])*24,"")</f>
        <v>12.5</v>
      </c>
      <c r="L709" s="2" t="s">
        <v>285</v>
      </c>
      <c r="M709" s="33">
        <f>IFERROR(VLOOKUP(TA[[#This Row],[Affected Equipment]],'Basic Data'!$I$2:$K$40,3,0),"")</f>
        <v>1.7241379310344799E-3</v>
      </c>
      <c r="N709">
        <v>-28</v>
      </c>
      <c r="O709" t="s">
        <v>137</v>
      </c>
      <c r="P709" s="114" t="s">
        <v>306</v>
      </c>
      <c r="Q709" s="113" t="s">
        <v>310</v>
      </c>
      <c r="R709">
        <v>166</v>
      </c>
      <c r="S709" s="2">
        <v>91</v>
      </c>
      <c r="T709" t="s">
        <v>286</v>
      </c>
      <c r="U709" t="s">
        <v>291</v>
      </c>
      <c r="V709" t="s">
        <v>289</v>
      </c>
      <c r="W709" s="32"/>
      <c r="X709" s="32"/>
      <c r="Y709" s="26"/>
      <c r="Z709" s="26"/>
      <c r="AA709" s="27">
        <f>IF(TA[[#This Row],[Work Start time on Fault]]="NA","",(TA[[#This Row],[Fault Acknowledgement Time ]]-TA[[#This Row],[Fault Time]])*24)</f>
        <v>0</v>
      </c>
      <c r="AB709" s="27">
        <f>(TA[[#This Row],[Work Start time on Fault]]-TA[[#This Row],[Fault Time]])*24</f>
        <v>0</v>
      </c>
      <c r="AC709" s="26">
        <f>(TA[[#This Row],[Work Completion time on fault]]-TA[[#This Row],[Fault Time]])*24</f>
        <v>0</v>
      </c>
      <c r="AD709" s="27">
        <f>IFERROR((TA[[#This Row],[Work Completion time on fault]]-TA[[#This Row],[Fault Time]])*24,"")</f>
        <v>0</v>
      </c>
      <c r="AE709" t="s">
        <v>319</v>
      </c>
      <c r="AF709" t="s">
        <v>247</v>
      </c>
      <c r="AG709" s="2"/>
      <c r="AH709" s="35">
        <f>1-COS(RADIANS(TA[[#This Row],[Avg. Target Angle during Fault Time (Radians)]]-TA[[#This Row],[Angle of affected equipment ]]))</f>
        <v>0.11705240714107301</v>
      </c>
      <c r="AI709" s="27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43">
        <f t="shared" si="50"/>
        <v>2026</v>
      </c>
      <c r="C710" s="116">
        <f t="shared" si="51"/>
        <v>2025</v>
      </c>
      <c r="D710" s="2" t="s">
        <v>155</v>
      </c>
      <c r="E710" s="2" t="s">
        <v>155</v>
      </c>
      <c r="F710" s="30">
        <v>45778</v>
      </c>
      <c r="G710" s="2">
        <f>DAY(EOMONTH(TA[[#This Row],[Month Year]],0))</f>
        <v>31</v>
      </c>
      <c r="H710" s="21">
        <v>45793</v>
      </c>
      <c r="I710" s="32">
        <f>IFERROR(VLOOKUP(TA[[#This Row],[Date]],Raw_Data[[Date]:[Sunset Time (POA&lt;20 W/m2)]],3,0),"")</f>
        <v>0.25138888888888888</v>
      </c>
      <c r="J710" s="32">
        <f>IFERROR(VLOOKUP(TA[[#This Row],[Date]],Raw_Data[[Date]:[Sunset Time (POA&lt;20 W/m2)]],4,0),"")</f>
        <v>0.77222222222222225</v>
      </c>
      <c r="K710" s="27">
        <f>IFERROR((TA[[#This Row],[Sunset Time (POA&lt;20 W/m2)]]-TA[[#This Row],[Sunrise Time (POA&gt;20 W/m2)]])*24,"")</f>
        <v>12.5</v>
      </c>
      <c r="L710" s="2" t="s">
        <v>285</v>
      </c>
      <c r="M710" s="33">
        <f>IFERROR(VLOOKUP(TA[[#This Row],[Affected Equipment]],'Basic Data'!$I$2:$K$40,3,0),"")</f>
        <v>1.7241379310344799E-3</v>
      </c>
      <c r="N710">
        <v>-28</v>
      </c>
      <c r="O710" t="s">
        <v>133</v>
      </c>
      <c r="P710" s="114" t="s">
        <v>307</v>
      </c>
      <c r="Q710" s="113" t="s">
        <v>307</v>
      </c>
      <c r="R710">
        <v>117</v>
      </c>
      <c r="S710" s="2">
        <v>20</v>
      </c>
      <c r="T710" t="s">
        <v>286</v>
      </c>
      <c r="U710" t="s">
        <v>291</v>
      </c>
      <c r="V710" t="s">
        <v>289</v>
      </c>
      <c r="W710" s="32"/>
      <c r="X710" s="32"/>
      <c r="Y710" s="26"/>
      <c r="Z710" s="26"/>
      <c r="AA710" s="27">
        <f>IF(TA[[#This Row],[Work Start time on Fault]]="NA","",(TA[[#This Row],[Fault Acknowledgement Time ]]-TA[[#This Row],[Fault Time]])*24)</f>
        <v>0</v>
      </c>
      <c r="AB710" s="27">
        <f>(TA[[#This Row],[Work Start time on Fault]]-TA[[#This Row],[Fault Time]])*24</f>
        <v>0</v>
      </c>
      <c r="AC710" s="26">
        <f>(TA[[#This Row],[Work Completion time on fault]]-TA[[#This Row],[Fault Time]])*24</f>
        <v>0</v>
      </c>
      <c r="AD710" s="27">
        <f>IFERROR((TA[[#This Row],[Work Completion time on fault]]-TA[[#This Row],[Fault Time]])*24,"")</f>
        <v>0</v>
      </c>
      <c r="AE710" t="s">
        <v>319</v>
      </c>
      <c r="AF710" t="s">
        <v>247</v>
      </c>
      <c r="AG710" s="2"/>
      <c r="AH710" s="35">
        <f>1-COS(RADIANS(TA[[#This Row],[Avg. Target Angle during Fault Time (Radians)]]-TA[[#This Row],[Angle of affected equipment ]]))</f>
        <v>0.11705240714107301</v>
      </c>
      <c r="AI710" s="27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43">
        <f t="shared" si="50"/>
        <v>2026</v>
      </c>
      <c r="C711" s="116">
        <f t="shared" si="51"/>
        <v>2025</v>
      </c>
      <c r="D711" s="2" t="s">
        <v>155</v>
      </c>
      <c r="E711" s="2" t="s">
        <v>155</v>
      </c>
      <c r="F711" s="30">
        <v>45778</v>
      </c>
      <c r="G711" s="2">
        <f>DAY(EOMONTH(TA[[#This Row],[Month Year]],0))</f>
        <v>31</v>
      </c>
      <c r="H711" s="21">
        <v>45793</v>
      </c>
      <c r="I711" s="32">
        <f>IFERROR(VLOOKUP(TA[[#This Row],[Date]],Raw_Data[[Date]:[Sunset Time (POA&lt;20 W/m2)]],3,0),"")</f>
        <v>0.25138888888888888</v>
      </c>
      <c r="J711" s="32">
        <f>IFERROR(VLOOKUP(TA[[#This Row],[Date]],Raw_Data[[Date]:[Sunset Time (POA&lt;20 W/m2)]],4,0),"")</f>
        <v>0.77222222222222225</v>
      </c>
      <c r="K711" s="27">
        <f>IFERROR((TA[[#This Row],[Sunset Time (POA&lt;20 W/m2)]]-TA[[#This Row],[Sunrise Time (POA&gt;20 W/m2)]])*24,"")</f>
        <v>12.5</v>
      </c>
      <c r="L711" s="2" t="s">
        <v>285</v>
      </c>
      <c r="M711" s="33">
        <f>IFERROR(VLOOKUP(TA[[#This Row],[Affected Equipment]],'Basic Data'!$I$2:$K$40,3,0),"")</f>
        <v>1.7241379310344799E-3</v>
      </c>
      <c r="N711">
        <v>-28</v>
      </c>
      <c r="O711" t="s">
        <v>133</v>
      </c>
      <c r="P711" s="114" t="s">
        <v>307</v>
      </c>
      <c r="Q711" s="113" t="s">
        <v>307</v>
      </c>
      <c r="R711">
        <v>118</v>
      </c>
      <c r="S711" s="2">
        <v>22</v>
      </c>
      <c r="T711" t="s">
        <v>286</v>
      </c>
      <c r="U711" t="s">
        <v>291</v>
      </c>
      <c r="V711" t="s">
        <v>289</v>
      </c>
      <c r="W711" s="32"/>
      <c r="X711" s="32"/>
      <c r="Y711" s="26"/>
      <c r="Z711" s="26"/>
      <c r="AA711" s="27">
        <f>IF(TA[[#This Row],[Work Start time on Fault]]="NA","",(TA[[#This Row],[Fault Acknowledgement Time ]]-TA[[#This Row],[Fault Time]])*24)</f>
        <v>0</v>
      </c>
      <c r="AB711" s="27">
        <f>(TA[[#This Row],[Work Start time on Fault]]-TA[[#This Row],[Fault Time]])*24</f>
        <v>0</v>
      </c>
      <c r="AC711" s="26">
        <f>(TA[[#This Row],[Work Completion time on fault]]-TA[[#This Row],[Fault Time]])*24</f>
        <v>0</v>
      </c>
      <c r="AD711" s="27">
        <f>IFERROR((TA[[#This Row],[Work Completion time on fault]]-TA[[#This Row],[Fault Time]])*24,"")</f>
        <v>0</v>
      </c>
      <c r="AE711" t="s">
        <v>319</v>
      </c>
      <c r="AF711" t="s">
        <v>247</v>
      </c>
      <c r="AG711" s="2"/>
      <c r="AH711" s="35">
        <f>1-COS(RADIANS(TA[[#This Row],[Avg. Target Angle during Fault Time (Radians)]]-TA[[#This Row],[Angle of affected equipment ]]))</f>
        <v>0.11705240714107301</v>
      </c>
      <c r="AI711" s="27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43">
        <f t="shared" si="50"/>
        <v>2026</v>
      </c>
      <c r="C712" s="116">
        <f t="shared" si="51"/>
        <v>2025</v>
      </c>
      <c r="D712" s="2" t="s">
        <v>155</v>
      </c>
      <c r="E712" s="2" t="s">
        <v>155</v>
      </c>
      <c r="F712" s="30">
        <v>45778</v>
      </c>
      <c r="G712" s="2">
        <f>DAY(EOMONTH(TA[[#This Row],[Month Year]],0))</f>
        <v>31</v>
      </c>
      <c r="H712" s="21">
        <v>45793</v>
      </c>
      <c r="I712" s="32">
        <f>IFERROR(VLOOKUP(TA[[#This Row],[Date]],Raw_Data[[Date]:[Sunset Time (POA&lt;20 W/m2)]],3,0),"")</f>
        <v>0.25138888888888888</v>
      </c>
      <c r="J712" s="32">
        <f>IFERROR(VLOOKUP(TA[[#This Row],[Date]],Raw_Data[[Date]:[Sunset Time (POA&lt;20 W/m2)]],4,0),"")</f>
        <v>0.77222222222222225</v>
      </c>
      <c r="K712" s="27">
        <f>IFERROR((TA[[#This Row],[Sunset Time (POA&lt;20 W/m2)]]-TA[[#This Row],[Sunrise Time (POA&gt;20 W/m2)]])*24,"")</f>
        <v>12.5</v>
      </c>
      <c r="L712" s="2" t="s">
        <v>287</v>
      </c>
      <c r="M712" s="33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314</v>
      </c>
      <c r="Q712" s="2" t="s">
        <v>320</v>
      </c>
      <c r="R712">
        <v>45</v>
      </c>
      <c r="S712" s="2">
        <v>8</v>
      </c>
      <c r="T712" t="s">
        <v>288</v>
      </c>
      <c r="U712" t="s">
        <v>291</v>
      </c>
      <c r="V712" t="s">
        <v>292</v>
      </c>
      <c r="W712" s="32"/>
      <c r="X712" s="32"/>
      <c r="Y712" s="26"/>
      <c r="Z712" s="26"/>
      <c r="AA712" s="27">
        <f>IF(TA[[#This Row],[Work Start time on Fault]]="NA","",(TA[[#This Row],[Fault Acknowledgement Time ]]-TA[[#This Row],[Fault Time]])*24)</f>
        <v>0</v>
      </c>
      <c r="AB712" s="27">
        <f>(TA[[#This Row],[Work Start time on Fault]]-TA[[#This Row],[Fault Time]])*24</f>
        <v>0</v>
      </c>
      <c r="AC712" s="26">
        <f>(TA[[#This Row],[Work Completion time on fault]]-TA[[#This Row],[Fault Time]])*24</f>
        <v>0</v>
      </c>
      <c r="AD712" s="27">
        <f>IFERROR((TA[[#This Row],[Work Completion time on fault]]-TA[[#This Row],[Fault Time]])*24,"")</f>
        <v>0</v>
      </c>
      <c r="AE712" t="s">
        <v>319</v>
      </c>
      <c r="AF712" t="s">
        <v>247</v>
      </c>
      <c r="AG712" s="2"/>
      <c r="AH712" s="35">
        <f>1-COS(RADIANS(TA[[#This Row],[Avg. Target Angle during Fault Time (Radians)]]-TA[[#This Row],[Angle of affected equipment ]]))</f>
        <v>0.11705240714107301</v>
      </c>
      <c r="AI712" s="27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43">
        <f t="shared" si="50"/>
        <v>2026</v>
      </c>
      <c r="C713" s="116">
        <f t="shared" si="51"/>
        <v>2025</v>
      </c>
      <c r="D713" s="2" t="s">
        <v>155</v>
      </c>
      <c r="E713" s="2" t="s">
        <v>155</v>
      </c>
      <c r="F713" s="30">
        <v>45778</v>
      </c>
      <c r="G713" s="2">
        <f>DAY(EOMONTH(TA[[#This Row],[Month Year]],0))</f>
        <v>31</v>
      </c>
      <c r="H713" s="21">
        <v>45793</v>
      </c>
      <c r="I713" s="32">
        <f>IFERROR(VLOOKUP(TA[[#This Row],[Date]],Raw_Data[[Date]:[Sunset Time (POA&lt;20 W/m2)]],3,0),"")</f>
        <v>0.25138888888888888</v>
      </c>
      <c r="J713" s="32">
        <f>IFERROR(VLOOKUP(TA[[#This Row],[Date]],Raw_Data[[Date]:[Sunset Time (POA&lt;20 W/m2)]],4,0),"")</f>
        <v>0.77222222222222225</v>
      </c>
      <c r="K713" s="27">
        <f>IFERROR((TA[[#This Row],[Sunset Time (POA&lt;20 W/m2)]]-TA[[#This Row],[Sunrise Time (POA&gt;20 W/m2)]])*24,"")</f>
        <v>12.5</v>
      </c>
      <c r="L713" s="2" t="s">
        <v>287</v>
      </c>
      <c r="M713" s="33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314</v>
      </c>
      <c r="Q713" s="2" t="s">
        <v>320</v>
      </c>
      <c r="R713">
        <v>47</v>
      </c>
      <c r="S713" s="2">
        <v>18</v>
      </c>
      <c r="T713" t="s">
        <v>288</v>
      </c>
      <c r="U713" t="s">
        <v>291</v>
      </c>
      <c r="V713" t="s">
        <v>292</v>
      </c>
      <c r="W713" s="32"/>
      <c r="X713" s="32"/>
      <c r="Y713" s="26"/>
      <c r="Z713" s="26"/>
      <c r="AA713" s="27">
        <f>IF(TA[[#This Row],[Work Start time on Fault]]="NA","",(TA[[#This Row],[Fault Acknowledgement Time ]]-TA[[#This Row],[Fault Time]])*24)</f>
        <v>0</v>
      </c>
      <c r="AB713" s="27">
        <f>(TA[[#This Row],[Work Start time on Fault]]-TA[[#This Row],[Fault Time]])*24</f>
        <v>0</v>
      </c>
      <c r="AC713" s="26">
        <f>(TA[[#This Row],[Work Completion time on fault]]-TA[[#This Row],[Fault Time]])*24</f>
        <v>0</v>
      </c>
      <c r="AD713" s="27">
        <f>IFERROR((TA[[#This Row],[Work Completion time on fault]]-TA[[#This Row],[Fault Time]])*24,"")</f>
        <v>0</v>
      </c>
      <c r="AE713" t="s">
        <v>319</v>
      </c>
      <c r="AF713" t="s">
        <v>247</v>
      </c>
      <c r="AG713" s="2"/>
      <c r="AH713" s="35">
        <f>1-COS(RADIANS(TA[[#This Row],[Avg. Target Angle during Fault Time (Radians)]]-TA[[#This Row],[Angle of affected equipment ]]))</f>
        <v>0.11705240714107301</v>
      </c>
      <c r="AI713" s="27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43">
        <f t="shared" si="50"/>
        <v>2026</v>
      </c>
      <c r="C714" s="116">
        <f t="shared" si="51"/>
        <v>2025</v>
      </c>
      <c r="D714" s="2" t="s">
        <v>155</v>
      </c>
      <c r="E714" s="2" t="s">
        <v>155</v>
      </c>
      <c r="F714" s="30">
        <v>45778</v>
      </c>
      <c r="G714" s="2">
        <f>DAY(EOMONTH(TA[[#This Row],[Month Year]],0))</f>
        <v>31</v>
      </c>
      <c r="H714" s="21">
        <v>45793</v>
      </c>
      <c r="I714" s="32">
        <f>IFERROR(VLOOKUP(TA[[#This Row],[Date]],Raw_Data[[Date]:[Sunset Time (POA&lt;20 W/m2)]],3,0),"")</f>
        <v>0.25138888888888888</v>
      </c>
      <c r="J714" s="32">
        <f>IFERROR(VLOOKUP(TA[[#This Row],[Date]],Raw_Data[[Date]:[Sunset Time (POA&lt;20 W/m2)]],4,0),"")</f>
        <v>0.77222222222222225</v>
      </c>
      <c r="K714" s="27">
        <f>IFERROR((TA[[#This Row],[Sunset Time (POA&lt;20 W/m2)]]-TA[[#This Row],[Sunrise Time (POA&gt;20 W/m2)]])*24,"")</f>
        <v>12.5</v>
      </c>
      <c r="L714" s="2" t="s">
        <v>287</v>
      </c>
      <c r="M714" s="33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321</v>
      </c>
      <c r="Q714" s="2" t="s">
        <v>314</v>
      </c>
      <c r="R714">
        <v>30</v>
      </c>
      <c r="S714" s="2">
        <v>57</v>
      </c>
      <c r="T714" t="s">
        <v>288</v>
      </c>
      <c r="U714" t="s">
        <v>291</v>
      </c>
      <c r="V714" t="s">
        <v>292</v>
      </c>
      <c r="W714" s="32"/>
      <c r="X714" s="32"/>
      <c r="Y714" s="26"/>
      <c r="Z714" s="26"/>
      <c r="AA714" s="27">
        <f>IF(TA[[#This Row],[Work Start time on Fault]]="NA","",(TA[[#This Row],[Fault Acknowledgement Time ]]-TA[[#This Row],[Fault Time]])*24)</f>
        <v>0</v>
      </c>
      <c r="AB714" s="27">
        <f>(TA[[#This Row],[Work Start time on Fault]]-TA[[#This Row],[Fault Time]])*24</f>
        <v>0</v>
      </c>
      <c r="AC714" s="26">
        <f>(TA[[#This Row],[Work Completion time on fault]]-TA[[#This Row],[Fault Time]])*24</f>
        <v>0</v>
      </c>
      <c r="AD714" s="27">
        <f>IFERROR((TA[[#This Row],[Work Completion time on fault]]-TA[[#This Row],[Fault Time]])*24,"")</f>
        <v>0</v>
      </c>
      <c r="AE714" t="s">
        <v>319</v>
      </c>
      <c r="AF714" t="s">
        <v>247</v>
      </c>
      <c r="AG714" s="2"/>
      <c r="AH714" s="35">
        <f>1-COS(RADIANS(TA[[#This Row],[Avg. Target Angle during Fault Time (Radians)]]-TA[[#This Row],[Angle of affected equipment ]]))</f>
        <v>0.11705240714107301</v>
      </c>
      <c r="AI714" s="27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43">
        <f t="shared" si="50"/>
        <v>2026</v>
      </c>
      <c r="C715" s="116">
        <f t="shared" si="51"/>
        <v>2025</v>
      </c>
      <c r="D715" s="2" t="s">
        <v>155</v>
      </c>
      <c r="E715" s="2" t="s">
        <v>155</v>
      </c>
      <c r="F715" s="30">
        <v>45778</v>
      </c>
      <c r="G715" s="2">
        <f>DAY(EOMONTH(TA[[#This Row],[Month Year]],0))</f>
        <v>31</v>
      </c>
      <c r="H715" s="21">
        <v>45793</v>
      </c>
      <c r="I715" s="32">
        <f>IFERROR(VLOOKUP(TA[[#This Row],[Date]],Raw_Data[[Date]:[Sunset Time (POA&lt;20 W/m2)]],3,0),"")</f>
        <v>0.25138888888888888</v>
      </c>
      <c r="J715" s="32">
        <f>IFERROR(VLOOKUP(TA[[#This Row],[Date]],Raw_Data[[Date]:[Sunset Time (POA&lt;20 W/m2)]],4,0),"")</f>
        <v>0.77222222222222225</v>
      </c>
      <c r="K715" s="27">
        <f>IFERROR((TA[[#This Row],[Sunset Time (POA&lt;20 W/m2)]]-TA[[#This Row],[Sunrise Time (POA&gt;20 W/m2)]])*24,"")</f>
        <v>12.5</v>
      </c>
      <c r="L715" s="2" t="s">
        <v>287</v>
      </c>
      <c r="M715" s="33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321</v>
      </c>
      <c r="Q715" s="2" t="s">
        <v>314</v>
      </c>
      <c r="R715">
        <v>31</v>
      </c>
      <c r="S715" s="2">
        <v>61</v>
      </c>
      <c r="T715" t="s">
        <v>288</v>
      </c>
      <c r="U715" t="s">
        <v>291</v>
      </c>
      <c r="V715" t="s">
        <v>292</v>
      </c>
      <c r="W715" s="32"/>
      <c r="X715" s="32"/>
      <c r="Y715" s="26"/>
      <c r="Z715" s="26"/>
      <c r="AA715" s="27">
        <f>IF(TA[[#This Row],[Work Start time on Fault]]="NA","",(TA[[#This Row],[Fault Acknowledgement Time ]]-TA[[#This Row],[Fault Time]])*24)</f>
        <v>0</v>
      </c>
      <c r="AB715" s="27">
        <f>(TA[[#This Row],[Work Start time on Fault]]-TA[[#This Row],[Fault Time]])*24</f>
        <v>0</v>
      </c>
      <c r="AC715" s="26">
        <f>(TA[[#This Row],[Work Completion time on fault]]-TA[[#This Row],[Fault Time]])*24</f>
        <v>0</v>
      </c>
      <c r="AD715" s="27">
        <f>IFERROR((TA[[#This Row],[Work Completion time on fault]]-TA[[#This Row],[Fault Time]])*24,"")</f>
        <v>0</v>
      </c>
      <c r="AE715" t="s">
        <v>319</v>
      </c>
      <c r="AF715" t="s">
        <v>247</v>
      </c>
      <c r="AG715" s="2"/>
      <c r="AH715" s="35">
        <f>1-COS(RADIANS(TA[[#This Row],[Avg. Target Angle during Fault Time (Radians)]]-TA[[#This Row],[Angle of affected equipment ]]))</f>
        <v>0.11705240714107301</v>
      </c>
      <c r="AI715" s="27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43">
        <f t="shared" si="50"/>
        <v>2026</v>
      </c>
      <c r="C716" s="116">
        <f t="shared" si="51"/>
        <v>2025</v>
      </c>
      <c r="D716" s="2" t="s">
        <v>155</v>
      </c>
      <c r="E716" s="2" t="s">
        <v>155</v>
      </c>
      <c r="F716" s="30">
        <v>45778</v>
      </c>
      <c r="G716" s="2">
        <f>DAY(EOMONTH(TA[[#This Row],[Month Year]],0))</f>
        <v>31</v>
      </c>
      <c r="H716" s="21">
        <v>45793</v>
      </c>
      <c r="I716" s="32">
        <f>IFERROR(VLOOKUP(TA[[#This Row],[Date]],Raw_Data[[Date]:[Sunset Time (POA&lt;20 W/m2)]],3,0),"")</f>
        <v>0.25138888888888888</v>
      </c>
      <c r="J716" s="32">
        <f>IFERROR(VLOOKUP(TA[[#This Row],[Date]],Raw_Data[[Date]:[Sunset Time (POA&lt;20 W/m2)]],4,0),"")</f>
        <v>0.77222222222222225</v>
      </c>
      <c r="K716" s="27">
        <f>IFERROR((TA[[#This Row],[Sunset Time (POA&lt;20 W/m2)]]-TA[[#This Row],[Sunrise Time (POA&gt;20 W/m2)]])*24,"")</f>
        <v>12.5</v>
      </c>
      <c r="L716" s="2" t="s">
        <v>303</v>
      </c>
      <c r="M716" s="33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321</v>
      </c>
      <c r="Q716" s="2" t="s">
        <v>314</v>
      </c>
      <c r="R716">
        <v>26</v>
      </c>
      <c r="S716" s="2">
        <v>37</v>
      </c>
      <c r="T716" t="s">
        <v>288</v>
      </c>
      <c r="U716" t="s">
        <v>291</v>
      </c>
      <c r="V716" t="s">
        <v>292</v>
      </c>
      <c r="W716" s="32"/>
      <c r="X716" s="32"/>
      <c r="Y716" s="26"/>
      <c r="Z716" s="26"/>
      <c r="AA716" s="27">
        <f>IF(TA[[#This Row],[Work Start time on Fault]]="NA","",(TA[[#This Row],[Fault Acknowledgement Time ]]-TA[[#This Row],[Fault Time]])*24)</f>
        <v>0</v>
      </c>
      <c r="AB716" s="27">
        <f>(TA[[#This Row],[Work Start time on Fault]]-TA[[#This Row],[Fault Time]])*24</f>
        <v>0</v>
      </c>
      <c r="AC716" s="26">
        <f>(TA[[#This Row],[Work Completion time on fault]]-TA[[#This Row],[Fault Time]])*24</f>
        <v>0</v>
      </c>
      <c r="AD716" s="27">
        <f>IFERROR((TA[[#This Row],[Work Completion time on fault]]-TA[[#This Row],[Fault Time]])*24,"")</f>
        <v>0</v>
      </c>
      <c r="AE716" t="s">
        <v>319</v>
      </c>
      <c r="AF716" t="s">
        <v>247</v>
      </c>
      <c r="AG716" s="2"/>
      <c r="AH716" s="35">
        <f>1-COS(RADIANS(TA[[#This Row],[Avg. Target Angle during Fault Time (Radians)]]-TA[[#This Row],[Angle of affected equipment ]]))</f>
        <v>0.11705240714107301</v>
      </c>
      <c r="AI716" s="27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43">
        <f t="shared" si="50"/>
        <v>2026</v>
      </c>
      <c r="C717" s="116">
        <f t="shared" si="51"/>
        <v>2025</v>
      </c>
      <c r="D717" s="2" t="s">
        <v>155</v>
      </c>
      <c r="E717" s="2" t="s">
        <v>155</v>
      </c>
      <c r="F717" s="30">
        <v>45778</v>
      </c>
      <c r="G717" s="2">
        <f>DAY(EOMONTH(TA[[#This Row],[Month Year]],0))</f>
        <v>31</v>
      </c>
      <c r="H717" s="21">
        <v>45793</v>
      </c>
      <c r="I717" s="32">
        <f>IFERROR(VLOOKUP(TA[[#This Row],[Date]],Raw_Data[[Date]:[Sunset Time (POA&lt;20 W/m2)]],3,0),"")</f>
        <v>0.25138888888888888</v>
      </c>
      <c r="J717" s="32">
        <f>IFERROR(VLOOKUP(TA[[#This Row],[Date]],Raw_Data[[Date]:[Sunset Time (POA&lt;20 W/m2)]],4,0),"")</f>
        <v>0.77222222222222225</v>
      </c>
      <c r="K717" s="27">
        <f>IFERROR((TA[[#This Row],[Sunset Time (POA&lt;20 W/m2)]]-TA[[#This Row],[Sunrise Time (POA&gt;20 W/m2)]])*24,"")</f>
        <v>12.5</v>
      </c>
      <c r="L717" s="2" t="s">
        <v>303</v>
      </c>
      <c r="M717" s="33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321</v>
      </c>
      <c r="Q717" s="2" t="s">
        <v>314</v>
      </c>
      <c r="R717">
        <v>27</v>
      </c>
      <c r="S717" s="2">
        <v>42</v>
      </c>
      <c r="T717" t="s">
        <v>288</v>
      </c>
      <c r="U717" t="s">
        <v>291</v>
      </c>
      <c r="V717" t="s">
        <v>292</v>
      </c>
      <c r="W717" s="32">
        <f>IFERROR(VLOOKUP(TA[[#This Row],[Date]],Raw_Data[[Date]:[Sunset Time (POA&lt;20 W/m2)]],3,0),"")</f>
        <v>0.25138888888888888</v>
      </c>
      <c r="X717" s="32">
        <f>IFERROR(VLOOKUP(TA[[#This Row],[Date]],Raw_Data[[Date]:[Sunset Time (POA&lt;20 W/m2)]],3,0),"")</f>
        <v>0.25138888888888888</v>
      </c>
      <c r="Y717" s="26"/>
      <c r="Z717" s="26">
        <v>0.76041666666666663</v>
      </c>
      <c r="AA717" s="27">
        <f>IF(TA[[#This Row],[Work Start time on Fault]]="NA","",(TA[[#This Row],[Fault Acknowledgement Time ]]-TA[[#This Row],[Fault Time]])*24)</f>
        <v>0</v>
      </c>
      <c r="AB717" s="27">
        <f>(TA[[#This Row],[Work Start time on Fault]]-TA[[#This Row],[Fault Time]])*24</f>
        <v>-6.0333333333333332</v>
      </c>
      <c r="AC717" s="26">
        <f>(TA[[#This Row],[Work Completion time on fault]]-TA[[#This Row],[Fault Time]])*24</f>
        <v>12.216666666666665</v>
      </c>
      <c r="AD717" s="27">
        <f>IFERROR((TA[[#This Row],[Work Completion time on fault]]-TA[[#This Row],[Fault Time]])*24,"")</f>
        <v>12.216666666666665</v>
      </c>
      <c r="AE717" t="s">
        <v>300</v>
      </c>
      <c r="AF717" t="s">
        <v>247</v>
      </c>
      <c r="AG717" s="2"/>
      <c r="AH717" s="35">
        <f>1-COS(RADIANS(TA[[#This Row],[Avg. Target Angle during Fault Time (Radians)]]-TA[[#This Row],[Angle of affected equipment ]]))</f>
        <v>0.11705240714107301</v>
      </c>
      <c r="AI717" s="27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43">
        <f t="shared" ref="B718:B731" si="52">YEAR(H718)+IF(MONTH(H718)&gt;=4,1,0)</f>
        <v>2026</v>
      </c>
      <c r="C718" s="116">
        <f t="shared" ref="C718:C731" si="53">YEAR(H718)</f>
        <v>2025</v>
      </c>
      <c r="D718" s="2" t="s">
        <v>155</v>
      </c>
      <c r="E718" s="2" t="s">
        <v>155</v>
      </c>
      <c r="F718" s="30">
        <v>45778</v>
      </c>
      <c r="G718" s="2">
        <f>DAY(EOMONTH(TA[[#This Row],[Month Year]],0))</f>
        <v>31</v>
      </c>
      <c r="H718" s="21">
        <v>45794</v>
      </c>
      <c r="I718" s="32">
        <f>IFERROR(VLOOKUP(TA[[#This Row],[Date]],Raw_Data[[Date]:[Sunset Time (POA&lt;20 W/m2)]],3,0),"")</f>
        <v>0.25138888888888888</v>
      </c>
      <c r="J718" s="32">
        <f>IFERROR(VLOOKUP(TA[[#This Row],[Date]],Raw_Data[[Date]:[Sunset Time (POA&lt;20 W/m2)]],4,0),"")</f>
        <v>0.76041666666666663</v>
      </c>
      <c r="K718" s="27">
        <f>IFERROR((TA[[#This Row],[Sunset Time (POA&lt;20 W/m2)]]-TA[[#This Row],[Sunrise Time (POA&gt;20 W/m2)]])*24,"")</f>
        <v>12.216666666666665</v>
      </c>
      <c r="L718" s="2" t="s">
        <v>285</v>
      </c>
      <c r="M718" s="33">
        <f>IFERROR(VLOOKUP(TA[[#This Row],[Affected Equipment]],'Basic Data'!$I$2:$K$40,3,0),"")</f>
        <v>1.7241379310344799E-3</v>
      </c>
      <c r="N718">
        <v>-28</v>
      </c>
      <c r="O718" t="s">
        <v>135</v>
      </c>
      <c r="P718" s="114" t="s">
        <v>309</v>
      </c>
      <c r="Q718" s="113" t="s">
        <v>309</v>
      </c>
      <c r="R718">
        <v>130</v>
      </c>
      <c r="S718" s="2">
        <v>37</v>
      </c>
      <c r="T718" t="s">
        <v>286</v>
      </c>
      <c r="U718" t="s">
        <v>291</v>
      </c>
      <c r="V718" t="s">
        <v>289</v>
      </c>
      <c r="W718" s="32"/>
      <c r="X718" s="32"/>
      <c r="Y718" s="26"/>
      <c r="Z718" s="26"/>
      <c r="AA718" s="27">
        <f>IF(TA[[#This Row],[Work Start time on Fault]]="NA","",(TA[[#This Row],[Fault Acknowledgement Time ]]-TA[[#This Row],[Fault Time]])*24)</f>
        <v>0</v>
      </c>
      <c r="AB718" s="27">
        <f>(TA[[#This Row],[Work Start time on Fault]]-TA[[#This Row],[Fault Time]])*24</f>
        <v>0</v>
      </c>
      <c r="AC718" s="26">
        <f>(TA[[#This Row],[Work Completion time on fault]]-TA[[#This Row],[Fault Time]])*24</f>
        <v>0</v>
      </c>
      <c r="AD718" s="27">
        <f>IFERROR((TA[[#This Row],[Work Completion time on fault]]-TA[[#This Row],[Fault Time]])*24,"")</f>
        <v>0</v>
      </c>
      <c r="AE718" t="s">
        <v>319</v>
      </c>
      <c r="AF718" t="s">
        <v>247</v>
      </c>
      <c r="AG718" s="2"/>
      <c r="AH718" s="35">
        <f>1-COS(RADIANS(TA[[#This Row],[Avg. Target Angle during Fault Time (Radians)]]-TA[[#This Row],[Angle of affected equipment ]]))</f>
        <v>0.11705240714107301</v>
      </c>
      <c r="AI718" s="27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43">
        <f t="shared" si="52"/>
        <v>2026</v>
      </c>
      <c r="C719" s="116">
        <f t="shared" si="53"/>
        <v>2025</v>
      </c>
      <c r="D719" s="2" t="s">
        <v>155</v>
      </c>
      <c r="E719" s="2" t="s">
        <v>155</v>
      </c>
      <c r="F719" s="30">
        <v>45778</v>
      </c>
      <c r="G719" s="2">
        <f>DAY(EOMONTH(TA[[#This Row],[Month Year]],0))</f>
        <v>31</v>
      </c>
      <c r="H719" s="21">
        <v>45794</v>
      </c>
      <c r="I719" s="32">
        <f>IFERROR(VLOOKUP(TA[[#This Row],[Date]],Raw_Data[[Date]:[Sunset Time (POA&lt;20 W/m2)]],3,0),"")</f>
        <v>0.25138888888888888</v>
      </c>
      <c r="J719" s="32">
        <f>IFERROR(VLOOKUP(TA[[#This Row],[Date]],Raw_Data[[Date]:[Sunset Time (POA&lt;20 W/m2)]],4,0),"")</f>
        <v>0.76041666666666663</v>
      </c>
      <c r="K719" s="27">
        <f>IFERROR((TA[[#This Row],[Sunset Time (POA&lt;20 W/m2)]]-TA[[#This Row],[Sunrise Time (POA&gt;20 W/m2)]])*24,"")</f>
        <v>12.216666666666665</v>
      </c>
      <c r="L719" s="2" t="s">
        <v>285</v>
      </c>
      <c r="M719" s="33">
        <f>IFERROR(VLOOKUP(TA[[#This Row],[Affected Equipment]],'Basic Data'!$I$2:$K$40,3,0),"")</f>
        <v>1.7241379310344799E-3</v>
      </c>
      <c r="N719">
        <v>-28</v>
      </c>
      <c r="O719" t="s">
        <v>135</v>
      </c>
      <c r="P719" s="114" t="s">
        <v>309</v>
      </c>
      <c r="Q719" s="113" t="s">
        <v>309</v>
      </c>
      <c r="R719">
        <v>131</v>
      </c>
      <c r="S719" s="2">
        <v>38</v>
      </c>
      <c r="T719" t="s">
        <v>286</v>
      </c>
      <c r="U719" t="s">
        <v>291</v>
      </c>
      <c r="V719" t="s">
        <v>289</v>
      </c>
      <c r="W719" s="32"/>
      <c r="X719" s="32"/>
      <c r="Y719" s="26"/>
      <c r="Z719" s="26"/>
      <c r="AA719" s="27">
        <f>IF(TA[[#This Row],[Work Start time on Fault]]="NA","",(TA[[#This Row],[Fault Acknowledgement Time ]]-TA[[#This Row],[Fault Time]])*24)</f>
        <v>0</v>
      </c>
      <c r="AB719" s="27">
        <f>(TA[[#This Row],[Work Start time on Fault]]-TA[[#This Row],[Fault Time]])*24</f>
        <v>0</v>
      </c>
      <c r="AC719" s="26">
        <f>(TA[[#This Row],[Work Completion time on fault]]-TA[[#This Row],[Fault Time]])*24</f>
        <v>0</v>
      </c>
      <c r="AD719" s="27">
        <f>IFERROR((TA[[#This Row],[Work Completion time on fault]]-TA[[#This Row],[Fault Time]])*24,"")</f>
        <v>0</v>
      </c>
      <c r="AE719" t="s">
        <v>319</v>
      </c>
      <c r="AF719" t="s">
        <v>247</v>
      </c>
      <c r="AG719" s="2"/>
      <c r="AH719" s="35">
        <f>1-COS(RADIANS(TA[[#This Row],[Avg. Target Angle during Fault Time (Radians)]]-TA[[#This Row],[Angle of affected equipment ]]))</f>
        <v>0.11705240714107301</v>
      </c>
      <c r="AI719" s="27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43">
        <f t="shared" si="52"/>
        <v>2026</v>
      </c>
      <c r="C720" s="116">
        <f t="shared" si="53"/>
        <v>2025</v>
      </c>
      <c r="D720" s="2" t="s">
        <v>155</v>
      </c>
      <c r="E720" s="2" t="s">
        <v>155</v>
      </c>
      <c r="F720" s="30">
        <v>45778</v>
      </c>
      <c r="G720" s="2">
        <f>DAY(EOMONTH(TA[[#This Row],[Month Year]],0))</f>
        <v>31</v>
      </c>
      <c r="H720" s="21">
        <v>45794</v>
      </c>
      <c r="I720" s="32">
        <f>IFERROR(VLOOKUP(TA[[#This Row],[Date]],Raw_Data[[Date]:[Sunset Time (POA&lt;20 W/m2)]],3,0),"")</f>
        <v>0.25138888888888888</v>
      </c>
      <c r="J720" s="32">
        <f>IFERROR(VLOOKUP(TA[[#This Row],[Date]],Raw_Data[[Date]:[Sunset Time (POA&lt;20 W/m2)]],4,0),"")</f>
        <v>0.76041666666666663</v>
      </c>
      <c r="K720" s="27">
        <f>IFERROR((TA[[#This Row],[Sunset Time (POA&lt;20 W/m2)]]-TA[[#This Row],[Sunrise Time (POA&gt;20 W/m2)]])*24,"")</f>
        <v>12.216666666666665</v>
      </c>
      <c r="L720" s="2" t="s">
        <v>285</v>
      </c>
      <c r="M720" s="33">
        <f>IFERROR(VLOOKUP(TA[[#This Row],[Affected Equipment]],'Basic Data'!$I$2:$K$40,3,0),"")</f>
        <v>1.7241379310344799E-3</v>
      </c>
      <c r="N720">
        <v>-28</v>
      </c>
      <c r="O720" t="s">
        <v>135</v>
      </c>
      <c r="P720" s="114" t="s">
        <v>309</v>
      </c>
      <c r="Q720" s="113" t="s">
        <v>309</v>
      </c>
      <c r="R720">
        <v>131</v>
      </c>
      <c r="S720" s="2">
        <v>39</v>
      </c>
      <c r="T720" t="s">
        <v>286</v>
      </c>
      <c r="U720" t="s">
        <v>291</v>
      </c>
      <c r="V720" t="s">
        <v>289</v>
      </c>
      <c r="W720" s="32"/>
      <c r="X720" s="32"/>
      <c r="Y720" s="26"/>
      <c r="Z720" s="26"/>
      <c r="AA720" s="27">
        <f>IF(TA[[#This Row],[Work Start time on Fault]]="NA","",(TA[[#This Row],[Fault Acknowledgement Time ]]-TA[[#This Row],[Fault Time]])*24)</f>
        <v>0</v>
      </c>
      <c r="AB720" s="27">
        <f>(TA[[#This Row],[Work Start time on Fault]]-TA[[#This Row],[Fault Time]])*24</f>
        <v>0</v>
      </c>
      <c r="AC720" s="26">
        <f>(TA[[#This Row],[Work Completion time on fault]]-TA[[#This Row],[Fault Time]])*24</f>
        <v>0</v>
      </c>
      <c r="AD720" s="27">
        <f>IFERROR((TA[[#This Row],[Work Completion time on fault]]-TA[[#This Row],[Fault Time]])*24,"")</f>
        <v>0</v>
      </c>
      <c r="AE720" t="s">
        <v>319</v>
      </c>
      <c r="AF720" t="s">
        <v>247</v>
      </c>
      <c r="AG720" s="2"/>
      <c r="AH720" s="35">
        <f>1-COS(RADIANS(TA[[#This Row],[Avg. Target Angle during Fault Time (Radians)]]-TA[[#This Row],[Angle of affected equipment ]]))</f>
        <v>0.11705240714107301</v>
      </c>
      <c r="AI720" s="27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43">
        <f t="shared" si="52"/>
        <v>2026</v>
      </c>
      <c r="C721" s="116">
        <f t="shared" si="53"/>
        <v>2025</v>
      </c>
      <c r="D721" s="2" t="s">
        <v>155</v>
      </c>
      <c r="E721" s="2" t="s">
        <v>155</v>
      </c>
      <c r="F721" s="30">
        <v>45778</v>
      </c>
      <c r="G721" s="2">
        <f>DAY(EOMONTH(TA[[#This Row],[Month Year]],0))</f>
        <v>31</v>
      </c>
      <c r="H721" s="21">
        <v>45794</v>
      </c>
      <c r="I721" s="32">
        <f>IFERROR(VLOOKUP(TA[[#This Row],[Date]],Raw_Data[[Date]:[Sunset Time (POA&lt;20 W/m2)]],3,0),"")</f>
        <v>0.25138888888888888</v>
      </c>
      <c r="J721" s="32">
        <f>IFERROR(VLOOKUP(TA[[#This Row],[Date]],Raw_Data[[Date]:[Sunset Time (POA&lt;20 W/m2)]],4,0),"")</f>
        <v>0.76041666666666663</v>
      </c>
      <c r="K721" s="27">
        <f>IFERROR((TA[[#This Row],[Sunset Time (POA&lt;20 W/m2)]]-TA[[#This Row],[Sunrise Time (POA&gt;20 W/m2)]])*24,"")</f>
        <v>12.216666666666665</v>
      </c>
      <c r="L721" s="2" t="s">
        <v>287</v>
      </c>
      <c r="M721" s="33">
        <f>IFERROR(VLOOKUP(TA[[#This Row],[Affected Equipment]],'Basic Data'!$I$2:$K$40,3,0),"")</f>
        <v>8.6206896551724102E-3</v>
      </c>
      <c r="N721">
        <v>-28</v>
      </c>
      <c r="O721" t="s">
        <v>135</v>
      </c>
      <c r="P721" s="114" t="s">
        <v>309</v>
      </c>
      <c r="Q721" s="2" t="s">
        <v>312</v>
      </c>
      <c r="R721">
        <v>133</v>
      </c>
      <c r="S721" s="2">
        <v>26</v>
      </c>
      <c r="T721" t="s">
        <v>288</v>
      </c>
      <c r="U721" t="s">
        <v>291</v>
      </c>
      <c r="V721" t="s">
        <v>305</v>
      </c>
      <c r="W721" s="32">
        <f>IFERROR(VLOOKUP(TA[[#This Row],[Date]],Raw_Data[[Date]:[Sunset Time (POA&lt;20 W/m2)]],3,0),"")</f>
        <v>0.25138888888888888</v>
      </c>
      <c r="X721" s="32">
        <f>IFERROR(VLOOKUP(TA[[#This Row],[Date]],Raw_Data[[Date]:[Sunset Time (POA&lt;20 W/m2)]],3,0),"")</f>
        <v>0.25138888888888888</v>
      </c>
      <c r="Y721" s="26"/>
      <c r="Z721" s="26">
        <v>0.76041666666666663</v>
      </c>
      <c r="AA721" s="27">
        <f>IF(TA[[#This Row],[Work Start time on Fault]]="NA","",(TA[[#This Row],[Fault Acknowledgement Time ]]-TA[[#This Row],[Fault Time]])*24)</f>
        <v>0</v>
      </c>
      <c r="AB721" s="27">
        <f>(TA[[#This Row],[Work Start time on Fault]]-TA[[#This Row],[Fault Time]])*24</f>
        <v>-6.0333333333333332</v>
      </c>
      <c r="AC721" s="26">
        <f>(TA[[#This Row],[Work Completion time on fault]]-TA[[#This Row],[Fault Time]])*24</f>
        <v>12.216666666666665</v>
      </c>
      <c r="AD721" s="27">
        <f>IFERROR((TA[[#This Row],[Work Completion time on fault]]-TA[[#This Row],[Fault Time]])*24,"")</f>
        <v>12.216666666666665</v>
      </c>
      <c r="AE721" t="s">
        <v>319</v>
      </c>
      <c r="AF721" t="s">
        <v>247</v>
      </c>
      <c r="AG721" s="2"/>
      <c r="AH721" s="35">
        <f>1-COS(RADIANS(TA[[#This Row],[Avg. Target Angle during Fault Time (Radians)]]-TA[[#This Row],[Angle of affected equipment ]]))</f>
        <v>0.11705240714107301</v>
      </c>
      <c r="AI721" s="27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43">
        <f t="shared" si="52"/>
        <v>2026</v>
      </c>
      <c r="C722" s="116">
        <f t="shared" si="53"/>
        <v>2025</v>
      </c>
      <c r="D722" s="2" t="s">
        <v>155</v>
      </c>
      <c r="E722" s="2" t="s">
        <v>155</v>
      </c>
      <c r="F722" s="30">
        <v>45778</v>
      </c>
      <c r="G722" s="2">
        <f>DAY(EOMONTH(TA[[#This Row],[Month Year]],0))</f>
        <v>31</v>
      </c>
      <c r="H722" s="21">
        <v>45794</v>
      </c>
      <c r="I722" s="32">
        <f>IFERROR(VLOOKUP(TA[[#This Row],[Date]],Raw_Data[[Date]:[Sunset Time (POA&lt;20 W/m2)]],3,0),"")</f>
        <v>0.25138888888888888</v>
      </c>
      <c r="J722" s="32">
        <f>IFERROR(VLOOKUP(TA[[#This Row],[Date]],Raw_Data[[Date]:[Sunset Time (POA&lt;20 W/m2)]],4,0),"")</f>
        <v>0.76041666666666663</v>
      </c>
      <c r="K722" s="27">
        <f>IFERROR((TA[[#This Row],[Sunset Time (POA&lt;20 W/m2)]]-TA[[#This Row],[Sunrise Time (POA&gt;20 W/m2)]])*24,"")</f>
        <v>12.216666666666665</v>
      </c>
      <c r="L722" s="2" t="s">
        <v>285</v>
      </c>
      <c r="M722" s="33">
        <f>IFERROR(VLOOKUP(TA[[#This Row],[Affected Equipment]],'Basic Data'!$I$2:$K$40,3,0),"")</f>
        <v>1.7241379310344799E-3</v>
      </c>
      <c r="N722">
        <v>-28</v>
      </c>
      <c r="O722" t="s">
        <v>133</v>
      </c>
      <c r="P722" s="114" t="s">
        <v>307</v>
      </c>
      <c r="Q722" s="113" t="s">
        <v>308</v>
      </c>
      <c r="R722">
        <v>7</v>
      </c>
      <c r="S722" s="2">
        <v>32</v>
      </c>
      <c r="T722" t="s">
        <v>286</v>
      </c>
      <c r="U722" t="s">
        <v>291</v>
      </c>
      <c r="V722" t="s">
        <v>289</v>
      </c>
      <c r="W722" s="32"/>
      <c r="X722" s="32"/>
      <c r="Y722" s="26"/>
      <c r="Z722" s="26"/>
      <c r="AA722" s="27">
        <f>IF(TA[[#This Row],[Work Start time on Fault]]="NA","",(TA[[#This Row],[Fault Acknowledgement Time ]]-TA[[#This Row],[Fault Time]])*24)</f>
        <v>0</v>
      </c>
      <c r="AB722" s="27">
        <f>(TA[[#This Row],[Work Start time on Fault]]-TA[[#This Row],[Fault Time]])*24</f>
        <v>0</v>
      </c>
      <c r="AC722" s="26">
        <f>(TA[[#This Row],[Work Completion time on fault]]-TA[[#This Row],[Fault Time]])*24</f>
        <v>0</v>
      </c>
      <c r="AD722" s="27">
        <f>IFERROR((TA[[#This Row],[Work Completion time on fault]]-TA[[#This Row],[Fault Time]])*24,"")</f>
        <v>0</v>
      </c>
      <c r="AE722" t="s">
        <v>319</v>
      </c>
      <c r="AF722" t="s">
        <v>247</v>
      </c>
      <c r="AG722" s="2"/>
      <c r="AH722" s="35">
        <f>1-COS(RADIANS(TA[[#This Row],[Avg. Target Angle during Fault Time (Radians)]]-TA[[#This Row],[Angle of affected equipment ]]))</f>
        <v>0.11705240714107301</v>
      </c>
      <c r="AI722" s="27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43">
        <f t="shared" si="52"/>
        <v>2026</v>
      </c>
      <c r="C723" s="116">
        <f t="shared" si="53"/>
        <v>2025</v>
      </c>
      <c r="D723" s="2" t="s">
        <v>155</v>
      </c>
      <c r="E723" s="2" t="s">
        <v>155</v>
      </c>
      <c r="F723" s="30">
        <v>45778</v>
      </c>
      <c r="G723" s="2">
        <f>DAY(EOMONTH(TA[[#This Row],[Month Year]],0))</f>
        <v>31</v>
      </c>
      <c r="H723" s="21">
        <v>45794</v>
      </c>
      <c r="I723" s="32">
        <f>IFERROR(VLOOKUP(TA[[#This Row],[Date]],Raw_Data[[Date]:[Sunset Time (POA&lt;20 W/m2)]],3,0),"")</f>
        <v>0.25138888888888888</v>
      </c>
      <c r="J723" s="32">
        <f>IFERROR(VLOOKUP(TA[[#This Row],[Date]],Raw_Data[[Date]:[Sunset Time (POA&lt;20 W/m2)]],4,0),"")</f>
        <v>0.76041666666666663</v>
      </c>
      <c r="K723" s="27">
        <f>IFERROR((TA[[#This Row],[Sunset Time (POA&lt;20 W/m2)]]-TA[[#This Row],[Sunrise Time (POA&gt;20 W/m2)]])*24,"")</f>
        <v>12.216666666666665</v>
      </c>
      <c r="L723" s="2" t="s">
        <v>285</v>
      </c>
      <c r="M723" s="33">
        <f>IFERROR(VLOOKUP(TA[[#This Row],[Affected Equipment]],'Basic Data'!$I$2:$K$40,3,0),"")</f>
        <v>1.7241379310344799E-3</v>
      </c>
      <c r="N723">
        <v>-28</v>
      </c>
      <c r="O723" t="s">
        <v>137</v>
      </c>
      <c r="P723" s="114" t="s">
        <v>306</v>
      </c>
      <c r="Q723" s="113" t="s">
        <v>310</v>
      </c>
      <c r="R723">
        <v>166</v>
      </c>
      <c r="S723" s="2">
        <v>91</v>
      </c>
      <c r="T723" t="s">
        <v>286</v>
      </c>
      <c r="U723" t="s">
        <v>291</v>
      </c>
      <c r="V723" t="s">
        <v>289</v>
      </c>
      <c r="W723" s="32"/>
      <c r="X723" s="32"/>
      <c r="Y723" s="26"/>
      <c r="Z723" s="26"/>
      <c r="AA723" s="27">
        <f>IF(TA[[#This Row],[Work Start time on Fault]]="NA","",(TA[[#This Row],[Fault Acknowledgement Time ]]-TA[[#This Row],[Fault Time]])*24)</f>
        <v>0</v>
      </c>
      <c r="AB723" s="27">
        <f>(TA[[#This Row],[Work Start time on Fault]]-TA[[#This Row],[Fault Time]])*24</f>
        <v>0</v>
      </c>
      <c r="AC723" s="26">
        <f>(TA[[#This Row],[Work Completion time on fault]]-TA[[#This Row],[Fault Time]])*24</f>
        <v>0</v>
      </c>
      <c r="AD723" s="27">
        <f>IFERROR((TA[[#This Row],[Work Completion time on fault]]-TA[[#This Row],[Fault Time]])*24,"")</f>
        <v>0</v>
      </c>
      <c r="AE723" t="s">
        <v>319</v>
      </c>
      <c r="AF723" t="s">
        <v>247</v>
      </c>
      <c r="AG723" s="2"/>
      <c r="AH723" s="35">
        <f>1-COS(RADIANS(TA[[#This Row],[Avg. Target Angle during Fault Time (Radians)]]-TA[[#This Row],[Angle of affected equipment ]]))</f>
        <v>0.11705240714107301</v>
      </c>
      <c r="AI723" s="27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43">
        <f t="shared" si="52"/>
        <v>2026</v>
      </c>
      <c r="C724" s="116">
        <f t="shared" si="53"/>
        <v>2025</v>
      </c>
      <c r="D724" s="2" t="s">
        <v>155</v>
      </c>
      <c r="E724" s="2" t="s">
        <v>155</v>
      </c>
      <c r="F724" s="30">
        <v>45778</v>
      </c>
      <c r="G724" s="2">
        <f>DAY(EOMONTH(TA[[#This Row],[Month Year]],0))</f>
        <v>31</v>
      </c>
      <c r="H724" s="21">
        <v>45794</v>
      </c>
      <c r="I724" s="32">
        <f>IFERROR(VLOOKUP(TA[[#This Row],[Date]],Raw_Data[[Date]:[Sunset Time (POA&lt;20 W/m2)]],3,0),"")</f>
        <v>0.25138888888888888</v>
      </c>
      <c r="J724" s="32">
        <f>IFERROR(VLOOKUP(TA[[#This Row],[Date]],Raw_Data[[Date]:[Sunset Time (POA&lt;20 W/m2)]],4,0),"")</f>
        <v>0.76041666666666663</v>
      </c>
      <c r="K724" s="27">
        <f>IFERROR((TA[[#This Row],[Sunset Time (POA&lt;20 W/m2)]]-TA[[#This Row],[Sunrise Time (POA&gt;20 W/m2)]])*24,"")</f>
        <v>12.216666666666665</v>
      </c>
      <c r="L724" s="2" t="s">
        <v>285</v>
      </c>
      <c r="M724" s="33">
        <f>IFERROR(VLOOKUP(TA[[#This Row],[Affected Equipment]],'Basic Data'!$I$2:$K$40,3,0),"")</f>
        <v>1.7241379310344799E-3</v>
      </c>
      <c r="N724">
        <v>-28</v>
      </c>
      <c r="O724" t="s">
        <v>133</v>
      </c>
      <c r="P724" s="114" t="s">
        <v>307</v>
      </c>
      <c r="Q724" s="113" t="s">
        <v>307</v>
      </c>
      <c r="R724">
        <v>117</v>
      </c>
      <c r="S724" s="2">
        <v>20</v>
      </c>
      <c r="T724" t="s">
        <v>286</v>
      </c>
      <c r="U724" t="s">
        <v>291</v>
      </c>
      <c r="V724" t="s">
        <v>289</v>
      </c>
      <c r="W724" s="32"/>
      <c r="X724" s="32"/>
      <c r="Y724" s="26"/>
      <c r="Z724" s="26"/>
      <c r="AA724" s="27">
        <f>IF(TA[[#This Row],[Work Start time on Fault]]="NA","",(TA[[#This Row],[Fault Acknowledgement Time ]]-TA[[#This Row],[Fault Time]])*24)</f>
        <v>0</v>
      </c>
      <c r="AB724" s="27">
        <f>(TA[[#This Row],[Work Start time on Fault]]-TA[[#This Row],[Fault Time]])*24</f>
        <v>0</v>
      </c>
      <c r="AC724" s="26">
        <f>(TA[[#This Row],[Work Completion time on fault]]-TA[[#This Row],[Fault Time]])*24</f>
        <v>0</v>
      </c>
      <c r="AD724" s="27">
        <f>IFERROR((TA[[#This Row],[Work Completion time on fault]]-TA[[#This Row],[Fault Time]])*24,"")</f>
        <v>0</v>
      </c>
      <c r="AE724" t="s">
        <v>319</v>
      </c>
      <c r="AF724" t="s">
        <v>247</v>
      </c>
      <c r="AG724" s="2"/>
      <c r="AH724" s="35">
        <f>1-COS(RADIANS(TA[[#This Row],[Avg. Target Angle during Fault Time (Radians)]]-TA[[#This Row],[Angle of affected equipment ]]))</f>
        <v>0.11705240714107301</v>
      </c>
      <c r="AI724" s="27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43">
        <f t="shared" si="52"/>
        <v>2026</v>
      </c>
      <c r="C725" s="116">
        <f t="shared" si="53"/>
        <v>2025</v>
      </c>
      <c r="D725" s="2" t="s">
        <v>155</v>
      </c>
      <c r="E725" s="2" t="s">
        <v>155</v>
      </c>
      <c r="F725" s="30">
        <v>45778</v>
      </c>
      <c r="G725" s="2">
        <f>DAY(EOMONTH(TA[[#This Row],[Month Year]],0))</f>
        <v>31</v>
      </c>
      <c r="H725" s="21">
        <v>45794</v>
      </c>
      <c r="I725" s="32">
        <f>IFERROR(VLOOKUP(TA[[#This Row],[Date]],Raw_Data[[Date]:[Sunset Time (POA&lt;20 W/m2)]],3,0),"")</f>
        <v>0.25138888888888888</v>
      </c>
      <c r="J725" s="32">
        <f>IFERROR(VLOOKUP(TA[[#This Row],[Date]],Raw_Data[[Date]:[Sunset Time (POA&lt;20 W/m2)]],4,0),"")</f>
        <v>0.76041666666666663</v>
      </c>
      <c r="K725" s="27">
        <f>IFERROR((TA[[#This Row],[Sunset Time (POA&lt;20 W/m2)]]-TA[[#This Row],[Sunrise Time (POA&gt;20 W/m2)]])*24,"")</f>
        <v>12.216666666666665</v>
      </c>
      <c r="L725" s="2" t="s">
        <v>285</v>
      </c>
      <c r="M725" s="33">
        <f>IFERROR(VLOOKUP(TA[[#This Row],[Affected Equipment]],'Basic Data'!$I$2:$K$40,3,0),"")</f>
        <v>1.7241379310344799E-3</v>
      </c>
      <c r="N725">
        <v>-28</v>
      </c>
      <c r="O725" t="s">
        <v>133</v>
      </c>
      <c r="P725" s="114" t="s">
        <v>307</v>
      </c>
      <c r="Q725" s="113" t="s">
        <v>307</v>
      </c>
      <c r="R725">
        <v>118</v>
      </c>
      <c r="S725" s="2">
        <v>22</v>
      </c>
      <c r="T725" t="s">
        <v>286</v>
      </c>
      <c r="U725" t="s">
        <v>291</v>
      </c>
      <c r="V725" t="s">
        <v>289</v>
      </c>
      <c r="W725" s="32"/>
      <c r="X725" s="32"/>
      <c r="Y725" s="26"/>
      <c r="Z725" s="26"/>
      <c r="AA725" s="27">
        <f>IF(TA[[#This Row],[Work Start time on Fault]]="NA","",(TA[[#This Row],[Fault Acknowledgement Time ]]-TA[[#This Row],[Fault Time]])*24)</f>
        <v>0</v>
      </c>
      <c r="AB725" s="27">
        <f>(TA[[#This Row],[Work Start time on Fault]]-TA[[#This Row],[Fault Time]])*24</f>
        <v>0</v>
      </c>
      <c r="AC725" s="26">
        <f>(TA[[#This Row],[Work Completion time on fault]]-TA[[#This Row],[Fault Time]])*24</f>
        <v>0</v>
      </c>
      <c r="AD725" s="27">
        <f>IFERROR((TA[[#This Row],[Work Completion time on fault]]-TA[[#This Row],[Fault Time]])*24,"")</f>
        <v>0</v>
      </c>
      <c r="AE725" t="s">
        <v>319</v>
      </c>
      <c r="AF725" t="s">
        <v>247</v>
      </c>
      <c r="AG725" s="2"/>
      <c r="AH725" s="35">
        <f>1-COS(RADIANS(TA[[#This Row],[Avg. Target Angle during Fault Time (Radians)]]-TA[[#This Row],[Angle of affected equipment ]]))</f>
        <v>0.11705240714107301</v>
      </c>
      <c r="AI725" s="27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43">
        <f t="shared" si="52"/>
        <v>2026</v>
      </c>
      <c r="C726" s="116">
        <f t="shared" si="53"/>
        <v>2025</v>
      </c>
      <c r="D726" s="2" t="s">
        <v>155</v>
      </c>
      <c r="E726" s="2" t="s">
        <v>155</v>
      </c>
      <c r="F726" s="30">
        <v>45778</v>
      </c>
      <c r="G726" s="2">
        <f>DAY(EOMONTH(TA[[#This Row],[Month Year]],0))</f>
        <v>31</v>
      </c>
      <c r="H726" s="21">
        <v>45794</v>
      </c>
      <c r="I726" s="32">
        <f>IFERROR(VLOOKUP(TA[[#This Row],[Date]],Raw_Data[[Date]:[Sunset Time (POA&lt;20 W/m2)]],3,0),"")</f>
        <v>0.25138888888888888</v>
      </c>
      <c r="J726" s="32">
        <f>IFERROR(VLOOKUP(TA[[#This Row],[Date]],Raw_Data[[Date]:[Sunset Time (POA&lt;20 W/m2)]],4,0),"")</f>
        <v>0.76041666666666663</v>
      </c>
      <c r="K726" s="27">
        <f>IFERROR((TA[[#This Row],[Sunset Time (POA&lt;20 W/m2)]]-TA[[#This Row],[Sunrise Time (POA&gt;20 W/m2)]])*24,"")</f>
        <v>12.216666666666665</v>
      </c>
      <c r="L726" s="2" t="s">
        <v>287</v>
      </c>
      <c r="M726" s="33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314</v>
      </c>
      <c r="Q726" s="2" t="s">
        <v>320</v>
      </c>
      <c r="R726">
        <v>45</v>
      </c>
      <c r="S726" s="2">
        <v>8</v>
      </c>
      <c r="T726" t="s">
        <v>288</v>
      </c>
      <c r="U726" t="s">
        <v>291</v>
      </c>
      <c r="V726" t="s">
        <v>292</v>
      </c>
      <c r="W726" s="32"/>
      <c r="X726" s="32"/>
      <c r="Y726" s="26"/>
      <c r="Z726" s="26"/>
      <c r="AA726" s="27">
        <f>IF(TA[[#This Row],[Work Start time on Fault]]="NA","",(TA[[#This Row],[Fault Acknowledgement Time ]]-TA[[#This Row],[Fault Time]])*24)</f>
        <v>0</v>
      </c>
      <c r="AB726" s="27">
        <f>(TA[[#This Row],[Work Start time on Fault]]-TA[[#This Row],[Fault Time]])*24</f>
        <v>0</v>
      </c>
      <c r="AC726" s="26">
        <f>(TA[[#This Row],[Work Completion time on fault]]-TA[[#This Row],[Fault Time]])*24</f>
        <v>0</v>
      </c>
      <c r="AD726" s="27">
        <f>IFERROR((TA[[#This Row],[Work Completion time on fault]]-TA[[#This Row],[Fault Time]])*24,"")</f>
        <v>0</v>
      </c>
      <c r="AE726" t="s">
        <v>319</v>
      </c>
      <c r="AF726" t="s">
        <v>247</v>
      </c>
      <c r="AG726" s="2"/>
      <c r="AH726" s="35">
        <f>1-COS(RADIANS(TA[[#This Row],[Avg. Target Angle during Fault Time (Radians)]]-TA[[#This Row],[Angle of affected equipment ]]))</f>
        <v>0.11705240714107301</v>
      </c>
      <c r="AI726" s="27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43">
        <f t="shared" si="52"/>
        <v>2026</v>
      </c>
      <c r="C727" s="116">
        <f t="shared" si="53"/>
        <v>2025</v>
      </c>
      <c r="D727" s="2" t="s">
        <v>155</v>
      </c>
      <c r="E727" s="2" t="s">
        <v>155</v>
      </c>
      <c r="F727" s="30">
        <v>45778</v>
      </c>
      <c r="G727" s="2">
        <f>DAY(EOMONTH(TA[[#This Row],[Month Year]],0))</f>
        <v>31</v>
      </c>
      <c r="H727" s="21">
        <v>45794</v>
      </c>
      <c r="I727" s="32">
        <f>IFERROR(VLOOKUP(TA[[#This Row],[Date]],Raw_Data[[Date]:[Sunset Time (POA&lt;20 W/m2)]],3,0),"")</f>
        <v>0.25138888888888888</v>
      </c>
      <c r="J727" s="32">
        <f>IFERROR(VLOOKUP(TA[[#This Row],[Date]],Raw_Data[[Date]:[Sunset Time (POA&lt;20 W/m2)]],4,0),"")</f>
        <v>0.76041666666666663</v>
      </c>
      <c r="K727" s="27">
        <f>IFERROR((TA[[#This Row],[Sunset Time (POA&lt;20 W/m2)]]-TA[[#This Row],[Sunrise Time (POA&gt;20 W/m2)]])*24,"")</f>
        <v>12.216666666666665</v>
      </c>
      <c r="L727" s="2" t="s">
        <v>287</v>
      </c>
      <c r="M727" s="33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314</v>
      </c>
      <c r="Q727" s="2" t="s">
        <v>320</v>
      </c>
      <c r="R727">
        <v>47</v>
      </c>
      <c r="S727" s="2">
        <v>18</v>
      </c>
      <c r="T727" t="s">
        <v>288</v>
      </c>
      <c r="U727" t="s">
        <v>291</v>
      </c>
      <c r="V727" t="s">
        <v>292</v>
      </c>
      <c r="W727" s="32"/>
      <c r="X727" s="32"/>
      <c r="Y727" s="26"/>
      <c r="Z727" s="26"/>
      <c r="AA727" s="27">
        <f>IF(TA[[#This Row],[Work Start time on Fault]]="NA","",(TA[[#This Row],[Fault Acknowledgement Time ]]-TA[[#This Row],[Fault Time]])*24)</f>
        <v>0</v>
      </c>
      <c r="AB727" s="27">
        <f>(TA[[#This Row],[Work Start time on Fault]]-TA[[#This Row],[Fault Time]])*24</f>
        <v>0</v>
      </c>
      <c r="AC727" s="26">
        <f>(TA[[#This Row],[Work Completion time on fault]]-TA[[#This Row],[Fault Time]])*24</f>
        <v>0</v>
      </c>
      <c r="AD727" s="27">
        <f>IFERROR((TA[[#This Row],[Work Completion time on fault]]-TA[[#This Row],[Fault Time]])*24,"")</f>
        <v>0</v>
      </c>
      <c r="AE727" t="s">
        <v>319</v>
      </c>
      <c r="AF727" t="s">
        <v>247</v>
      </c>
      <c r="AG727" s="2"/>
      <c r="AH727" s="35">
        <f>1-COS(RADIANS(TA[[#This Row],[Avg. Target Angle during Fault Time (Radians)]]-TA[[#This Row],[Angle of affected equipment ]]))</f>
        <v>0.11705240714107301</v>
      </c>
      <c r="AI727" s="27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43">
        <f t="shared" si="52"/>
        <v>2026</v>
      </c>
      <c r="C728" s="116">
        <f t="shared" si="53"/>
        <v>2025</v>
      </c>
      <c r="D728" s="2" t="s">
        <v>155</v>
      </c>
      <c r="E728" s="2" t="s">
        <v>155</v>
      </c>
      <c r="F728" s="30">
        <v>45778</v>
      </c>
      <c r="G728" s="2">
        <f>DAY(EOMONTH(TA[[#This Row],[Month Year]],0))</f>
        <v>31</v>
      </c>
      <c r="H728" s="21">
        <v>45794</v>
      </c>
      <c r="I728" s="32">
        <f>IFERROR(VLOOKUP(TA[[#This Row],[Date]],Raw_Data[[Date]:[Sunset Time (POA&lt;20 W/m2)]],3,0),"")</f>
        <v>0.25138888888888888</v>
      </c>
      <c r="J728" s="32">
        <f>IFERROR(VLOOKUP(TA[[#This Row],[Date]],Raw_Data[[Date]:[Sunset Time (POA&lt;20 W/m2)]],4,0),"")</f>
        <v>0.76041666666666663</v>
      </c>
      <c r="K728" s="27">
        <f>IFERROR((TA[[#This Row],[Sunset Time (POA&lt;20 W/m2)]]-TA[[#This Row],[Sunrise Time (POA&gt;20 W/m2)]])*24,"")</f>
        <v>12.216666666666665</v>
      </c>
      <c r="L728" s="2" t="s">
        <v>287</v>
      </c>
      <c r="M728" s="33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321</v>
      </c>
      <c r="Q728" s="2" t="s">
        <v>314</v>
      </c>
      <c r="R728">
        <v>30</v>
      </c>
      <c r="S728" s="2">
        <v>57</v>
      </c>
      <c r="T728" t="s">
        <v>288</v>
      </c>
      <c r="U728" t="s">
        <v>291</v>
      </c>
      <c r="V728" t="s">
        <v>292</v>
      </c>
      <c r="W728" s="32"/>
      <c r="X728" s="32"/>
      <c r="Y728" s="26"/>
      <c r="Z728" s="26"/>
      <c r="AA728" s="27">
        <f>IF(TA[[#This Row],[Work Start time on Fault]]="NA","",(TA[[#This Row],[Fault Acknowledgement Time ]]-TA[[#This Row],[Fault Time]])*24)</f>
        <v>0</v>
      </c>
      <c r="AB728" s="27">
        <f>(TA[[#This Row],[Work Start time on Fault]]-TA[[#This Row],[Fault Time]])*24</f>
        <v>0</v>
      </c>
      <c r="AC728" s="26">
        <f>(TA[[#This Row],[Work Completion time on fault]]-TA[[#This Row],[Fault Time]])*24</f>
        <v>0</v>
      </c>
      <c r="AD728" s="27">
        <f>IFERROR((TA[[#This Row],[Work Completion time on fault]]-TA[[#This Row],[Fault Time]])*24,"")</f>
        <v>0</v>
      </c>
      <c r="AE728" t="s">
        <v>319</v>
      </c>
      <c r="AF728" t="s">
        <v>247</v>
      </c>
      <c r="AG728" s="2"/>
      <c r="AH728" s="35">
        <f>1-COS(RADIANS(TA[[#This Row],[Avg. Target Angle during Fault Time (Radians)]]-TA[[#This Row],[Angle of affected equipment ]]))</f>
        <v>0.11705240714107301</v>
      </c>
      <c r="AI728" s="27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43">
        <f t="shared" si="52"/>
        <v>2026</v>
      </c>
      <c r="C729" s="116">
        <f t="shared" si="53"/>
        <v>2025</v>
      </c>
      <c r="D729" s="2" t="s">
        <v>155</v>
      </c>
      <c r="E729" s="2" t="s">
        <v>155</v>
      </c>
      <c r="F729" s="30">
        <v>45778</v>
      </c>
      <c r="G729" s="2">
        <f>DAY(EOMONTH(TA[[#This Row],[Month Year]],0))</f>
        <v>31</v>
      </c>
      <c r="H729" s="21">
        <v>45794</v>
      </c>
      <c r="I729" s="32">
        <f>IFERROR(VLOOKUP(TA[[#This Row],[Date]],Raw_Data[[Date]:[Sunset Time (POA&lt;20 W/m2)]],3,0),"")</f>
        <v>0.25138888888888888</v>
      </c>
      <c r="J729" s="32">
        <f>IFERROR(VLOOKUP(TA[[#This Row],[Date]],Raw_Data[[Date]:[Sunset Time (POA&lt;20 W/m2)]],4,0),"")</f>
        <v>0.76041666666666663</v>
      </c>
      <c r="K729" s="27">
        <f>IFERROR((TA[[#This Row],[Sunset Time (POA&lt;20 W/m2)]]-TA[[#This Row],[Sunrise Time (POA&gt;20 W/m2)]])*24,"")</f>
        <v>12.216666666666665</v>
      </c>
      <c r="L729" s="2" t="s">
        <v>287</v>
      </c>
      <c r="M729" s="33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321</v>
      </c>
      <c r="Q729" s="2" t="s">
        <v>314</v>
      </c>
      <c r="R729">
        <v>31</v>
      </c>
      <c r="S729" s="2">
        <v>61</v>
      </c>
      <c r="T729" t="s">
        <v>288</v>
      </c>
      <c r="U729" t="s">
        <v>291</v>
      </c>
      <c r="V729" t="s">
        <v>292</v>
      </c>
      <c r="W729" s="32"/>
      <c r="X729" s="32"/>
      <c r="Y729" s="26"/>
      <c r="Z729" s="26"/>
      <c r="AA729" s="27">
        <f>IF(TA[[#This Row],[Work Start time on Fault]]="NA","",(TA[[#This Row],[Fault Acknowledgement Time ]]-TA[[#This Row],[Fault Time]])*24)</f>
        <v>0</v>
      </c>
      <c r="AB729" s="27">
        <f>(TA[[#This Row],[Work Start time on Fault]]-TA[[#This Row],[Fault Time]])*24</f>
        <v>0</v>
      </c>
      <c r="AC729" s="26">
        <f>(TA[[#This Row],[Work Completion time on fault]]-TA[[#This Row],[Fault Time]])*24</f>
        <v>0</v>
      </c>
      <c r="AD729" s="27">
        <f>IFERROR((TA[[#This Row],[Work Completion time on fault]]-TA[[#This Row],[Fault Time]])*24,"")</f>
        <v>0</v>
      </c>
      <c r="AE729" t="s">
        <v>319</v>
      </c>
      <c r="AF729" t="s">
        <v>247</v>
      </c>
      <c r="AG729" s="2"/>
      <c r="AH729" s="35">
        <f>1-COS(RADIANS(TA[[#This Row],[Avg. Target Angle during Fault Time (Radians)]]-TA[[#This Row],[Angle of affected equipment ]]))</f>
        <v>0.11705240714107301</v>
      </c>
      <c r="AI729" s="27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43">
        <f t="shared" si="52"/>
        <v>2026</v>
      </c>
      <c r="C730" s="116">
        <f t="shared" si="53"/>
        <v>2025</v>
      </c>
      <c r="D730" s="2" t="s">
        <v>155</v>
      </c>
      <c r="E730" s="2" t="s">
        <v>155</v>
      </c>
      <c r="F730" s="30">
        <v>45778</v>
      </c>
      <c r="G730" s="2">
        <f>DAY(EOMONTH(TA[[#This Row],[Month Year]],0))</f>
        <v>31</v>
      </c>
      <c r="H730" s="21">
        <v>45794</v>
      </c>
      <c r="I730" s="32">
        <f>IFERROR(VLOOKUP(TA[[#This Row],[Date]],Raw_Data[[Date]:[Sunset Time (POA&lt;20 W/m2)]],3,0),"")</f>
        <v>0.25138888888888888</v>
      </c>
      <c r="J730" s="32">
        <f>IFERROR(VLOOKUP(TA[[#This Row],[Date]],Raw_Data[[Date]:[Sunset Time (POA&lt;20 W/m2)]],4,0),"")</f>
        <v>0.76041666666666663</v>
      </c>
      <c r="K730" s="27">
        <f>IFERROR((TA[[#This Row],[Sunset Time (POA&lt;20 W/m2)]]-TA[[#This Row],[Sunrise Time (POA&gt;20 W/m2)]])*24,"")</f>
        <v>12.216666666666665</v>
      </c>
      <c r="L730" s="2" t="s">
        <v>303</v>
      </c>
      <c r="M730" s="33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321</v>
      </c>
      <c r="Q730" s="2" t="s">
        <v>314</v>
      </c>
      <c r="R730">
        <v>26</v>
      </c>
      <c r="S730" s="2">
        <v>37</v>
      </c>
      <c r="T730" t="s">
        <v>288</v>
      </c>
      <c r="U730" t="s">
        <v>291</v>
      </c>
      <c r="V730" t="s">
        <v>292</v>
      </c>
      <c r="W730" s="32"/>
      <c r="X730" s="32"/>
      <c r="Y730" s="26"/>
      <c r="Z730" s="26"/>
      <c r="AA730" s="27">
        <f>IF(TA[[#This Row],[Work Start time on Fault]]="NA","",(TA[[#This Row],[Fault Acknowledgement Time ]]-TA[[#This Row],[Fault Time]])*24)</f>
        <v>0</v>
      </c>
      <c r="AB730" s="27">
        <f>(TA[[#This Row],[Work Start time on Fault]]-TA[[#This Row],[Fault Time]])*24</f>
        <v>0</v>
      </c>
      <c r="AC730" s="26">
        <f>(TA[[#This Row],[Work Completion time on fault]]-TA[[#This Row],[Fault Time]])*24</f>
        <v>0</v>
      </c>
      <c r="AD730" s="27">
        <f>IFERROR((TA[[#This Row],[Work Completion time on fault]]-TA[[#This Row],[Fault Time]])*24,"")</f>
        <v>0</v>
      </c>
      <c r="AE730" t="s">
        <v>319</v>
      </c>
      <c r="AF730" t="s">
        <v>247</v>
      </c>
      <c r="AG730" s="2"/>
      <c r="AH730" s="35">
        <f>1-COS(RADIANS(TA[[#This Row],[Avg. Target Angle during Fault Time (Radians)]]-TA[[#This Row],[Angle of affected equipment ]]))</f>
        <v>0.11705240714107301</v>
      </c>
      <c r="AI730" s="27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43">
        <f t="shared" si="52"/>
        <v>2026</v>
      </c>
      <c r="C731" s="116">
        <f t="shared" si="53"/>
        <v>2025</v>
      </c>
      <c r="D731" s="2" t="s">
        <v>155</v>
      </c>
      <c r="E731" s="2" t="s">
        <v>155</v>
      </c>
      <c r="F731" s="30">
        <v>45778</v>
      </c>
      <c r="G731" s="2">
        <f>DAY(EOMONTH(TA[[#This Row],[Month Year]],0))</f>
        <v>31</v>
      </c>
      <c r="H731" s="21">
        <v>45794</v>
      </c>
      <c r="I731" s="32">
        <f>IFERROR(VLOOKUP(TA[[#This Row],[Date]],Raw_Data[[Date]:[Sunset Time (POA&lt;20 W/m2)]],3,0),"")</f>
        <v>0.25138888888888888</v>
      </c>
      <c r="J731" s="32">
        <f>IFERROR(VLOOKUP(TA[[#This Row],[Date]],Raw_Data[[Date]:[Sunset Time (POA&lt;20 W/m2)]],4,0),"")</f>
        <v>0.76041666666666663</v>
      </c>
      <c r="K731" s="27">
        <f>IFERROR((TA[[#This Row],[Sunset Time (POA&lt;20 W/m2)]]-TA[[#This Row],[Sunrise Time (POA&gt;20 W/m2)]])*24,"")</f>
        <v>12.216666666666665</v>
      </c>
      <c r="L731" s="2" t="s">
        <v>303</v>
      </c>
      <c r="M731" s="33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321</v>
      </c>
      <c r="Q731" s="2" t="s">
        <v>314</v>
      </c>
      <c r="R731">
        <v>27</v>
      </c>
      <c r="S731" s="2">
        <v>42</v>
      </c>
      <c r="T731" t="s">
        <v>288</v>
      </c>
      <c r="U731" t="s">
        <v>291</v>
      </c>
      <c r="V731" t="s">
        <v>292</v>
      </c>
      <c r="W731" s="32">
        <f>IFERROR(VLOOKUP(TA[[#This Row],[Date]],Raw_Data[[Date]:[Sunset Time (POA&lt;20 W/m2)]],3,0),"")</f>
        <v>0.25138888888888888</v>
      </c>
      <c r="X731" s="32">
        <f>IFERROR(VLOOKUP(TA[[#This Row],[Date]],Raw_Data[[Date]:[Sunset Time (POA&lt;20 W/m2)]],3,0),"")</f>
        <v>0.25138888888888888</v>
      </c>
      <c r="Y731" s="26"/>
      <c r="Z731" s="26">
        <v>0.76041666666666663</v>
      </c>
      <c r="AA731" s="27">
        <f>IF(TA[[#This Row],[Work Start time on Fault]]="NA","",(TA[[#This Row],[Fault Acknowledgement Time ]]-TA[[#This Row],[Fault Time]])*24)</f>
        <v>0</v>
      </c>
      <c r="AB731" s="27">
        <f>(TA[[#This Row],[Work Start time on Fault]]-TA[[#This Row],[Fault Time]])*24</f>
        <v>-6.0333333333333332</v>
      </c>
      <c r="AC731" s="26">
        <f>(TA[[#This Row],[Work Completion time on fault]]-TA[[#This Row],[Fault Time]])*24</f>
        <v>12.216666666666665</v>
      </c>
      <c r="AD731" s="27">
        <f>IFERROR((TA[[#This Row],[Work Completion time on fault]]-TA[[#This Row],[Fault Time]])*24,"")</f>
        <v>12.216666666666665</v>
      </c>
      <c r="AE731" t="s">
        <v>300</v>
      </c>
      <c r="AF731" t="s">
        <v>247</v>
      </c>
      <c r="AG731" s="2"/>
      <c r="AH731" s="35">
        <f>1-COS(RADIANS(TA[[#This Row],[Avg. Target Angle during Fault Time (Radians)]]-TA[[#This Row],[Angle of affected equipment ]]))</f>
        <v>0.11705240714107301</v>
      </c>
      <c r="AI731" s="27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43">
        <f t="shared" ref="B732:B745" si="54">YEAR(H732)+IF(MONTH(H732)&gt;=4,1,0)</f>
        <v>2026</v>
      </c>
      <c r="C732" s="116">
        <f t="shared" ref="C732:C745" si="55">YEAR(H732)</f>
        <v>2025</v>
      </c>
      <c r="D732" s="2" t="s">
        <v>155</v>
      </c>
      <c r="E732" s="2" t="s">
        <v>155</v>
      </c>
      <c r="F732" s="30">
        <v>45778</v>
      </c>
      <c r="G732" s="2">
        <f>DAY(EOMONTH(TA[[#This Row],[Month Year]],0))</f>
        <v>31</v>
      </c>
      <c r="H732" s="21">
        <v>45795</v>
      </c>
      <c r="I732" s="32">
        <f>IFERROR(VLOOKUP(TA[[#This Row],[Date]],Raw_Data[[Date]:[Sunset Time (POA&lt;20 W/m2)]],3,0),"")</f>
        <v>0.25208333333333333</v>
      </c>
      <c r="J732" s="32">
        <f>IFERROR(VLOOKUP(TA[[#This Row],[Date]],Raw_Data[[Date]:[Sunset Time (POA&lt;20 W/m2)]],4,0),"")</f>
        <v>0.7729166666666667</v>
      </c>
      <c r="K732" s="27">
        <f>IFERROR((TA[[#This Row],[Sunset Time (POA&lt;20 W/m2)]]-TA[[#This Row],[Sunrise Time (POA&gt;20 W/m2)]])*24,"")</f>
        <v>12.5</v>
      </c>
      <c r="L732" s="2" t="s">
        <v>285</v>
      </c>
      <c r="M732" s="33">
        <f>IFERROR(VLOOKUP(TA[[#This Row],[Affected Equipment]],'Basic Data'!$I$2:$K$40,3,0),"")</f>
        <v>1.7241379310344799E-3</v>
      </c>
      <c r="N732">
        <v>-28</v>
      </c>
      <c r="O732" t="s">
        <v>135</v>
      </c>
      <c r="P732" s="114" t="s">
        <v>309</v>
      </c>
      <c r="Q732" s="113" t="s">
        <v>309</v>
      </c>
      <c r="R732">
        <v>130</v>
      </c>
      <c r="S732" s="2">
        <v>37</v>
      </c>
      <c r="T732" t="s">
        <v>286</v>
      </c>
      <c r="U732" t="s">
        <v>291</v>
      </c>
      <c r="V732" t="s">
        <v>289</v>
      </c>
      <c r="W732" s="32"/>
      <c r="X732" s="32"/>
      <c r="Y732" s="26"/>
      <c r="Z732" s="26"/>
      <c r="AA732" s="27">
        <f>IF(TA[[#This Row],[Work Start time on Fault]]="NA","",(TA[[#This Row],[Fault Acknowledgement Time ]]-TA[[#This Row],[Fault Time]])*24)</f>
        <v>0</v>
      </c>
      <c r="AB732" s="27">
        <f>(TA[[#This Row],[Work Start time on Fault]]-TA[[#This Row],[Fault Time]])*24</f>
        <v>0</v>
      </c>
      <c r="AC732" s="26">
        <f>(TA[[#This Row],[Work Completion time on fault]]-TA[[#This Row],[Fault Time]])*24</f>
        <v>0</v>
      </c>
      <c r="AD732" s="27">
        <f>IFERROR((TA[[#This Row],[Work Completion time on fault]]-TA[[#This Row],[Fault Time]])*24,"")</f>
        <v>0</v>
      </c>
      <c r="AE732" t="s">
        <v>319</v>
      </c>
      <c r="AF732" t="s">
        <v>247</v>
      </c>
      <c r="AG732" s="2"/>
      <c r="AH732" s="35">
        <f>1-COS(RADIANS(TA[[#This Row],[Avg. Target Angle during Fault Time (Radians)]]-TA[[#This Row],[Angle of affected equipment ]]))</f>
        <v>0.11705240714107301</v>
      </c>
      <c r="AI732" s="27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43">
        <f t="shared" si="54"/>
        <v>2026</v>
      </c>
      <c r="C733" s="116">
        <f t="shared" si="55"/>
        <v>2025</v>
      </c>
      <c r="D733" s="2" t="s">
        <v>155</v>
      </c>
      <c r="E733" s="2" t="s">
        <v>155</v>
      </c>
      <c r="F733" s="30">
        <v>45778</v>
      </c>
      <c r="G733" s="2">
        <f>DAY(EOMONTH(TA[[#This Row],[Month Year]],0))</f>
        <v>31</v>
      </c>
      <c r="H733" s="21">
        <v>45795</v>
      </c>
      <c r="I733" s="32">
        <f>IFERROR(VLOOKUP(TA[[#This Row],[Date]],Raw_Data[[Date]:[Sunset Time (POA&lt;20 W/m2)]],3,0),"")</f>
        <v>0.25208333333333333</v>
      </c>
      <c r="J733" s="32">
        <f>IFERROR(VLOOKUP(TA[[#This Row],[Date]],Raw_Data[[Date]:[Sunset Time (POA&lt;20 W/m2)]],4,0),"")</f>
        <v>0.7729166666666667</v>
      </c>
      <c r="K733" s="27">
        <f>IFERROR((TA[[#This Row],[Sunset Time (POA&lt;20 W/m2)]]-TA[[#This Row],[Sunrise Time (POA&gt;20 W/m2)]])*24,"")</f>
        <v>12.5</v>
      </c>
      <c r="L733" s="2" t="s">
        <v>285</v>
      </c>
      <c r="M733" s="33">
        <f>IFERROR(VLOOKUP(TA[[#This Row],[Affected Equipment]],'Basic Data'!$I$2:$K$40,3,0),"")</f>
        <v>1.7241379310344799E-3</v>
      </c>
      <c r="N733">
        <v>-28</v>
      </c>
      <c r="O733" t="s">
        <v>135</v>
      </c>
      <c r="P733" s="114" t="s">
        <v>309</v>
      </c>
      <c r="Q733" s="113" t="s">
        <v>309</v>
      </c>
      <c r="R733">
        <v>131</v>
      </c>
      <c r="S733" s="2">
        <v>38</v>
      </c>
      <c r="T733" t="s">
        <v>286</v>
      </c>
      <c r="U733" t="s">
        <v>291</v>
      </c>
      <c r="V733" t="s">
        <v>289</v>
      </c>
      <c r="W733" s="32"/>
      <c r="X733" s="32"/>
      <c r="Y733" s="26"/>
      <c r="Z733" s="26"/>
      <c r="AA733" s="27">
        <f>IF(TA[[#This Row],[Work Start time on Fault]]="NA","",(TA[[#This Row],[Fault Acknowledgement Time ]]-TA[[#This Row],[Fault Time]])*24)</f>
        <v>0</v>
      </c>
      <c r="AB733" s="27">
        <f>(TA[[#This Row],[Work Start time on Fault]]-TA[[#This Row],[Fault Time]])*24</f>
        <v>0</v>
      </c>
      <c r="AC733" s="26">
        <f>(TA[[#This Row],[Work Completion time on fault]]-TA[[#This Row],[Fault Time]])*24</f>
        <v>0</v>
      </c>
      <c r="AD733" s="27">
        <f>IFERROR((TA[[#This Row],[Work Completion time on fault]]-TA[[#This Row],[Fault Time]])*24,"")</f>
        <v>0</v>
      </c>
      <c r="AE733" t="s">
        <v>319</v>
      </c>
      <c r="AF733" t="s">
        <v>247</v>
      </c>
      <c r="AG733" s="2"/>
      <c r="AH733" s="35">
        <f>1-COS(RADIANS(TA[[#This Row],[Avg. Target Angle during Fault Time (Radians)]]-TA[[#This Row],[Angle of affected equipment ]]))</f>
        <v>0.11705240714107301</v>
      </c>
      <c r="AI733" s="27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43">
        <f t="shared" si="54"/>
        <v>2026</v>
      </c>
      <c r="C734" s="116">
        <f t="shared" si="55"/>
        <v>2025</v>
      </c>
      <c r="D734" s="2" t="s">
        <v>155</v>
      </c>
      <c r="E734" s="2" t="s">
        <v>155</v>
      </c>
      <c r="F734" s="30">
        <v>45778</v>
      </c>
      <c r="G734" s="2">
        <f>DAY(EOMONTH(TA[[#This Row],[Month Year]],0))</f>
        <v>31</v>
      </c>
      <c r="H734" s="21">
        <v>45795</v>
      </c>
      <c r="I734" s="32">
        <f>IFERROR(VLOOKUP(TA[[#This Row],[Date]],Raw_Data[[Date]:[Sunset Time (POA&lt;20 W/m2)]],3,0),"")</f>
        <v>0.25208333333333333</v>
      </c>
      <c r="J734" s="32">
        <f>IFERROR(VLOOKUP(TA[[#This Row],[Date]],Raw_Data[[Date]:[Sunset Time (POA&lt;20 W/m2)]],4,0),"")</f>
        <v>0.7729166666666667</v>
      </c>
      <c r="K734" s="27">
        <f>IFERROR((TA[[#This Row],[Sunset Time (POA&lt;20 W/m2)]]-TA[[#This Row],[Sunrise Time (POA&gt;20 W/m2)]])*24,"")</f>
        <v>12.5</v>
      </c>
      <c r="L734" s="2" t="s">
        <v>285</v>
      </c>
      <c r="M734" s="33">
        <f>IFERROR(VLOOKUP(TA[[#This Row],[Affected Equipment]],'Basic Data'!$I$2:$K$40,3,0),"")</f>
        <v>1.7241379310344799E-3</v>
      </c>
      <c r="N734">
        <v>-28</v>
      </c>
      <c r="O734" t="s">
        <v>135</v>
      </c>
      <c r="P734" s="114" t="s">
        <v>309</v>
      </c>
      <c r="Q734" s="113" t="s">
        <v>309</v>
      </c>
      <c r="R734">
        <v>131</v>
      </c>
      <c r="S734" s="2">
        <v>39</v>
      </c>
      <c r="T734" t="s">
        <v>286</v>
      </c>
      <c r="U734" t="s">
        <v>291</v>
      </c>
      <c r="V734" t="s">
        <v>289</v>
      </c>
      <c r="W734" s="32"/>
      <c r="X734" s="32"/>
      <c r="Y734" s="26"/>
      <c r="Z734" s="26"/>
      <c r="AA734" s="27">
        <f>IF(TA[[#This Row],[Work Start time on Fault]]="NA","",(TA[[#This Row],[Fault Acknowledgement Time ]]-TA[[#This Row],[Fault Time]])*24)</f>
        <v>0</v>
      </c>
      <c r="AB734" s="27">
        <f>(TA[[#This Row],[Work Start time on Fault]]-TA[[#This Row],[Fault Time]])*24</f>
        <v>0</v>
      </c>
      <c r="AC734" s="26">
        <f>(TA[[#This Row],[Work Completion time on fault]]-TA[[#This Row],[Fault Time]])*24</f>
        <v>0</v>
      </c>
      <c r="AD734" s="27">
        <f>IFERROR((TA[[#This Row],[Work Completion time on fault]]-TA[[#This Row],[Fault Time]])*24,"")</f>
        <v>0</v>
      </c>
      <c r="AE734" t="s">
        <v>319</v>
      </c>
      <c r="AF734" t="s">
        <v>247</v>
      </c>
      <c r="AG734" s="2"/>
      <c r="AH734" s="35">
        <f>1-COS(RADIANS(TA[[#This Row],[Avg. Target Angle during Fault Time (Radians)]]-TA[[#This Row],[Angle of affected equipment ]]))</f>
        <v>0.11705240714107301</v>
      </c>
      <c r="AI734" s="27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43">
        <f t="shared" si="54"/>
        <v>2026</v>
      </c>
      <c r="C735" s="116">
        <f t="shared" si="55"/>
        <v>2025</v>
      </c>
      <c r="D735" s="2" t="s">
        <v>155</v>
      </c>
      <c r="E735" s="2" t="s">
        <v>155</v>
      </c>
      <c r="F735" s="30">
        <v>45778</v>
      </c>
      <c r="G735" s="2">
        <f>DAY(EOMONTH(TA[[#This Row],[Month Year]],0))</f>
        <v>31</v>
      </c>
      <c r="H735" s="21">
        <v>45795</v>
      </c>
      <c r="I735" s="32">
        <f>IFERROR(VLOOKUP(TA[[#This Row],[Date]],Raw_Data[[Date]:[Sunset Time (POA&lt;20 W/m2)]],3,0),"")</f>
        <v>0.25208333333333333</v>
      </c>
      <c r="J735" s="32">
        <f>IFERROR(VLOOKUP(TA[[#This Row],[Date]],Raw_Data[[Date]:[Sunset Time (POA&lt;20 W/m2)]],4,0),"")</f>
        <v>0.7729166666666667</v>
      </c>
      <c r="K735" s="27">
        <f>IFERROR((TA[[#This Row],[Sunset Time (POA&lt;20 W/m2)]]-TA[[#This Row],[Sunrise Time (POA&gt;20 W/m2)]])*24,"")</f>
        <v>12.5</v>
      </c>
      <c r="L735" s="2" t="s">
        <v>287</v>
      </c>
      <c r="M735" s="33">
        <f>IFERROR(VLOOKUP(TA[[#This Row],[Affected Equipment]],'Basic Data'!$I$2:$K$40,3,0),"")</f>
        <v>8.6206896551724102E-3</v>
      </c>
      <c r="N735">
        <v>-28</v>
      </c>
      <c r="O735" t="s">
        <v>135</v>
      </c>
      <c r="P735" s="114" t="s">
        <v>309</v>
      </c>
      <c r="Q735" s="2" t="s">
        <v>312</v>
      </c>
      <c r="R735">
        <v>133</v>
      </c>
      <c r="S735" s="2">
        <v>26</v>
      </c>
      <c r="T735" t="s">
        <v>288</v>
      </c>
      <c r="U735" t="s">
        <v>291</v>
      </c>
      <c r="V735" t="s">
        <v>305</v>
      </c>
      <c r="W735" s="32">
        <f>IFERROR(VLOOKUP(TA[[#This Row],[Date]],Raw_Data[[Date]:[Sunset Time (POA&lt;20 W/m2)]],3,0),"")</f>
        <v>0.25208333333333333</v>
      </c>
      <c r="X735" s="32">
        <f>IFERROR(VLOOKUP(TA[[#This Row],[Date]],Raw_Data[[Date]:[Sunset Time (POA&lt;20 W/m2)]],3,0),"")</f>
        <v>0.25208333333333333</v>
      </c>
      <c r="Y735" s="26"/>
      <c r="Z735" s="26">
        <v>0.76041666666666663</v>
      </c>
      <c r="AA735" s="27">
        <f>IF(TA[[#This Row],[Work Start time on Fault]]="NA","",(TA[[#This Row],[Fault Acknowledgement Time ]]-TA[[#This Row],[Fault Time]])*24)</f>
        <v>0</v>
      </c>
      <c r="AB735" s="27">
        <f>(TA[[#This Row],[Work Start time on Fault]]-TA[[#This Row],[Fault Time]])*24</f>
        <v>-6.05</v>
      </c>
      <c r="AC735" s="26">
        <f>(TA[[#This Row],[Work Completion time on fault]]-TA[[#This Row],[Fault Time]])*24</f>
        <v>12.2</v>
      </c>
      <c r="AD735" s="27">
        <f>IFERROR((TA[[#This Row],[Work Completion time on fault]]-TA[[#This Row],[Fault Time]])*24,"")</f>
        <v>12.2</v>
      </c>
      <c r="AE735" t="s">
        <v>319</v>
      </c>
      <c r="AF735" t="s">
        <v>247</v>
      </c>
      <c r="AG735" s="2"/>
      <c r="AH735" s="35">
        <f>1-COS(RADIANS(TA[[#This Row],[Avg. Target Angle during Fault Time (Radians)]]-TA[[#This Row],[Angle of affected equipment ]]))</f>
        <v>0.11705240714107301</v>
      </c>
      <c r="AI735" s="27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43">
        <f t="shared" si="54"/>
        <v>2026</v>
      </c>
      <c r="C736" s="116">
        <f t="shared" si="55"/>
        <v>2025</v>
      </c>
      <c r="D736" s="2" t="s">
        <v>155</v>
      </c>
      <c r="E736" s="2" t="s">
        <v>155</v>
      </c>
      <c r="F736" s="30">
        <v>45778</v>
      </c>
      <c r="G736" s="2">
        <f>DAY(EOMONTH(TA[[#This Row],[Month Year]],0))</f>
        <v>31</v>
      </c>
      <c r="H736" s="21">
        <v>45795</v>
      </c>
      <c r="I736" s="32">
        <f>IFERROR(VLOOKUP(TA[[#This Row],[Date]],Raw_Data[[Date]:[Sunset Time (POA&lt;20 W/m2)]],3,0),"")</f>
        <v>0.25208333333333333</v>
      </c>
      <c r="J736" s="32">
        <f>IFERROR(VLOOKUP(TA[[#This Row],[Date]],Raw_Data[[Date]:[Sunset Time (POA&lt;20 W/m2)]],4,0),"")</f>
        <v>0.7729166666666667</v>
      </c>
      <c r="K736" s="27">
        <f>IFERROR((TA[[#This Row],[Sunset Time (POA&lt;20 W/m2)]]-TA[[#This Row],[Sunrise Time (POA&gt;20 W/m2)]])*24,"")</f>
        <v>12.5</v>
      </c>
      <c r="L736" s="2" t="s">
        <v>285</v>
      </c>
      <c r="M736" s="33">
        <f>IFERROR(VLOOKUP(TA[[#This Row],[Affected Equipment]],'Basic Data'!$I$2:$K$40,3,0),"")</f>
        <v>1.7241379310344799E-3</v>
      </c>
      <c r="N736">
        <v>-28</v>
      </c>
      <c r="O736" t="s">
        <v>133</v>
      </c>
      <c r="P736" s="114" t="s">
        <v>307</v>
      </c>
      <c r="Q736" s="113" t="s">
        <v>308</v>
      </c>
      <c r="R736">
        <v>7</v>
      </c>
      <c r="S736" s="2">
        <v>32</v>
      </c>
      <c r="T736" t="s">
        <v>286</v>
      </c>
      <c r="U736" t="s">
        <v>291</v>
      </c>
      <c r="V736" t="s">
        <v>289</v>
      </c>
      <c r="W736" s="32"/>
      <c r="X736" s="32"/>
      <c r="Y736" s="26"/>
      <c r="Z736" s="26"/>
      <c r="AA736" s="27">
        <f>IF(TA[[#This Row],[Work Start time on Fault]]="NA","",(TA[[#This Row],[Fault Acknowledgement Time ]]-TA[[#This Row],[Fault Time]])*24)</f>
        <v>0</v>
      </c>
      <c r="AB736" s="27">
        <f>(TA[[#This Row],[Work Start time on Fault]]-TA[[#This Row],[Fault Time]])*24</f>
        <v>0</v>
      </c>
      <c r="AC736" s="26">
        <f>(TA[[#This Row],[Work Completion time on fault]]-TA[[#This Row],[Fault Time]])*24</f>
        <v>0</v>
      </c>
      <c r="AD736" s="27">
        <f>IFERROR((TA[[#This Row],[Work Completion time on fault]]-TA[[#This Row],[Fault Time]])*24,"")</f>
        <v>0</v>
      </c>
      <c r="AE736" t="s">
        <v>319</v>
      </c>
      <c r="AF736" t="s">
        <v>247</v>
      </c>
      <c r="AG736" s="2"/>
      <c r="AH736" s="35">
        <f>1-COS(RADIANS(TA[[#This Row],[Avg. Target Angle during Fault Time (Radians)]]-TA[[#This Row],[Angle of affected equipment ]]))</f>
        <v>0.11705240714107301</v>
      </c>
      <c r="AI736" s="27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43">
        <f t="shared" si="54"/>
        <v>2026</v>
      </c>
      <c r="C737" s="116">
        <f t="shared" si="55"/>
        <v>2025</v>
      </c>
      <c r="D737" s="2" t="s">
        <v>155</v>
      </c>
      <c r="E737" s="2" t="s">
        <v>155</v>
      </c>
      <c r="F737" s="30">
        <v>45778</v>
      </c>
      <c r="G737" s="2">
        <f>DAY(EOMONTH(TA[[#This Row],[Month Year]],0))</f>
        <v>31</v>
      </c>
      <c r="H737" s="21">
        <v>45795</v>
      </c>
      <c r="I737" s="32">
        <f>IFERROR(VLOOKUP(TA[[#This Row],[Date]],Raw_Data[[Date]:[Sunset Time (POA&lt;20 W/m2)]],3,0),"")</f>
        <v>0.25208333333333333</v>
      </c>
      <c r="J737" s="32">
        <f>IFERROR(VLOOKUP(TA[[#This Row],[Date]],Raw_Data[[Date]:[Sunset Time (POA&lt;20 W/m2)]],4,0),"")</f>
        <v>0.7729166666666667</v>
      </c>
      <c r="K737" s="27">
        <f>IFERROR((TA[[#This Row],[Sunset Time (POA&lt;20 W/m2)]]-TA[[#This Row],[Sunrise Time (POA&gt;20 W/m2)]])*24,"")</f>
        <v>12.5</v>
      </c>
      <c r="L737" s="2" t="s">
        <v>285</v>
      </c>
      <c r="M737" s="33">
        <f>IFERROR(VLOOKUP(TA[[#This Row],[Affected Equipment]],'Basic Data'!$I$2:$K$40,3,0),"")</f>
        <v>1.7241379310344799E-3</v>
      </c>
      <c r="N737">
        <v>-28</v>
      </c>
      <c r="O737" t="s">
        <v>137</v>
      </c>
      <c r="P737" s="114" t="s">
        <v>306</v>
      </c>
      <c r="Q737" s="113" t="s">
        <v>310</v>
      </c>
      <c r="R737">
        <v>166</v>
      </c>
      <c r="S737" s="2">
        <v>91</v>
      </c>
      <c r="T737" t="s">
        <v>286</v>
      </c>
      <c r="U737" t="s">
        <v>291</v>
      </c>
      <c r="V737" t="s">
        <v>289</v>
      </c>
      <c r="W737" s="32"/>
      <c r="X737" s="32"/>
      <c r="Y737" s="26"/>
      <c r="Z737" s="26"/>
      <c r="AA737" s="27">
        <f>IF(TA[[#This Row],[Work Start time on Fault]]="NA","",(TA[[#This Row],[Fault Acknowledgement Time ]]-TA[[#This Row],[Fault Time]])*24)</f>
        <v>0</v>
      </c>
      <c r="AB737" s="27">
        <f>(TA[[#This Row],[Work Start time on Fault]]-TA[[#This Row],[Fault Time]])*24</f>
        <v>0</v>
      </c>
      <c r="AC737" s="26">
        <f>(TA[[#This Row],[Work Completion time on fault]]-TA[[#This Row],[Fault Time]])*24</f>
        <v>0</v>
      </c>
      <c r="AD737" s="27">
        <f>IFERROR((TA[[#This Row],[Work Completion time on fault]]-TA[[#This Row],[Fault Time]])*24,"")</f>
        <v>0</v>
      </c>
      <c r="AE737" t="s">
        <v>319</v>
      </c>
      <c r="AF737" t="s">
        <v>247</v>
      </c>
      <c r="AG737" s="2"/>
      <c r="AH737" s="35">
        <f>1-COS(RADIANS(TA[[#This Row],[Avg. Target Angle during Fault Time (Radians)]]-TA[[#This Row],[Angle of affected equipment ]]))</f>
        <v>0.11705240714107301</v>
      </c>
      <c r="AI737" s="27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43">
        <f t="shared" si="54"/>
        <v>2026</v>
      </c>
      <c r="C738" s="116">
        <f t="shared" si="55"/>
        <v>2025</v>
      </c>
      <c r="D738" s="2" t="s">
        <v>155</v>
      </c>
      <c r="E738" s="2" t="s">
        <v>155</v>
      </c>
      <c r="F738" s="30">
        <v>45778</v>
      </c>
      <c r="G738" s="2">
        <f>DAY(EOMONTH(TA[[#This Row],[Month Year]],0))</f>
        <v>31</v>
      </c>
      <c r="H738" s="21">
        <v>45795</v>
      </c>
      <c r="I738" s="32">
        <f>IFERROR(VLOOKUP(TA[[#This Row],[Date]],Raw_Data[[Date]:[Sunset Time (POA&lt;20 W/m2)]],3,0),"")</f>
        <v>0.25208333333333333</v>
      </c>
      <c r="J738" s="32">
        <f>IFERROR(VLOOKUP(TA[[#This Row],[Date]],Raw_Data[[Date]:[Sunset Time (POA&lt;20 W/m2)]],4,0),"")</f>
        <v>0.7729166666666667</v>
      </c>
      <c r="K738" s="27">
        <f>IFERROR((TA[[#This Row],[Sunset Time (POA&lt;20 W/m2)]]-TA[[#This Row],[Sunrise Time (POA&gt;20 W/m2)]])*24,"")</f>
        <v>12.5</v>
      </c>
      <c r="L738" s="2" t="s">
        <v>285</v>
      </c>
      <c r="M738" s="33">
        <f>IFERROR(VLOOKUP(TA[[#This Row],[Affected Equipment]],'Basic Data'!$I$2:$K$40,3,0),"")</f>
        <v>1.7241379310344799E-3</v>
      </c>
      <c r="N738">
        <v>-28</v>
      </c>
      <c r="O738" t="s">
        <v>133</v>
      </c>
      <c r="P738" s="114" t="s">
        <v>307</v>
      </c>
      <c r="Q738" s="113" t="s">
        <v>307</v>
      </c>
      <c r="R738">
        <v>117</v>
      </c>
      <c r="S738" s="2">
        <v>20</v>
      </c>
      <c r="T738" t="s">
        <v>286</v>
      </c>
      <c r="U738" t="s">
        <v>291</v>
      </c>
      <c r="V738" t="s">
        <v>289</v>
      </c>
      <c r="W738" s="32"/>
      <c r="X738" s="32"/>
      <c r="Y738" s="26"/>
      <c r="Z738" s="26"/>
      <c r="AA738" s="27">
        <f>IF(TA[[#This Row],[Work Start time on Fault]]="NA","",(TA[[#This Row],[Fault Acknowledgement Time ]]-TA[[#This Row],[Fault Time]])*24)</f>
        <v>0</v>
      </c>
      <c r="AB738" s="27">
        <f>(TA[[#This Row],[Work Start time on Fault]]-TA[[#This Row],[Fault Time]])*24</f>
        <v>0</v>
      </c>
      <c r="AC738" s="26">
        <f>(TA[[#This Row],[Work Completion time on fault]]-TA[[#This Row],[Fault Time]])*24</f>
        <v>0</v>
      </c>
      <c r="AD738" s="27">
        <f>IFERROR((TA[[#This Row],[Work Completion time on fault]]-TA[[#This Row],[Fault Time]])*24,"")</f>
        <v>0</v>
      </c>
      <c r="AE738" t="s">
        <v>319</v>
      </c>
      <c r="AF738" t="s">
        <v>247</v>
      </c>
      <c r="AG738" s="2"/>
      <c r="AH738" s="35">
        <f>1-COS(RADIANS(TA[[#This Row],[Avg. Target Angle during Fault Time (Radians)]]-TA[[#This Row],[Angle of affected equipment ]]))</f>
        <v>0.11705240714107301</v>
      </c>
      <c r="AI738" s="27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43">
        <f t="shared" si="54"/>
        <v>2026</v>
      </c>
      <c r="C739" s="116">
        <f t="shared" si="55"/>
        <v>2025</v>
      </c>
      <c r="D739" s="2" t="s">
        <v>155</v>
      </c>
      <c r="E739" s="2" t="s">
        <v>155</v>
      </c>
      <c r="F739" s="30">
        <v>45778</v>
      </c>
      <c r="G739" s="2">
        <f>DAY(EOMONTH(TA[[#This Row],[Month Year]],0))</f>
        <v>31</v>
      </c>
      <c r="H739" s="21">
        <v>45795</v>
      </c>
      <c r="I739" s="32">
        <f>IFERROR(VLOOKUP(TA[[#This Row],[Date]],Raw_Data[[Date]:[Sunset Time (POA&lt;20 W/m2)]],3,0),"")</f>
        <v>0.25208333333333333</v>
      </c>
      <c r="J739" s="32">
        <f>IFERROR(VLOOKUP(TA[[#This Row],[Date]],Raw_Data[[Date]:[Sunset Time (POA&lt;20 W/m2)]],4,0),"")</f>
        <v>0.7729166666666667</v>
      </c>
      <c r="K739" s="27">
        <f>IFERROR((TA[[#This Row],[Sunset Time (POA&lt;20 W/m2)]]-TA[[#This Row],[Sunrise Time (POA&gt;20 W/m2)]])*24,"")</f>
        <v>12.5</v>
      </c>
      <c r="L739" s="2" t="s">
        <v>285</v>
      </c>
      <c r="M739" s="33">
        <f>IFERROR(VLOOKUP(TA[[#This Row],[Affected Equipment]],'Basic Data'!$I$2:$K$40,3,0),"")</f>
        <v>1.7241379310344799E-3</v>
      </c>
      <c r="N739">
        <v>-28</v>
      </c>
      <c r="O739" t="s">
        <v>133</v>
      </c>
      <c r="P739" s="114" t="s">
        <v>307</v>
      </c>
      <c r="Q739" s="113" t="s">
        <v>307</v>
      </c>
      <c r="R739">
        <v>118</v>
      </c>
      <c r="S739" s="2">
        <v>22</v>
      </c>
      <c r="T739" t="s">
        <v>286</v>
      </c>
      <c r="U739" t="s">
        <v>291</v>
      </c>
      <c r="V739" t="s">
        <v>289</v>
      </c>
      <c r="W739" s="32"/>
      <c r="X739" s="32"/>
      <c r="Y739" s="26"/>
      <c r="Z739" s="26"/>
      <c r="AA739" s="27">
        <f>IF(TA[[#This Row],[Work Start time on Fault]]="NA","",(TA[[#This Row],[Fault Acknowledgement Time ]]-TA[[#This Row],[Fault Time]])*24)</f>
        <v>0</v>
      </c>
      <c r="AB739" s="27">
        <f>(TA[[#This Row],[Work Start time on Fault]]-TA[[#This Row],[Fault Time]])*24</f>
        <v>0</v>
      </c>
      <c r="AC739" s="26">
        <f>(TA[[#This Row],[Work Completion time on fault]]-TA[[#This Row],[Fault Time]])*24</f>
        <v>0</v>
      </c>
      <c r="AD739" s="27">
        <f>IFERROR((TA[[#This Row],[Work Completion time on fault]]-TA[[#This Row],[Fault Time]])*24,"")</f>
        <v>0</v>
      </c>
      <c r="AE739" t="s">
        <v>319</v>
      </c>
      <c r="AF739" t="s">
        <v>247</v>
      </c>
      <c r="AG739" s="2"/>
      <c r="AH739" s="35">
        <f>1-COS(RADIANS(TA[[#This Row],[Avg. Target Angle during Fault Time (Radians)]]-TA[[#This Row],[Angle of affected equipment ]]))</f>
        <v>0.11705240714107301</v>
      </c>
      <c r="AI739" s="27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43">
        <f t="shared" si="54"/>
        <v>2026</v>
      </c>
      <c r="C740" s="116">
        <f t="shared" si="55"/>
        <v>2025</v>
      </c>
      <c r="D740" s="2" t="s">
        <v>155</v>
      </c>
      <c r="E740" s="2" t="s">
        <v>155</v>
      </c>
      <c r="F740" s="30">
        <v>45778</v>
      </c>
      <c r="G740" s="2">
        <f>DAY(EOMONTH(TA[[#This Row],[Month Year]],0))</f>
        <v>31</v>
      </c>
      <c r="H740" s="21">
        <v>45795</v>
      </c>
      <c r="I740" s="32">
        <f>IFERROR(VLOOKUP(TA[[#This Row],[Date]],Raw_Data[[Date]:[Sunset Time (POA&lt;20 W/m2)]],3,0),"")</f>
        <v>0.25208333333333333</v>
      </c>
      <c r="J740" s="32">
        <f>IFERROR(VLOOKUP(TA[[#This Row],[Date]],Raw_Data[[Date]:[Sunset Time (POA&lt;20 W/m2)]],4,0),"")</f>
        <v>0.7729166666666667</v>
      </c>
      <c r="K740" s="27">
        <f>IFERROR((TA[[#This Row],[Sunset Time (POA&lt;20 W/m2)]]-TA[[#This Row],[Sunrise Time (POA&gt;20 W/m2)]])*24,"")</f>
        <v>12.5</v>
      </c>
      <c r="L740" s="2" t="s">
        <v>287</v>
      </c>
      <c r="M740" s="33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314</v>
      </c>
      <c r="Q740" s="2" t="s">
        <v>320</v>
      </c>
      <c r="R740">
        <v>45</v>
      </c>
      <c r="S740" s="2">
        <v>8</v>
      </c>
      <c r="T740" t="s">
        <v>288</v>
      </c>
      <c r="U740" t="s">
        <v>291</v>
      </c>
      <c r="V740" t="s">
        <v>292</v>
      </c>
      <c r="W740" s="32"/>
      <c r="X740" s="32"/>
      <c r="Y740" s="26"/>
      <c r="Z740" s="26"/>
      <c r="AA740" s="27">
        <f>IF(TA[[#This Row],[Work Start time on Fault]]="NA","",(TA[[#This Row],[Fault Acknowledgement Time ]]-TA[[#This Row],[Fault Time]])*24)</f>
        <v>0</v>
      </c>
      <c r="AB740" s="27">
        <f>(TA[[#This Row],[Work Start time on Fault]]-TA[[#This Row],[Fault Time]])*24</f>
        <v>0</v>
      </c>
      <c r="AC740" s="26">
        <f>(TA[[#This Row],[Work Completion time on fault]]-TA[[#This Row],[Fault Time]])*24</f>
        <v>0</v>
      </c>
      <c r="AD740" s="27">
        <f>IFERROR((TA[[#This Row],[Work Completion time on fault]]-TA[[#This Row],[Fault Time]])*24,"")</f>
        <v>0</v>
      </c>
      <c r="AE740" t="s">
        <v>319</v>
      </c>
      <c r="AF740" t="s">
        <v>247</v>
      </c>
      <c r="AG740" s="2"/>
      <c r="AH740" s="35">
        <f>1-COS(RADIANS(TA[[#This Row],[Avg. Target Angle during Fault Time (Radians)]]-TA[[#This Row],[Angle of affected equipment ]]))</f>
        <v>0.11705240714107301</v>
      </c>
      <c r="AI740" s="27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43">
        <f t="shared" si="54"/>
        <v>2026</v>
      </c>
      <c r="C741" s="116">
        <f t="shared" si="55"/>
        <v>2025</v>
      </c>
      <c r="D741" s="2" t="s">
        <v>155</v>
      </c>
      <c r="E741" s="2" t="s">
        <v>155</v>
      </c>
      <c r="F741" s="30">
        <v>45778</v>
      </c>
      <c r="G741" s="2">
        <f>DAY(EOMONTH(TA[[#This Row],[Month Year]],0))</f>
        <v>31</v>
      </c>
      <c r="H741" s="21">
        <v>45795</v>
      </c>
      <c r="I741" s="32">
        <f>IFERROR(VLOOKUP(TA[[#This Row],[Date]],Raw_Data[[Date]:[Sunset Time (POA&lt;20 W/m2)]],3,0),"")</f>
        <v>0.25208333333333333</v>
      </c>
      <c r="J741" s="32">
        <f>IFERROR(VLOOKUP(TA[[#This Row],[Date]],Raw_Data[[Date]:[Sunset Time (POA&lt;20 W/m2)]],4,0),"")</f>
        <v>0.7729166666666667</v>
      </c>
      <c r="K741" s="27">
        <f>IFERROR((TA[[#This Row],[Sunset Time (POA&lt;20 W/m2)]]-TA[[#This Row],[Sunrise Time (POA&gt;20 W/m2)]])*24,"")</f>
        <v>12.5</v>
      </c>
      <c r="L741" s="2" t="s">
        <v>287</v>
      </c>
      <c r="M741" s="33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314</v>
      </c>
      <c r="Q741" s="2" t="s">
        <v>320</v>
      </c>
      <c r="R741">
        <v>47</v>
      </c>
      <c r="S741" s="2">
        <v>18</v>
      </c>
      <c r="T741" t="s">
        <v>288</v>
      </c>
      <c r="U741" t="s">
        <v>291</v>
      </c>
      <c r="V741" t="s">
        <v>292</v>
      </c>
      <c r="W741" s="32"/>
      <c r="X741" s="32"/>
      <c r="Y741" s="26"/>
      <c r="Z741" s="26"/>
      <c r="AA741" s="27">
        <f>IF(TA[[#This Row],[Work Start time on Fault]]="NA","",(TA[[#This Row],[Fault Acknowledgement Time ]]-TA[[#This Row],[Fault Time]])*24)</f>
        <v>0</v>
      </c>
      <c r="AB741" s="27">
        <f>(TA[[#This Row],[Work Start time on Fault]]-TA[[#This Row],[Fault Time]])*24</f>
        <v>0</v>
      </c>
      <c r="AC741" s="26">
        <f>(TA[[#This Row],[Work Completion time on fault]]-TA[[#This Row],[Fault Time]])*24</f>
        <v>0</v>
      </c>
      <c r="AD741" s="27">
        <f>IFERROR((TA[[#This Row],[Work Completion time on fault]]-TA[[#This Row],[Fault Time]])*24,"")</f>
        <v>0</v>
      </c>
      <c r="AE741" t="s">
        <v>319</v>
      </c>
      <c r="AF741" t="s">
        <v>247</v>
      </c>
      <c r="AG741" s="2"/>
      <c r="AH741" s="35">
        <f>1-COS(RADIANS(TA[[#This Row],[Avg. Target Angle during Fault Time (Radians)]]-TA[[#This Row],[Angle of affected equipment ]]))</f>
        <v>0.11705240714107301</v>
      </c>
      <c r="AI741" s="27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43">
        <f t="shared" si="54"/>
        <v>2026</v>
      </c>
      <c r="C742" s="116">
        <f t="shared" si="55"/>
        <v>2025</v>
      </c>
      <c r="D742" s="2" t="s">
        <v>155</v>
      </c>
      <c r="E742" s="2" t="s">
        <v>155</v>
      </c>
      <c r="F742" s="30">
        <v>45778</v>
      </c>
      <c r="G742" s="2">
        <f>DAY(EOMONTH(TA[[#This Row],[Month Year]],0))</f>
        <v>31</v>
      </c>
      <c r="H742" s="21">
        <v>45795</v>
      </c>
      <c r="I742" s="32">
        <f>IFERROR(VLOOKUP(TA[[#This Row],[Date]],Raw_Data[[Date]:[Sunset Time (POA&lt;20 W/m2)]],3,0),"")</f>
        <v>0.25208333333333333</v>
      </c>
      <c r="J742" s="32">
        <f>IFERROR(VLOOKUP(TA[[#This Row],[Date]],Raw_Data[[Date]:[Sunset Time (POA&lt;20 W/m2)]],4,0),"")</f>
        <v>0.7729166666666667</v>
      </c>
      <c r="K742" s="27">
        <f>IFERROR((TA[[#This Row],[Sunset Time (POA&lt;20 W/m2)]]-TA[[#This Row],[Sunrise Time (POA&gt;20 W/m2)]])*24,"")</f>
        <v>12.5</v>
      </c>
      <c r="L742" s="2" t="s">
        <v>287</v>
      </c>
      <c r="M742" s="33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321</v>
      </c>
      <c r="Q742" s="2" t="s">
        <v>314</v>
      </c>
      <c r="R742">
        <v>30</v>
      </c>
      <c r="S742" s="2">
        <v>57</v>
      </c>
      <c r="T742" t="s">
        <v>288</v>
      </c>
      <c r="U742" t="s">
        <v>291</v>
      </c>
      <c r="V742" t="s">
        <v>292</v>
      </c>
      <c r="W742" s="32"/>
      <c r="X742" s="32"/>
      <c r="Y742" s="26"/>
      <c r="Z742" s="26"/>
      <c r="AA742" s="27">
        <f>IF(TA[[#This Row],[Work Start time on Fault]]="NA","",(TA[[#This Row],[Fault Acknowledgement Time ]]-TA[[#This Row],[Fault Time]])*24)</f>
        <v>0</v>
      </c>
      <c r="AB742" s="27">
        <f>(TA[[#This Row],[Work Start time on Fault]]-TA[[#This Row],[Fault Time]])*24</f>
        <v>0</v>
      </c>
      <c r="AC742" s="26">
        <f>(TA[[#This Row],[Work Completion time on fault]]-TA[[#This Row],[Fault Time]])*24</f>
        <v>0</v>
      </c>
      <c r="AD742" s="27">
        <f>IFERROR((TA[[#This Row],[Work Completion time on fault]]-TA[[#This Row],[Fault Time]])*24,"")</f>
        <v>0</v>
      </c>
      <c r="AE742" t="s">
        <v>319</v>
      </c>
      <c r="AF742" t="s">
        <v>247</v>
      </c>
      <c r="AG742" s="2"/>
      <c r="AH742" s="35">
        <f>1-COS(RADIANS(TA[[#This Row],[Avg. Target Angle during Fault Time (Radians)]]-TA[[#This Row],[Angle of affected equipment ]]))</f>
        <v>0.11705240714107301</v>
      </c>
      <c r="AI742" s="27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43">
        <f t="shared" si="54"/>
        <v>2026</v>
      </c>
      <c r="C743" s="116">
        <f t="shared" si="55"/>
        <v>2025</v>
      </c>
      <c r="D743" s="2" t="s">
        <v>155</v>
      </c>
      <c r="E743" s="2" t="s">
        <v>155</v>
      </c>
      <c r="F743" s="30">
        <v>45778</v>
      </c>
      <c r="G743" s="2">
        <f>DAY(EOMONTH(TA[[#This Row],[Month Year]],0))</f>
        <v>31</v>
      </c>
      <c r="H743" s="21">
        <v>45795</v>
      </c>
      <c r="I743" s="32">
        <f>IFERROR(VLOOKUP(TA[[#This Row],[Date]],Raw_Data[[Date]:[Sunset Time (POA&lt;20 W/m2)]],3,0),"")</f>
        <v>0.25208333333333333</v>
      </c>
      <c r="J743" s="32">
        <f>IFERROR(VLOOKUP(TA[[#This Row],[Date]],Raw_Data[[Date]:[Sunset Time (POA&lt;20 W/m2)]],4,0),"")</f>
        <v>0.7729166666666667</v>
      </c>
      <c r="K743" s="27">
        <f>IFERROR((TA[[#This Row],[Sunset Time (POA&lt;20 W/m2)]]-TA[[#This Row],[Sunrise Time (POA&gt;20 W/m2)]])*24,"")</f>
        <v>12.5</v>
      </c>
      <c r="L743" s="2" t="s">
        <v>287</v>
      </c>
      <c r="M743" s="33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321</v>
      </c>
      <c r="Q743" s="2" t="s">
        <v>314</v>
      </c>
      <c r="R743">
        <v>31</v>
      </c>
      <c r="S743" s="2">
        <v>61</v>
      </c>
      <c r="T743" t="s">
        <v>288</v>
      </c>
      <c r="U743" t="s">
        <v>291</v>
      </c>
      <c r="V743" t="s">
        <v>292</v>
      </c>
      <c r="W743" s="32"/>
      <c r="X743" s="32"/>
      <c r="Y743" s="26"/>
      <c r="Z743" s="26"/>
      <c r="AA743" s="27">
        <f>IF(TA[[#This Row],[Work Start time on Fault]]="NA","",(TA[[#This Row],[Fault Acknowledgement Time ]]-TA[[#This Row],[Fault Time]])*24)</f>
        <v>0</v>
      </c>
      <c r="AB743" s="27">
        <f>(TA[[#This Row],[Work Start time on Fault]]-TA[[#This Row],[Fault Time]])*24</f>
        <v>0</v>
      </c>
      <c r="AC743" s="26">
        <f>(TA[[#This Row],[Work Completion time on fault]]-TA[[#This Row],[Fault Time]])*24</f>
        <v>0</v>
      </c>
      <c r="AD743" s="27">
        <f>IFERROR((TA[[#This Row],[Work Completion time on fault]]-TA[[#This Row],[Fault Time]])*24,"")</f>
        <v>0</v>
      </c>
      <c r="AE743" t="s">
        <v>319</v>
      </c>
      <c r="AF743" t="s">
        <v>247</v>
      </c>
      <c r="AG743" s="2"/>
      <c r="AH743" s="35">
        <f>1-COS(RADIANS(TA[[#This Row],[Avg. Target Angle during Fault Time (Radians)]]-TA[[#This Row],[Angle of affected equipment ]]))</f>
        <v>0.11705240714107301</v>
      </c>
      <c r="AI743" s="27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43">
        <f t="shared" si="54"/>
        <v>2026</v>
      </c>
      <c r="C744" s="116">
        <f t="shared" si="55"/>
        <v>2025</v>
      </c>
      <c r="D744" s="2" t="s">
        <v>155</v>
      </c>
      <c r="E744" s="2" t="s">
        <v>155</v>
      </c>
      <c r="F744" s="30">
        <v>45778</v>
      </c>
      <c r="G744" s="2">
        <f>DAY(EOMONTH(TA[[#This Row],[Month Year]],0))</f>
        <v>31</v>
      </c>
      <c r="H744" s="21">
        <v>45795</v>
      </c>
      <c r="I744" s="32">
        <f>IFERROR(VLOOKUP(TA[[#This Row],[Date]],Raw_Data[[Date]:[Sunset Time (POA&lt;20 W/m2)]],3,0),"")</f>
        <v>0.25208333333333333</v>
      </c>
      <c r="J744" s="32">
        <f>IFERROR(VLOOKUP(TA[[#This Row],[Date]],Raw_Data[[Date]:[Sunset Time (POA&lt;20 W/m2)]],4,0),"")</f>
        <v>0.7729166666666667</v>
      </c>
      <c r="K744" s="27">
        <f>IFERROR((TA[[#This Row],[Sunset Time (POA&lt;20 W/m2)]]-TA[[#This Row],[Sunrise Time (POA&gt;20 W/m2)]])*24,"")</f>
        <v>12.5</v>
      </c>
      <c r="L744" s="2" t="s">
        <v>303</v>
      </c>
      <c r="M744" s="33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321</v>
      </c>
      <c r="Q744" s="2" t="s">
        <v>314</v>
      </c>
      <c r="R744">
        <v>26</v>
      </c>
      <c r="S744" s="2">
        <v>37</v>
      </c>
      <c r="T744" t="s">
        <v>288</v>
      </c>
      <c r="U744" t="s">
        <v>291</v>
      </c>
      <c r="V744" t="s">
        <v>292</v>
      </c>
      <c r="W744" s="32"/>
      <c r="X744" s="32"/>
      <c r="Y744" s="26"/>
      <c r="Z744" s="26"/>
      <c r="AA744" s="27">
        <f>IF(TA[[#This Row],[Work Start time on Fault]]="NA","",(TA[[#This Row],[Fault Acknowledgement Time ]]-TA[[#This Row],[Fault Time]])*24)</f>
        <v>0</v>
      </c>
      <c r="AB744" s="27">
        <f>(TA[[#This Row],[Work Start time on Fault]]-TA[[#This Row],[Fault Time]])*24</f>
        <v>0</v>
      </c>
      <c r="AC744" s="26">
        <f>(TA[[#This Row],[Work Completion time on fault]]-TA[[#This Row],[Fault Time]])*24</f>
        <v>0</v>
      </c>
      <c r="AD744" s="27">
        <f>IFERROR((TA[[#This Row],[Work Completion time on fault]]-TA[[#This Row],[Fault Time]])*24,"")</f>
        <v>0</v>
      </c>
      <c r="AE744" t="s">
        <v>319</v>
      </c>
      <c r="AF744" t="s">
        <v>247</v>
      </c>
      <c r="AG744" s="2"/>
      <c r="AH744" s="35">
        <f>1-COS(RADIANS(TA[[#This Row],[Avg. Target Angle during Fault Time (Radians)]]-TA[[#This Row],[Angle of affected equipment ]]))</f>
        <v>0.11705240714107301</v>
      </c>
      <c r="AI744" s="27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43">
        <f t="shared" si="54"/>
        <v>2026</v>
      </c>
      <c r="C745" s="116">
        <f t="shared" si="55"/>
        <v>2025</v>
      </c>
      <c r="D745" s="2" t="s">
        <v>155</v>
      </c>
      <c r="E745" s="2" t="s">
        <v>155</v>
      </c>
      <c r="F745" s="30">
        <v>45778</v>
      </c>
      <c r="G745" s="2">
        <f>DAY(EOMONTH(TA[[#This Row],[Month Year]],0))</f>
        <v>31</v>
      </c>
      <c r="H745" s="21">
        <v>45795</v>
      </c>
      <c r="I745" s="32">
        <f>IFERROR(VLOOKUP(TA[[#This Row],[Date]],Raw_Data[[Date]:[Sunset Time (POA&lt;20 W/m2)]],3,0),"")</f>
        <v>0.25208333333333333</v>
      </c>
      <c r="J745" s="32">
        <f>IFERROR(VLOOKUP(TA[[#This Row],[Date]],Raw_Data[[Date]:[Sunset Time (POA&lt;20 W/m2)]],4,0),"")</f>
        <v>0.7729166666666667</v>
      </c>
      <c r="K745" s="27">
        <f>IFERROR((TA[[#This Row],[Sunset Time (POA&lt;20 W/m2)]]-TA[[#This Row],[Sunrise Time (POA&gt;20 W/m2)]])*24,"")</f>
        <v>12.5</v>
      </c>
      <c r="L745" s="2" t="s">
        <v>303</v>
      </c>
      <c r="M745" s="33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321</v>
      </c>
      <c r="Q745" s="2" t="s">
        <v>314</v>
      </c>
      <c r="R745">
        <v>27</v>
      </c>
      <c r="S745" s="2">
        <v>42</v>
      </c>
      <c r="T745" t="s">
        <v>288</v>
      </c>
      <c r="U745" t="s">
        <v>291</v>
      </c>
      <c r="V745" t="s">
        <v>292</v>
      </c>
      <c r="W745" s="32">
        <f>IFERROR(VLOOKUP(TA[[#This Row],[Date]],Raw_Data[[Date]:[Sunset Time (POA&lt;20 W/m2)]],3,0),"")</f>
        <v>0.25208333333333333</v>
      </c>
      <c r="X745" s="32">
        <f>IFERROR(VLOOKUP(TA[[#This Row],[Date]],Raw_Data[[Date]:[Sunset Time (POA&lt;20 W/m2)]],3,0),"")</f>
        <v>0.25208333333333333</v>
      </c>
      <c r="Y745" s="26"/>
      <c r="Z745" s="26">
        <v>0.76041666666666663</v>
      </c>
      <c r="AA745" s="27">
        <f>IF(TA[[#This Row],[Work Start time on Fault]]="NA","",(TA[[#This Row],[Fault Acknowledgement Time ]]-TA[[#This Row],[Fault Time]])*24)</f>
        <v>0</v>
      </c>
      <c r="AB745" s="27">
        <f>(TA[[#This Row],[Work Start time on Fault]]-TA[[#This Row],[Fault Time]])*24</f>
        <v>-6.05</v>
      </c>
      <c r="AC745" s="26">
        <f>(TA[[#This Row],[Work Completion time on fault]]-TA[[#This Row],[Fault Time]])*24</f>
        <v>12.2</v>
      </c>
      <c r="AD745" s="27">
        <f>IFERROR((TA[[#This Row],[Work Completion time on fault]]-TA[[#This Row],[Fault Time]])*24,"")</f>
        <v>12.2</v>
      </c>
      <c r="AE745" t="s">
        <v>300</v>
      </c>
      <c r="AF745" t="s">
        <v>247</v>
      </c>
      <c r="AG745" s="2"/>
      <c r="AH745" s="35">
        <f>1-COS(RADIANS(TA[[#This Row],[Avg. Target Angle during Fault Time (Radians)]]-TA[[#This Row],[Angle of affected equipment ]]))</f>
        <v>0.11705240714107301</v>
      </c>
      <c r="AI745" s="27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43">
        <f t="shared" ref="B746:B759" si="57">YEAR(H746)+IF(MONTH(H746)&gt;=4,1,0)</f>
        <v>2026</v>
      </c>
      <c r="C746" s="116">
        <f t="shared" ref="C746:C759" si="58">YEAR(H746)</f>
        <v>2025</v>
      </c>
      <c r="D746" s="2" t="s">
        <v>155</v>
      </c>
      <c r="E746" s="2" t="s">
        <v>155</v>
      </c>
      <c r="F746" s="30">
        <v>45778</v>
      </c>
      <c r="G746" s="2">
        <f>DAY(EOMONTH(TA[[#This Row],[Month Year]],0))</f>
        <v>31</v>
      </c>
      <c r="H746" s="21">
        <v>45796</v>
      </c>
      <c r="I746" s="32">
        <f>IFERROR(VLOOKUP(TA[[#This Row],[Date]],Raw_Data[[Date]:[Sunset Time (POA&lt;20 W/m2)]],3,0),"")</f>
        <v>0.25208333333333333</v>
      </c>
      <c r="J746" s="32">
        <f>IFERROR(VLOOKUP(TA[[#This Row],[Date]],Raw_Data[[Date]:[Sunset Time (POA&lt;20 W/m2)]],4,0),"")</f>
        <v>0.77083333333333337</v>
      </c>
      <c r="K746" s="27">
        <f>IFERROR((TA[[#This Row],[Sunset Time (POA&lt;20 W/m2)]]-TA[[#This Row],[Sunrise Time (POA&gt;20 W/m2)]])*24,"")</f>
        <v>12.450000000000001</v>
      </c>
      <c r="L746" s="2" t="s">
        <v>285</v>
      </c>
      <c r="M746" s="33">
        <f>IFERROR(VLOOKUP(TA[[#This Row],[Affected Equipment]],'Basic Data'!$I$2:$K$40,3,0),"")</f>
        <v>1.7241379310344799E-3</v>
      </c>
      <c r="N746">
        <v>-28</v>
      </c>
      <c r="O746" t="s">
        <v>135</v>
      </c>
      <c r="P746" s="114" t="s">
        <v>309</v>
      </c>
      <c r="Q746" s="113" t="s">
        <v>309</v>
      </c>
      <c r="R746">
        <v>130</v>
      </c>
      <c r="S746" s="2">
        <v>37</v>
      </c>
      <c r="T746" t="s">
        <v>286</v>
      </c>
      <c r="U746" t="s">
        <v>291</v>
      </c>
      <c r="V746" t="s">
        <v>289</v>
      </c>
      <c r="W746" s="32"/>
      <c r="X746" s="32"/>
      <c r="Y746" s="26"/>
      <c r="Z746" s="26"/>
      <c r="AA746" s="27">
        <f>IF(TA[[#This Row],[Work Start time on Fault]]="NA","",(TA[[#This Row],[Fault Acknowledgement Time ]]-TA[[#This Row],[Fault Time]])*24)</f>
        <v>0</v>
      </c>
      <c r="AB746" s="27">
        <f>(TA[[#This Row],[Work Start time on Fault]]-TA[[#This Row],[Fault Time]])*24</f>
        <v>0</v>
      </c>
      <c r="AC746" s="26">
        <f>(TA[[#This Row],[Work Completion time on fault]]-TA[[#This Row],[Fault Time]])*24</f>
        <v>0</v>
      </c>
      <c r="AD746" s="27">
        <f>IFERROR((TA[[#This Row],[Work Completion time on fault]]-TA[[#This Row],[Fault Time]])*24,"")</f>
        <v>0</v>
      </c>
      <c r="AE746" t="s">
        <v>319</v>
      </c>
      <c r="AF746" t="s">
        <v>247</v>
      </c>
      <c r="AG746" s="2"/>
      <c r="AH746" s="35">
        <f>1-COS(RADIANS(TA[[#This Row],[Avg. Target Angle during Fault Time (Radians)]]-TA[[#This Row],[Angle of affected equipment ]]))</f>
        <v>0.11705240714107301</v>
      </c>
      <c r="AI746" s="27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43">
        <f t="shared" si="57"/>
        <v>2026</v>
      </c>
      <c r="C747" s="116">
        <f t="shared" si="58"/>
        <v>2025</v>
      </c>
      <c r="D747" s="2" t="s">
        <v>155</v>
      </c>
      <c r="E747" s="2" t="s">
        <v>155</v>
      </c>
      <c r="F747" s="30">
        <v>45778</v>
      </c>
      <c r="G747" s="2">
        <f>DAY(EOMONTH(TA[[#This Row],[Month Year]],0))</f>
        <v>31</v>
      </c>
      <c r="H747" s="21">
        <v>45796</v>
      </c>
      <c r="I747" s="32">
        <f>IFERROR(VLOOKUP(TA[[#This Row],[Date]],Raw_Data[[Date]:[Sunset Time (POA&lt;20 W/m2)]],3,0),"")</f>
        <v>0.25208333333333333</v>
      </c>
      <c r="J747" s="32">
        <f>IFERROR(VLOOKUP(TA[[#This Row],[Date]],Raw_Data[[Date]:[Sunset Time (POA&lt;20 W/m2)]],4,0),"")</f>
        <v>0.77083333333333337</v>
      </c>
      <c r="K747" s="27">
        <f>IFERROR((TA[[#This Row],[Sunset Time (POA&lt;20 W/m2)]]-TA[[#This Row],[Sunrise Time (POA&gt;20 W/m2)]])*24,"")</f>
        <v>12.450000000000001</v>
      </c>
      <c r="L747" s="2" t="s">
        <v>285</v>
      </c>
      <c r="M747" s="33">
        <f>IFERROR(VLOOKUP(TA[[#This Row],[Affected Equipment]],'Basic Data'!$I$2:$K$40,3,0),"")</f>
        <v>1.7241379310344799E-3</v>
      </c>
      <c r="N747">
        <v>-28</v>
      </c>
      <c r="O747" t="s">
        <v>135</v>
      </c>
      <c r="P747" s="114" t="s">
        <v>309</v>
      </c>
      <c r="Q747" s="113" t="s">
        <v>309</v>
      </c>
      <c r="R747">
        <v>131</v>
      </c>
      <c r="S747" s="2">
        <v>38</v>
      </c>
      <c r="T747" t="s">
        <v>286</v>
      </c>
      <c r="U747" t="s">
        <v>291</v>
      </c>
      <c r="V747" t="s">
        <v>289</v>
      </c>
      <c r="W747" s="32"/>
      <c r="X747" s="32"/>
      <c r="Y747" s="26"/>
      <c r="Z747" s="26"/>
      <c r="AA747" s="27">
        <f>IF(TA[[#This Row],[Work Start time on Fault]]="NA","",(TA[[#This Row],[Fault Acknowledgement Time ]]-TA[[#This Row],[Fault Time]])*24)</f>
        <v>0</v>
      </c>
      <c r="AB747" s="27">
        <f>(TA[[#This Row],[Work Start time on Fault]]-TA[[#This Row],[Fault Time]])*24</f>
        <v>0</v>
      </c>
      <c r="AC747" s="26">
        <f>(TA[[#This Row],[Work Completion time on fault]]-TA[[#This Row],[Fault Time]])*24</f>
        <v>0</v>
      </c>
      <c r="AD747" s="27">
        <f>IFERROR((TA[[#This Row],[Work Completion time on fault]]-TA[[#This Row],[Fault Time]])*24,"")</f>
        <v>0</v>
      </c>
      <c r="AE747" t="s">
        <v>319</v>
      </c>
      <c r="AF747" t="s">
        <v>247</v>
      </c>
      <c r="AG747" s="2"/>
      <c r="AH747" s="35">
        <f>1-COS(RADIANS(TA[[#This Row],[Avg. Target Angle during Fault Time (Radians)]]-TA[[#This Row],[Angle of affected equipment ]]))</f>
        <v>0.11705240714107301</v>
      </c>
      <c r="AI747" s="27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43">
        <f t="shared" si="57"/>
        <v>2026</v>
      </c>
      <c r="C748" s="116">
        <f t="shared" si="58"/>
        <v>2025</v>
      </c>
      <c r="D748" s="2" t="s">
        <v>155</v>
      </c>
      <c r="E748" s="2" t="s">
        <v>155</v>
      </c>
      <c r="F748" s="30">
        <v>45778</v>
      </c>
      <c r="G748" s="2">
        <f>DAY(EOMONTH(TA[[#This Row],[Month Year]],0))</f>
        <v>31</v>
      </c>
      <c r="H748" s="21">
        <v>45796</v>
      </c>
      <c r="I748" s="32">
        <f>IFERROR(VLOOKUP(TA[[#This Row],[Date]],Raw_Data[[Date]:[Sunset Time (POA&lt;20 W/m2)]],3,0),"")</f>
        <v>0.25208333333333333</v>
      </c>
      <c r="J748" s="32">
        <f>IFERROR(VLOOKUP(TA[[#This Row],[Date]],Raw_Data[[Date]:[Sunset Time (POA&lt;20 W/m2)]],4,0),"")</f>
        <v>0.77083333333333337</v>
      </c>
      <c r="K748" s="27">
        <f>IFERROR((TA[[#This Row],[Sunset Time (POA&lt;20 W/m2)]]-TA[[#This Row],[Sunrise Time (POA&gt;20 W/m2)]])*24,"")</f>
        <v>12.450000000000001</v>
      </c>
      <c r="L748" s="2" t="s">
        <v>285</v>
      </c>
      <c r="M748" s="33">
        <f>IFERROR(VLOOKUP(TA[[#This Row],[Affected Equipment]],'Basic Data'!$I$2:$K$40,3,0),"")</f>
        <v>1.7241379310344799E-3</v>
      </c>
      <c r="N748">
        <v>-28</v>
      </c>
      <c r="O748" t="s">
        <v>135</v>
      </c>
      <c r="P748" s="114" t="s">
        <v>309</v>
      </c>
      <c r="Q748" s="113" t="s">
        <v>309</v>
      </c>
      <c r="R748">
        <v>131</v>
      </c>
      <c r="S748" s="2">
        <v>39</v>
      </c>
      <c r="T748" t="s">
        <v>286</v>
      </c>
      <c r="U748" t="s">
        <v>291</v>
      </c>
      <c r="V748" t="s">
        <v>289</v>
      </c>
      <c r="W748" s="32"/>
      <c r="X748" s="32"/>
      <c r="Y748" s="26"/>
      <c r="Z748" s="26"/>
      <c r="AA748" s="27">
        <f>IF(TA[[#This Row],[Work Start time on Fault]]="NA","",(TA[[#This Row],[Fault Acknowledgement Time ]]-TA[[#This Row],[Fault Time]])*24)</f>
        <v>0</v>
      </c>
      <c r="AB748" s="27">
        <f>(TA[[#This Row],[Work Start time on Fault]]-TA[[#This Row],[Fault Time]])*24</f>
        <v>0</v>
      </c>
      <c r="AC748" s="26">
        <f>(TA[[#This Row],[Work Completion time on fault]]-TA[[#This Row],[Fault Time]])*24</f>
        <v>0</v>
      </c>
      <c r="AD748" s="27">
        <f>IFERROR((TA[[#This Row],[Work Completion time on fault]]-TA[[#This Row],[Fault Time]])*24,"")</f>
        <v>0</v>
      </c>
      <c r="AE748" t="s">
        <v>319</v>
      </c>
      <c r="AF748" t="s">
        <v>247</v>
      </c>
      <c r="AG748" s="2"/>
      <c r="AH748" s="35">
        <f>1-COS(RADIANS(TA[[#This Row],[Avg. Target Angle during Fault Time (Radians)]]-TA[[#This Row],[Angle of affected equipment ]]))</f>
        <v>0.11705240714107301</v>
      </c>
      <c r="AI748" s="27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43">
        <f t="shared" si="57"/>
        <v>2026</v>
      </c>
      <c r="C749" s="116">
        <f t="shared" si="58"/>
        <v>2025</v>
      </c>
      <c r="D749" s="2" t="s">
        <v>155</v>
      </c>
      <c r="E749" s="2" t="s">
        <v>155</v>
      </c>
      <c r="F749" s="30">
        <v>45778</v>
      </c>
      <c r="G749" s="2">
        <f>DAY(EOMONTH(TA[[#This Row],[Month Year]],0))</f>
        <v>31</v>
      </c>
      <c r="H749" s="21">
        <v>45796</v>
      </c>
      <c r="I749" s="32">
        <f>IFERROR(VLOOKUP(TA[[#This Row],[Date]],Raw_Data[[Date]:[Sunset Time (POA&lt;20 W/m2)]],3,0),"")</f>
        <v>0.25208333333333333</v>
      </c>
      <c r="J749" s="32">
        <f>IFERROR(VLOOKUP(TA[[#This Row],[Date]],Raw_Data[[Date]:[Sunset Time (POA&lt;20 W/m2)]],4,0),"")</f>
        <v>0.77083333333333337</v>
      </c>
      <c r="K749" s="27">
        <f>IFERROR((TA[[#This Row],[Sunset Time (POA&lt;20 W/m2)]]-TA[[#This Row],[Sunrise Time (POA&gt;20 W/m2)]])*24,"")</f>
        <v>12.450000000000001</v>
      </c>
      <c r="L749" s="2" t="s">
        <v>287</v>
      </c>
      <c r="M749" s="33">
        <f>IFERROR(VLOOKUP(TA[[#This Row],[Affected Equipment]],'Basic Data'!$I$2:$K$40,3,0),"")</f>
        <v>8.6206896551724102E-3</v>
      </c>
      <c r="N749">
        <v>-28</v>
      </c>
      <c r="O749" t="s">
        <v>135</v>
      </c>
      <c r="P749" s="114" t="s">
        <v>309</v>
      </c>
      <c r="Q749" s="2" t="s">
        <v>312</v>
      </c>
      <c r="R749">
        <v>133</v>
      </c>
      <c r="S749" s="2">
        <v>26</v>
      </c>
      <c r="T749" t="s">
        <v>288</v>
      </c>
      <c r="U749" t="s">
        <v>291</v>
      </c>
      <c r="V749" t="s">
        <v>305</v>
      </c>
      <c r="W749" s="32">
        <f>IFERROR(VLOOKUP(TA[[#This Row],[Date]],Raw_Data[[Date]:[Sunset Time (POA&lt;20 W/m2)]],3,0),"")</f>
        <v>0.25208333333333333</v>
      </c>
      <c r="X749" s="32">
        <f>IFERROR(VLOOKUP(TA[[#This Row],[Date]],Raw_Data[[Date]:[Sunset Time (POA&lt;20 W/m2)]],3,0),"")</f>
        <v>0.25208333333333333</v>
      </c>
      <c r="Y749" s="26"/>
      <c r="Z749" s="26">
        <v>0.76041666666666663</v>
      </c>
      <c r="AA749" s="27">
        <f>IF(TA[[#This Row],[Work Start time on Fault]]="NA","",(TA[[#This Row],[Fault Acknowledgement Time ]]-TA[[#This Row],[Fault Time]])*24)</f>
        <v>0</v>
      </c>
      <c r="AB749" s="27">
        <f>(TA[[#This Row],[Work Start time on Fault]]-TA[[#This Row],[Fault Time]])*24</f>
        <v>-6.05</v>
      </c>
      <c r="AC749" s="26">
        <f>(TA[[#This Row],[Work Completion time on fault]]-TA[[#This Row],[Fault Time]])*24</f>
        <v>12.2</v>
      </c>
      <c r="AD749" s="27">
        <f>IFERROR((TA[[#This Row],[Work Completion time on fault]]-TA[[#This Row],[Fault Time]])*24,"")</f>
        <v>12.2</v>
      </c>
      <c r="AE749" t="s">
        <v>319</v>
      </c>
      <c r="AF749" t="s">
        <v>247</v>
      </c>
      <c r="AG749" s="2"/>
      <c r="AH749" s="35">
        <f>1-COS(RADIANS(TA[[#This Row],[Avg. Target Angle during Fault Time (Radians)]]-TA[[#This Row],[Angle of affected equipment ]]))</f>
        <v>0.11705240714107301</v>
      </c>
      <c r="AI749" s="27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43">
        <f t="shared" si="57"/>
        <v>2026</v>
      </c>
      <c r="C750" s="116">
        <f t="shared" si="58"/>
        <v>2025</v>
      </c>
      <c r="D750" s="2" t="s">
        <v>155</v>
      </c>
      <c r="E750" s="2" t="s">
        <v>155</v>
      </c>
      <c r="F750" s="30">
        <v>45778</v>
      </c>
      <c r="G750" s="2">
        <f>DAY(EOMONTH(TA[[#This Row],[Month Year]],0))</f>
        <v>31</v>
      </c>
      <c r="H750" s="21">
        <v>45796</v>
      </c>
      <c r="I750" s="32">
        <f>IFERROR(VLOOKUP(TA[[#This Row],[Date]],Raw_Data[[Date]:[Sunset Time (POA&lt;20 W/m2)]],3,0),"")</f>
        <v>0.25208333333333333</v>
      </c>
      <c r="J750" s="32">
        <f>IFERROR(VLOOKUP(TA[[#This Row],[Date]],Raw_Data[[Date]:[Sunset Time (POA&lt;20 W/m2)]],4,0),"")</f>
        <v>0.77083333333333337</v>
      </c>
      <c r="K750" s="27">
        <f>IFERROR((TA[[#This Row],[Sunset Time (POA&lt;20 W/m2)]]-TA[[#This Row],[Sunrise Time (POA&gt;20 W/m2)]])*24,"")</f>
        <v>12.450000000000001</v>
      </c>
      <c r="L750" s="2" t="s">
        <v>285</v>
      </c>
      <c r="M750" s="33">
        <f>IFERROR(VLOOKUP(TA[[#This Row],[Affected Equipment]],'Basic Data'!$I$2:$K$40,3,0),"")</f>
        <v>1.7241379310344799E-3</v>
      </c>
      <c r="N750">
        <v>-28</v>
      </c>
      <c r="O750" t="s">
        <v>133</v>
      </c>
      <c r="P750" s="114" t="s">
        <v>307</v>
      </c>
      <c r="Q750" s="113" t="s">
        <v>308</v>
      </c>
      <c r="R750">
        <v>7</v>
      </c>
      <c r="S750" s="2">
        <v>32</v>
      </c>
      <c r="T750" t="s">
        <v>286</v>
      </c>
      <c r="U750" t="s">
        <v>291</v>
      </c>
      <c r="V750" t="s">
        <v>289</v>
      </c>
      <c r="W750" s="32"/>
      <c r="X750" s="32"/>
      <c r="Y750" s="26"/>
      <c r="Z750" s="26"/>
      <c r="AA750" s="27">
        <f>IF(TA[[#This Row],[Work Start time on Fault]]="NA","",(TA[[#This Row],[Fault Acknowledgement Time ]]-TA[[#This Row],[Fault Time]])*24)</f>
        <v>0</v>
      </c>
      <c r="AB750" s="27">
        <f>(TA[[#This Row],[Work Start time on Fault]]-TA[[#This Row],[Fault Time]])*24</f>
        <v>0</v>
      </c>
      <c r="AC750" s="26">
        <f>(TA[[#This Row],[Work Completion time on fault]]-TA[[#This Row],[Fault Time]])*24</f>
        <v>0</v>
      </c>
      <c r="AD750" s="27">
        <f>IFERROR((TA[[#This Row],[Work Completion time on fault]]-TA[[#This Row],[Fault Time]])*24,"")</f>
        <v>0</v>
      </c>
      <c r="AE750" t="s">
        <v>319</v>
      </c>
      <c r="AF750" t="s">
        <v>247</v>
      </c>
      <c r="AG750" s="2"/>
      <c r="AH750" s="35">
        <f>1-COS(RADIANS(TA[[#This Row],[Avg. Target Angle during Fault Time (Radians)]]-TA[[#This Row],[Angle of affected equipment ]]))</f>
        <v>0.11705240714107301</v>
      </c>
      <c r="AI750" s="27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43">
        <f t="shared" si="57"/>
        <v>2026</v>
      </c>
      <c r="C751" s="116">
        <f t="shared" si="58"/>
        <v>2025</v>
      </c>
      <c r="D751" s="2" t="s">
        <v>155</v>
      </c>
      <c r="E751" s="2" t="s">
        <v>155</v>
      </c>
      <c r="F751" s="30">
        <v>45778</v>
      </c>
      <c r="G751" s="2">
        <f>DAY(EOMONTH(TA[[#This Row],[Month Year]],0))</f>
        <v>31</v>
      </c>
      <c r="H751" s="21">
        <v>45796</v>
      </c>
      <c r="I751" s="32">
        <f>IFERROR(VLOOKUP(TA[[#This Row],[Date]],Raw_Data[[Date]:[Sunset Time (POA&lt;20 W/m2)]],3,0),"")</f>
        <v>0.25208333333333333</v>
      </c>
      <c r="J751" s="32">
        <f>IFERROR(VLOOKUP(TA[[#This Row],[Date]],Raw_Data[[Date]:[Sunset Time (POA&lt;20 W/m2)]],4,0),"")</f>
        <v>0.77083333333333337</v>
      </c>
      <c r="K751" s="27">
        <f>IFERROR((TA[[#This Row],[Sunset Time (POA&lt;20 W/m2)]]-TA[[#This Row],[Sunrise Time (POA&gt;20 W/m2)]])*24,"")</f>
        <v>12.450000000000001</v>
      </c>
      <c r="L751" s="2" t="s">
        <v>285</v>
      </c>
      <c r="M751" s="33">
        <f>IFERROR(VLOOKUP(TA[[#This Row],[Affected Equipment]],'Basic Data'!$I$2:$K$40,3,0),"")</f>
        <v>1.7241379310344799E-3</v>
      </c>
      <c r="N751">
        <v>-28</v>
      </c>
      <c r="O751" t="s">
        <v>137</v>
      </c>
      <c r="P751" s="114" t="s">
        <v>306</v>
      </c>
      <c r="Q751" s="113" t="s">
        <v>310</v>
      </c>
      <c r="R751">
        <v>166</v>
      </c>
      <c r="S751" s="2">
        <v>91</v>
      </c>
      <c r="T751" t="s">
        <v>286</v>
      </c>
      <c r="U751" t="s">
        <v>291</v>
      </c>
      <c r="V751" t="s">
        <v>289</v>
      </c>
      <c r="W751" s="32"/>
      <c r="X751" s="32"/>
      <c r="Y751" s="26"/>
      <c r="Z751" s="26"/>
      <c r="AA751" s="27">
        <f>IF(TA[[#This Row],[Work Start time on Fault]]="NA","",(TA[[#This Row],[Fault Acknowledgement Time ]]-TA[[#This Row],[Fault Time]])*24)</f>
        <v>0</v>
      </c>
      <c r="AB751" s="27">
        <f>(TA[[#This Row],[Work Start time on Fault]]-TA[[#This Row],[Fault Time]])*24</f>
        <v>0</v>
      </c>
      <c r="AC751" s="26">
        <f>(TA[[#This Row],[Work Completion time on fault]]-TA[[#This Row],[Fault Time]])*24</f>
        <v>0</v>
      </c>
      <c r="AD751" s="27">
        <f>IFERROR((TA[[#This Row],[Work Completion time on fault]]-TA[[#This Row],[Fault Time]])*24,"")</f>
        <v>0</v>
      </c>
      <c r="AE751" t="s">
        <v>319</v>
      </c>
      <c r="AF751" t="s">
        <v>247</v>
      </c>
      <c r="AG751" s="2"/>
      <c r="AH751" s="35">
        <f>1-COS(RADIANS(TA[[#This Row],[Avg. Target Angle during Fault Time (Radians)]]-TA[[#This Row],[Angle of affected equipment ]]))</f>
        <v>0.11705240714107301</v>
      </c>
      <c r="AI751" s="27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43">
        <f t="shared" si="57"/>
        <v>2026</v>
      </c>
      <c r="C752" s="116">
        <f t="shared" si="58"/>
        <v>2025</v>
      </c>
      <c r="D752" s="2" t="s">
        <v>155</v>
      </c>
      <c r="E752" s="2" t="s">
        <v>155</v>
      </c>
      <c r="F752" s="30">
        <v>45778</v>
      </c>
      <c r="G752" s="2">
        <f>DAY(EOMONTH(TA[[#This Row],[Month Year]],0))</f>
        <v>31</v>
      </c>
      <c r="H752" s="21">
        <v>45796</v>
      </c>
      <c r="I752" s="32">
        <f>IFERROR(VLOOKUP(TA[[#This Row],[Date]],Raw_Data[[Date]:[Sunset Time (POA&lt;20 W/m2)]],3,0),"")</f>
        <v>0.25208333333333333</v>
      </c>
      <c r="J752" s="32">
        <f>IFERROR(VLOOKUP(TA[[#This Row],[Date]],Raw_Data[[Date]:[Sunset Time (POA&lt;20 W/m2)]],4,0),"")</f>
        <v>0.77083333333333337</v>
      </c>
      <c r="K752" s="27">
        <f>IFERROR((TA[[#This Row],[Sunset Time (POA&lt;20 W/m2)]]-TA[[#This Row],[Sunrise Time (POA&gt;20 W/m2)]])*24,"")</f>
        <v>12.450000000000001</v>
      </c>
      <c r="L752" s="2" t="s">
        <v>285</v>
      </c>
      <c r="M752" s="33">
        <f>IFERROR(VLOOKUP(TA[[#This Row],[Affected Equipment]],'Basic Data'!$I$2:$K$40,3,0),"")</f>
        <v>1.7241379310344799E-3</v>
      </c>
      <c r="N752">
        <v>-28</v>
      </c>
      <c r="O752" t="s">
        <v>133</v>
      </c>
      <c r="P752" s="114" t="s">
        <v>307</v>
      </c>
      <c r="Q752" s="113" t="s">
        <v>307</v>
      </c>
      <c r="R752">
        <v>117</v>
      </c>
      <c r="S752" s="2">
        <v>20</v>
      </c>
      <c r="T752" t="s">
        <v>286</v>
      </c>
      <c r="U752" t="s">
        <v>291</v>
      </c>
      <c r="V752" t="s">
        <v>289</v>
      </c>
      <c r="W752" s="32"/>
      <c r="X752" s="32"/>
      <c r="Y752" s="26"/>
      <c r="Z752" s="26"/>
      <c r="AA752" s="27">
        <f>IF(TA[[#This Row],[Work Start time on Fault]]="NA","",(TA[[#This Row],[Fault Acknowledgement Time ]]-TA[[#This Row],[Fault Time]])*24)</f>
        <v>0</v>
      </c>
      <c r="AB752" s="27">
        <f>(TA[[#This Row],[Work Start time on Fault]]-TA[[#This Row],[Fault Time]])*24</f>
        <v>0</v>
      </c>
      <c r="AC752" s="26">
        <f>(TA[[#This Row],[Work Completion time on fault]]-TA[[#This Row],[Fault Time]])*24</f>
        <v>0</v>
      </c>
      <c r="AD752" s="27">
        <f>IFERROR((TA[[#This Row],[Work Completion time on fault]]-TA[[#This Row],[Fault Time]])*24,"")</f>
        <v>0</v>
      </c>
      <c r="AE752" t="s">
        <v>319</v>
      </c>
      <c r="AF752" t="s">
        <v>247</v>
      </c>
      <c r="AG752" s="2"/>
      <c r="AH752" s="35">
        <f>1-COS(RADIANS(TA[[#This Row],[Avg. Target Angle during Fault Time (Radians)]]-TA[[#This Row],[Angle of affected equipment ]]))</f>
        <v>0.11705240714107301</v>
      </c>
      <c r="AI752" s="27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43">
        <f t="shared" si="57"/>
        <v>2026</v>
      </c>
      <c r="C753" s="116">
        <f t="shared" si="58"/>
        <v>2025</v>
      </c>
      <c r="D753" s="2" t="s">
        <v>155</v>
      </c>
      <c r="E753" s="2" t="s">
        <v>155</v>
      </c>
      <c r="F753" s="30">
        <v>45778</v>
      </c>
      <c r="G753" s="2">
        <f>DAY(EOMONTH(TA[[#This Row],[Month Year]],0))</f>
        <v>31</v>
      </c>
      <c r="H753" s="21">
        <v>45796</v>
      </c>
      <c r="I753" s="32">
        <f>IFERROR(VLOOKUP(TA[[#This Row],[Date]],Raw_Data[[Date]:[Sunset Time (POA&lt;20 W/m2)]],3,0),"")</f>
        <v>0.25208333333333333</v>
      </c>
      <c r="J753" s="32">
        <f>IFERROR(VLOOKUP(TA[[#This Row],[Date]],Raw_Data[[Date]:[Sunset Time (POA&lt;20 W/m2)]],4,0),"")</f>
        <v>0.77083333333333337</v>
      </c>
      <c r="K753" s="27">
        <f>IFERROR((TA[[#This Row],[Sunset Time (POA&lt;20 W/m2)]]-TA[[#This Row],[Sunrise Time (POA&gt;20 W/m2)]])*24,"")</f>
        <v>12.450000000000001</v>
      </c>
      <c r="L753" s="2" t="s">
        <v>285</v>
      </c>
      <c r="M753" s="33">
        <f>IFERROR(VLOOKUP(TA[[#This Row],[Affected Equipment]],'Basic Data'!$I$2:$K$40,3,0),"")</f>
        <v>1.7241379310344799E-3</v>
      </c>
      <c r="N753">
        <v>-28</v>
      </c>
      <c r="O753" t="s">
        <v>133</v>
      </c>
      <c r="P753" s="114" t="s">
        <v>307</v>
      </c>
      <c r="Q753" s="113" t="s">
        <v>307</v>
      </c>
      <c r="R753">
        <v>118</v>
      </c>
      <c r="S753" s="2">
        <v>22</v>
      </c>
      <c r="T753" t="s">
        <v>286</v>
      </c>
      <c r="U753" t="s">
        <v>291</v>
      </c>
      <c r="V753" t="s">
        <v>289</v>
      </c>
      <c r="W753" s="32"/>
      <c r="X753" s="32"/>
      <c r="Y753" s="26"/>
      <c r="Z753" s="26"/>
      <c r="AA753" s="27">
        <f>IF(TA[[#This Row],[Work Start time on Fault]]="NA","",(TA[[#This Row],[Fault Acknowledgement Time ]]-TA[[#This Row],[Fault Time]])*24)</f>
        <v>0</v>
      </c>
      <c r="AB753" s="27">
        <f>(TA[[#This Row],[Work Start time on Fault]]-TA[[#This Row],[Fault Time]])*24</f>
        <v>0</v>
      </c>
      <c r="AC753" s="26">
        <f>(TA[[#This Row],[Work Completion time on fault]]-TA[[#This Row],[Fault Time]])*24</f>
        <v>0</v>
      </c>
      <c r="AD753" s="27">
        <f>IFERROR((TA[[#This Row],[Work Completion time on fault]]-TA[[#This Row],[Fault Time]])*24,"")</f>
        <v>0</v>
      </c>
      <c r="AE753" t="s">
        <v>319</v>
      </c>
      <c r="AF753" t="s">
        <v>247</v>
      </c>
      <c r="AG753" s="2"/>
      <c r="AH753" s="35">
        <f>1-COS(RADIANS(TA[[#This Row],[Avg. Target Angle during Fault Time (Radians)]]-TA[[#This Row],[Angle of affected equipment ]]))</f>
        <v>0.11705240714107301</v>
      </c>
      <c r="AI753" s="27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43">
        <f t="shared" si="57"/>
        <v>2026</v>
      </c>
      <c r="C754" s="116">
        <f t="shared" si="58"/>
        <v>2025</v>
      </c>
      <c r="D754" s="2" t="s">
        <v>155</v>
      </c>
      <c r="E754" s="2" t="s">
        <v>155</v>
      </c>
      <c r="F754" s="30">
        <v>45778</v>
      </c>
      <c r="G754" s="2">
        <f>DAY(EOMONTH(TA[[#This Row],[Month Year]],0))</f>
        <v>31</v>
      </c>
      <c r="H754" s="21">
        <v>45796</v>
      </c>
      <c r="I754" s="32">
        <f>IFERROR(VLOOKUP(TA[[#This Row],[Date]],Raw_Data[[Date]:[Sunset Time (POA&lt;20 W/m2)]],3,0),"")</f>
        <v>0.25208333333333333</v>
      </c>
      <c r="J754" s="32">
        <f>IFERROR(VLOOKUP(TA[[#This Row],[Date]],Raw_Data[[Date]:[Sunset Time (POA&lt;20 W/m2)]],4,0),"")</f>
        <v>0.77083333333333337</v>
      </c>
      <c r="K754" s="27">
        <f>IFERROR((TA[[#This Row],[Sunset Time (POA&lt;20 W/m2)]]-TA[[#This Row],[Sunrise Time (POA&gt;20 W/m2)]])*24,"")</f>
        <v>12.450000000000001</v>
      </c>
      <c r="L754" s="2" t="s">
        <v>287</v>
      </c>
      <c r="M754" s="33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314</v>
      </c>
      <c r="Q754" s="2" t="s">
        <v>320</v>
      </c>
      <c r="R754">
        <v>45</v>
      </c>
      <c r="S754" s="2">
        <v>8</v>
      </c>
      <c r="T754" t="s">
        <v>288</v>
      </c>
      <c r="U754" t="s">
        <v>291</v>
      </c>
      <c r="V754" t="s">
        <v>292</v>
      </c>
      <c r="W754" s="32"/>
      <c r="X754" s="32"/>
      <c r="Y754" s="26"/>
      <c r="Z754" s="26"/>
      <c r="AA754" s="27">
        <f>IF(TA[[#This Row],[Work Start time on Fault]]="NA","",(TA[[#This Row],[Fault Acknowledgement Time ]]-TA[[#This Row],[Fault Time]])*24)</f>
        <v>0</v>
      </c>
      <c r="AB754" s="27">
        <f>(TA[[#This Row],[Work Start time on Fault]]-TA[[#This Row],[Fault Time]])*24</f>
        <v>0</v>
      </c>
      <c r="AC754" s="26">
        <f>(TA[[#This Row],[Work Completion time on fault]]-TA[[#This Row],[Fault Time]])*24</f>
        <v>0</v>
      </c>
      <c r="AD754" s="27">
        <f>IFERROR((TA[[#This Row],[Work Completion time on fault]]-TA[[#This Row],[Fault Time]])*24,"")</f>
        <v>0</v>
      </c>
      <c r="AE754" t="s">
        <v>319</v>
      </c>
      <c r="AF754" t="s">
        <v>247</v>
      </c>
      <c r="AG754" s="2"/>
      <c r="AH754" s="35">
        <f>1-COS(RADIANS(TA[[#This Row],[Avg. Target Angle during Fault Time (Radians)]]-TA[[#This Row],[Angle of affected equipment ]]))</f>
        <v>0.11705240714107301</v>
      </c>
      <c r="AI754" s="27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43">
        <f t="shared" si="57"/>
        <v>2026</v>
      </c>
      <c r="C755" s="116">
        <f t="shared" si="58"/>
        <v>2025</v>
      </c>
      <c r="D755" s="2" t="s">
        <v>155</v>
      </c>
      <c r="E755" s="2" t="s">
        <v>155</v>
      </c>
      <c r="F755" s="30">
        <v>45778</v>
      </c>
      <c r="G755" s="2">
        <f>DAY(EOMONTH(TA[[#This Row],[Month Year]],0))</f>
        <v>31</v>
      </c>
      <c r="H755" s="21">
        <v>45796</v>
      </c>
      <c r="I755" s="32">
        <f>IFERROR(VLOOKUP(TA[[#This Row],[Date]],Raw_Data[[Date]:[Sunset Time (POA&lt;20 W/m2)]],3,0),"")</f>
        <v>0.25208333333333333</v>
      </c>
      <c r="J755" s="32">
        <f>IFERROR(VLOOKUP(TA[[#This Row],[Date]],Raw_Data[[Date]:[Sunset Time (POA&lt;20 W/m2)]],4,0),"")</f>
        <v>0.77083333333333337</v>
      </c>
      <c r="K755" s="27">
        <f>IFERROR((TA[[#This Row],[Sunset Time (POA&lt;20 W/m2)]]-TA[[#This Row],[Sunrise Time (POA&gt;20 W/m2)]])*24,"")</f>
        <v>12.450000000000001</v>
      </c>
      <c r="L755" s="2" t="s">
        <v>287</v>
      </c>
      <c r="M755" s="33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314</v>
      </c>
      <c r="Q755" s="2" t="s">
        <v>320</v>
      </c>
      <c r="R755">
        <v>47</v>
      </c>
      <c r="S755" s="2">
        <v>18</v>
      </c>
      <c r="T755" t="s">
        <v>288</v>
      </c>
      <c r="U755" t="s">
        <v>291</v>
      </c>
      <c r="V755" t="s">
        <v>292</v>
      </c>
      <c r="W755" s="32"/>
      <c r="X755" s="32"/>
      <c r="Y755" s="26"/>
      <c r="Z755" s="26"/>
      <c r="AA755" s="27">
        <f>IF(TA[[#This Row],[Work Start time on Fault]]="NA","",(TA[[#This Row],[Fault Acknowledgement Time ]]-TA[[#This Row],[Fault Time]])*24)</f>
        <v>0</v>
      </c>
      <c r="AB755" s="27">
        <f>(TA[[#This Row],[Work Start time on Fault]]-TA[[#This Row],[Fault Time]])*24</f>
        <v>0</v>
      </c>
      <c r="AC755" s="26">
        <f>(TA[[#This Row],[Work Completion time on fault]]-TA[[#This Row],[Fault Time]])*24</f>
        <v>0</v>
      </c>
      <c r="AD755" s="27">
        <f>IFERROR((TA[[#This Row],[Work Completion time on fault]]-TA[[#This Row],[Fault Time]])*24,"")</f>
        <v>0</v>
      </c>
      <c r="AE755" t="s">
        <v>319</v>
      </c>
      <c r="AF755" t="s">
        <v>247</v>
      </c>
      <c r="AG755" s="2"/>
      <c r="AH755" s="35">
        <f>1-COS(RADIANS(TA[[#This Row],[Avg. Target Angle during Fault Time (Radians)]]-TA[[#This Row],[Angle of affected equipment ]]))</f>
        <v>0.11705240714107301</v>
      </c>
      <c r="AI755" s="27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43">
        <f t="shared" si="57"/>
        <v>2026</v>
      </c>
      <c r="C756" s="116">
        <f t="shared" si="58"/>
        <v>2025</v>
      </c>
      <c r="D756" s="2" t="s">
        <v>155</v>
      </c>
      <c r="E756" s="2" t="s">
        <v>155</v>
      </c>
      <c r="F756" s="30">
        <v>45778</v>
      </c>
      <c r="G756" s="2">
        <f>DAY(EOMONTH(TA[[#This Row],[Month Year]],0))</f>
        <v>31</v>
      </c>
      <c r="H756" s="21">
        <v>45796</v>
      </c>
      <c r="I756" s="32">
        <f>IFERROR(VLOOKUP(TA[[#This Row],[Date]],Raw_Data[[Date]:[Sunset Time (POA&lt;20 W/m2)]],3,0),"")</f>
        <v>0.25208333333333333</v>
      </c>
      <c r="J756" s="32">
        <f>IFERROR(VLOOKUP(TA[[#This Row],[Date]],Raw_Data[[Date]:[Sunset Time (POA&lt;20 W/m2)]],4,0),"")</f>
        <v>0.77083333333333337</v>
      </c>
      <c r="K756" s="27">
        <f>IFERROR((TA[[#This Row],[Sunset Time (POA&lt;20 W/m2)]]-TA[[#This Row],[Sunrise Time (POA&gt;20 W/m2)]])*24,"")</f>
        <v>12.450000000000001</v>
      </c>
      <c r="L756" s="2" t="s">
        <v>287</v>
      </c>
      <c r="M756" s="33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321</v>
      </c>
      <c r="Q756" s="2" t="s">
        <v>314</v>
      </c>
      <c r="R756">
        <v>30</v>
      </c>
      <c r="S756" s="2">
        <v>57</v>
      </c>
      <c r="T756" t="s">
        <v>288</v>
      </c>
      <c r="U756" t="s">
        <v>291</v>
      </c>
      <c r="V756" t="s">
        <v>292</v>
      </c>
      <c r="W756" s="32"/>
      <c r="X756" s="32"/>
      <c r="Y756" s="26"/>
      <c r="Z756" s="26"/>
      <c r="AA756" s="27">
        <f>IF(TA[[#This Row],[Work Start time on Fault]]="NA","",(TA[[#This Row],[Fault Acknowledgement Time ]]-TA[[#This Row],[Fault Time]])*24)</f>
        <v>0</v>
      </c>
      <c r="AB756" s="27">
        <f>(TA[[#This Row],[Work Start time on Fault]]-TA[[#This Row],[Fault Time]])*24</f>
        <v>0</v>
      </c>
      <c r="AC756" s="26">
        <f>(TA[[#This Row],[Work Completion time on fault]]-TA[[#This Row],[Fault Time]])*24</f>
        <v>0</v>
      </c>
      <c r="AD756" s="27">
        <f>IFERROR((TA[[#This Row],[Work Completion time on fault]]-TA[[#This Row],[Fault Time]])*24,"")</f>
        <v>0</v>
      </c>
      <c r="AE756" t="s">
        <v>319</v>
      </c>
      <c r="AF756" t="s">
        <v>247</v>
      </c>
      <c r="AG756" s="2"/>
      <c r="AH756" s="35">
        <f>1-COS(RADIANS(TA[[#This Row],[Avg. Target Angle during Fault Time (Radians)]]-TA[[#This Row],[Angle of affected equipment ]]))</f>
        <v>0.11705240714107301</v>
      </c>
      <c r="AI756" s="27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43">
        <f t="shared" si="57"/>
        <v>2026</v>
      </c>
      <c r="C757" s="116">
        <f t="shared" si="58"/>
        <v>2025</v>
      </c>
      <c r="D757" s="2" t="s">
        <v>155</v>
      </c>
      <c r="E757" s="2" t="s">
        <v>155</v>
      </c>
      <c r="F757" s="30">
        <v>45778</v>
      </c>
      <c r="G757" s="2">
        <f>DAY(EOMONTH(TA[[#This Row],[Month Year]],0))</f>
        <v>31</v>
      </c>
      <c r="H757" s="21">
        <v>45796</v>
      </c>
      <c r="I757" s="32">
        <f>IFERROR(VLOOKUP(TA[[#This Row],[Date]],Raw_Data[[Date]:[Sunset Time (POA&lt;20 W/m2)]],3,0),"")</f>
        <v>0.25208333333333333</v>
      </c>
      <c r="J757" s="32">
        <f>IFERROR(VLOOKUP(TA[[#This Row],[Date]],Raw_Data[[Date]:[Sunset Time (POA&lt;20 W/m2)]],4,0),"")</f>
        <v>0.77083333333333337</v>
      </c>
      <c r="K757" s="27">
        <f>IFERROR((TA[[#This Row],[Sunset Time (POA&lt;20 W/m2)]]-TA[[#This Row],[Sunrise Time (POA&gt;20 W/m2)]])*24,"")</f>
        <v>12.450000000000001</v>
      </c>
      <c r="L757" s="2" t="s">
        <v>287</v>
      </c>
      <c r="M757" s="33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321</v>
      </c>
      <c r="Q757" s="2" t="s">
        <v>314</v>
      </c>
      <c r="R757">
        <v>31</v>
      </c>
      <c r="S757" s="2">
        <v>61</v>
      </c>
      <c r="T757" t="s">
        <v>288</v>
      </c>
      <c r="U757" t="s">
        <v>291</v>
      </c>
      <c r="V757" t="s">
        <v>292</v>
      </c>
      <c r="W757" s="32"/>
      <c r="X757" s="32"/>
      <c r="Y757" s="26"/>
      <c r="Z757" s="26"/>
      <c r="AA757" s="27">
        <f>IF(TA[[#This Row],[Work Start time on Fault]]="NA","",(TA[[#This Row],[Fault Acknowledgement Time ]]-TA[[#This Row],[Fault Time]])*24)</f>
        <v>0</v>
      </c>
      <c r="AB757" s="27">
        <f>(TA[[#This Row],[Work Start time on Fault]]-TA[[#This Row],[Fault Time]])*24</f>
        <v>0</v>
      </c>
      <c r="AC757" s="26">
        <f>(TA[[#This Row],[Work Completion time on fault]]-TA[[#This Row],[Fault Time]])*24</f>
        <v>0</v>
      </c>
      <c r="AD757" s="27">
        <f>IFERROR((TA[[#This Row],[Work Completion time on fault]]-TA[[#This Row],[Fault Time]])*24,"")</f>
        <v>0</v>
      </c>
      <c r="AE757" t="s">
        <v>319</v>
      </c>
      <c r="AF757" t="s">
        <v>247</v>
      </c>
      <c r="AG757" s="2"/>
      <c r="AH757" s="35">
        <f>1-COS(RADIANS(TA[[#This Row],[Avg. Target Angle during Fault Time (Radians)]]-TA[[#This Row],[Angle of affected equipment ]]))</f>
        <v>0.11705240714107301</v>
      </c>
      <c r="AI757" s="27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43">
        <f t="shared" si="57"/>
        <v>2026</v>
      </c>
      <c r="C758" s="116">
        <f t="shared" si="58"/>
        <v>2025</v>
      </c>
      <c r="D758" s="2" t="s">
        <v>155</v>
      </c>
      <c r="E758" s="2" t="s">
        <v>155</v>
      </c>
      <c r="F758" s="30">
        <v>45778</v>
      </c>
      <c r="G758" s="2">
        <f>DAY(EOMONTH(TA[[#This Row],[Month Year]],0))</f>
        <v>31</v>
      </c>
      <c r="H758" s="21">
        <v>45796</v>
      </c>
      <c r="I758" s="32">
        <f>IFERROR(VLOOKUP(TA[[#This Row],[Date]],Raw_Data[[Date]:[Sunset Time (POA&lt;20 W/m2)]],3,0),"")</f>
        <v>0.25208333333333333</v>
      </c>
      <c r="J758" s="32">
        <f>IFERROR(VLOOKUP(TA[[#This Row],[Date]],Raw_Data[[Date]:[Sunset Time (POA&lt;20 W/m2)]],4,0),"")</f>
        <v>0.77083333333333337</v>
      </c>
      <c r="K758" s="27">
        <f>IFERROR((TA[[#This Row],[Sunset Time (POA&lt;20 W/m2)]]-TA[[#This Row],[Sunrise Time (POA&gt;20 W/m2)]])*24,"")</f>
        <v>12.450000000000001</v>
      </c>
      <c r="L758" s="2" t="s">
        <v>303</v>
      </c>
      <c r="M758" s="33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321</v>
      </c>
      <c r="Q758" s="2" t="s">
        <v>314</v>
      </c>
      <c r="R758">
        <v>26</v>
      </c>
      <c r="S758" s="2">
        <v>37</v>
      </c>
      <c r="T758" t="s">
        <v>288</v>
      </c>
      <c r="U758" t="s">
        <v>291</v>
      </c>
      <c r="V758" t="s">
        <v>292</v>
      </c>
      <c r="W758" s="32"/>
      <c r="X758" s="32"/>
      <c r="Y758" s="26"/>
      <c r="Z758" s="26"/>
      <c r="AA758" s="27">
        <f>IF(TA[[#This Row],[Work Start time on Fault]]="NA","",(TA[[#This Row],[Fault Acknowledgement Time ]]-TA[[#This Row],[Fault Time]])*24)</f>
        <v>0</v>
      </c>
      <c r="AB758" s="27">
        <f>(TA[[#This Row],[Work Start time on Fault]]-TA[[#This Row],[Fault Time]])*24</f>
        <v>0</v>
      </c>
      <c r="AC758" s="26">
        <f>(TA[[#This Row],[Work Completion time on fault]]-TA[[#This Row],[Fault Time]])*24</f>
        <v>0</v>
      </c>
      <c r="AD758" s="27">
        <f>IFERROR((TA[[#This Row],[Work Completion time on fault]]-TA[[#This Row],[Fault Time]])*24,"")</f>
        <v>0</v>
      </c>
      <c r="AE758" t="s">
        <v>319</v>
      </c>
      <c r="AF758" t="s">
        <v>247</v>
      </c>
      <c r="AG758" s="2"/>
      <c r="AH758" s="35">
        <f>1-COS(RADIANS(TA[[#This Row],[Avg. Target Angle during Fault Time (Radians)]]-TA[[#This Row],[Angle of affected equipment ]]))</f>
        <v>0.11705240714107301</v>
      </c>
      <c r="AI758" s="27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43">
        <f t="shared" si="57"/>
        <v>2026</v>
      </c>
      <c r="C759" s="116">
        <f t="shared" si="58"/>
        <v>2025</v>
      </c>
      <c r="D759" s="2" t="s">
        <v>155</v>
      </c>
      <c r="E759" s="2" t="s">
        <v>155</v>
      </c>
      <c r="F759" s="30">
        <v>45778</v>
      </c>
      <c r="G759" s="2">
        <f>DAY(EOMONTH(TA[[#This Row],[Month Year]],0))</f>
        <v>31</v>
      </c>
      <c r="H759" s="21">
        <v>45796</v>
      </c>
      <c r="I759" s="32">
        <f>IFERROR(VLOOKUP(TA[[#This Row],[Date]],Raw_Data[[Date]:[Sunset Time (POA&lt;20 W/m2)]],3,0),"")</f>
        <v>0.25208333333333333</v>
      </c>
      <c r="J759" s="32">
        <f>IFERROR(VLOOKUP(TA[[#This Row],[Date]],Raw_Data[[Date]:[Sunset Time (POA&lt;20 W/m2)]],4,0),"")</f>
        <v>0.77083333333333337</v>
      </c>
      <c r="K759" s="27">
        <f>IFERROR((TA[[#This Row],[Sunset Time (POA&lt;20 W/m2)]]-TA[[#This Row],[Sunrise Time (POA&gt;20 W/m2)]])*24,"")</f>
        <v>12.450000000000001</v>
      </c>
      <c r="L759" s="2" t="s">
        <v>303</v>
      </c>
      <c r="M759" s="33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321</v>
      </c>
      <c r="Q759" s="2" t="s">
        <v>314</v>
      </c>
      <c r="R759">
        <v>27</v>
      </c>
      <c r="S759" s="2">
        <v>42</v>
      </c>
      <c r="T759" t="s">
        <v>288</v>
      </c>
      <c r="U759" t="s">
        <v>291</v>
      </c>
      <c r="V759" t="s">
        <v>292</v>
      </c>
      <c r="W759" s="32">
        <f>IFERROR(VLOOKUP(TA[[#This Row],[Date]],Raw_Data[[Date]:[Sunset Time (POA&lt;20 W/m2)]],3,0),"")</f>
        <v>0.25208333333333333</v>
      </c>
      <c r="X759" s="32">
        <f>IFERROR(VLOOKUP(TA[[#This Row],[Date]],Raw_Data[[Date]:[Sunset Time (POA&lt;20 W/m2)]],3,0),"")</f>
        <v>0.25208333333333333</v>
      </c>
      <c r="Y759" s="26"/>
      <c r="Z759" s="26">
        <v>0.76041666666666663</v>
      </c>
      <c r="AA759" s="27">
        <f>IF(TA[[#This Row],[Work Start time on Fault]]="NA","",(TA[[#This Row],[Fault Acknowledgement Time ]]-TA[[#This Row],[Fault Time]])*24)</f>
        <v>0</v>
      </c>
      <c r="AB759" s="27">
        <f>(TA[[#This Row],[Work Start time on Fault]]-TA[[#This Row],[Fault Time]])*24</f>
        <v>-6.05</v>
      </c>
      <c r="AC759" s="26">
        <f>(TA[[#This Row],[Work Completion time on fault]]-TA[[#This Row],[Fault Time]])*24</f>
        <v>12.2</v>
      </c>
      <c r="AD759" s="27">
        <f>IFERROR((TA[[#This Row],[Work Completion time on fault]]-TA[[#This Row],[Fault Time]])*24,"")</f>
        <v>12.2</v>
      </c>
      <c r="AE759" t="s">
        <v>300</v>
      </c>
      <c r="AF759" t="s">
        <v>247</v>
      </c>
      <c r="AG759" s="2"/>
      <c r="AH759" s="35">
        <f>1-COS(RADIANS(TA[[#This Row],[Avg. Target Angle during Fault Time (Radians)]]-TA[[#This Row],[Angle of affected equipment ]]))</f>
        <v>0.11705240714107301</v>
      </c>
      <c r="AI759" s="27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43">
        <f t="shared" ref="B760:B776" si="59">YEAR(H760)+IF(MONTH(H760)&gt;=4,1,0)</f>
        <v>2026</v>
      </c>
      <c r="C760" s="116">
        <f t="shared" ref="C760:C776" si="60">YEAR(H760)</f>
        <v>2025</v>
      </c>
      <c r="D760" s="2" t="s">
        <v>155</v>
      </c>
      <c r="E760" s="2" t="s">
        <v>155</v>
      </c>
      <c r="F760" s="30">
        <v>45778</v>
      </c>
      <c r="G760" s="2">
        <f>DAY(EOMONTH(TA[[#This Row],[Month Year]],0))</f>
        <v>31</v>
      </c>
      <c r="H760" s="21">
        <v>45796</v>
      </c>
      <c r="I760" s="32">
        <f>IFERROR(VLOOKUP(TA[[#This Row],[Date]],Raw_Data[[Date]:[Sunset Time (POA&lt;20 W/m2)]],3,0),"")</f>
        <v>0.25208333333333333</v>
      </c>
      <c r="J760" s="32">
        <f>IFERROR(VLOOKUP(TA[[#This Row],[Date]],Raw_Data[[Date]:[Sunset Time (POA&lt;20 W/m2)]],4,0),"")</f>
        <v>0.77083333333333337</v>
      </c>
      <c r="K760" s="27">
        <f>IFERROR((TA[[#This Row],[Sunset Time (POA&lt;20 W/m2)]]-TA[[#This Row],[Sunrise Time (POA&gt;20 W/m2)]])*24,"")</f>
        <v>12.450000000000001</v>
      </c>
      <c r="L760" s="2" t="s">
        <v>285</v>
      </c>
      <c r="M760" s="33">
        <f>IFERROR(VLOOKUP(TA[[#This Row],[Affected Equipment]],'Basic Data'!$I$2:$K$40,3,0),"")</f>
        <v>1.7241379310344799E-3</v>
      </c>
      <c r="N760">
        <v>-28</v>
      </c>
      <c r="O760" t="s">
        <v>132</v>
      </c>
      <c r="P760" s="114" t="s">
        <v>307</v>
      </c>
      <c r="Q760" s="113" t="s">
        <v>311</v>
      </c>
      <c r="R760">
        <v>28</v>
      </c>
      <c r="S760" s="2">
        <v>45</v>
      </c>
      <c r="T760" t="s">
        <v>286</v>
      </c>
      <c r="U760" t="s">
        <v>291</v>
      </c>
      <c r="V760" t="s">
        <v>289</v>
      </c>
      <c r="W760" s="32">
        <f>IFERROR(VLOOKUP(TA[[#This Row],[Date]],Raw_Data[[Date]:[Sunset Time (POA&lt;20 W/m2)]],3,0),"")</f>
        <v>0.25208333333333333</v>
      </c>
      <c r="X760" s="32">
        <f>IFERROR(VLOOKUP(TA[[#This Row],[Date]],Raw_Data[[Date]:[Sunset Time (POA&lt;20 W/m2)]],3,0),"")</f>
        <v>0.25208333333333333</v>
      </c>
      <c r="Y760" s="26">
        <v>0.64583333333333337</v>
      </c>
      <c r="Z760" s="26">
        <v>0.66319444444444442</v>
      </c>
      <c r="AA760" s="27">
        <f>IF(TA[[#This Row],[Work Start time on Fault]]="NA","",(TA[[#This Row],[Fault Acknowledgement Time ]]-TA[[#This Row],[Fault Time]])*24)</f>
        <v>0</v>
      </c>
      <c r="AB760" s="27">
        <f>(TA[[#This Row],[Work Start time on Fault]]-TA[[#This Row],[Fault Time]])*24</f>
        <v>9.4500000000000011</v>
      </c>
      <c r="AC760" s="26">
        <f>(TA[[#This Row],[Work Completion time on fault]]-TA[[#This Row],[Fault Time]])*24</f>
        <v>9.8666666666666671</v>
      </c>
      <c r="AD760" s="27">
        <f>IFERROR((TA[[#This Row],[Work Completion time on fault]]-TA[[#This Row],[Fault Time]])*24,"")</f>
        <v>9.8666666666666671</v>
      </c>
      <c r="AE760" t="s">
        <v>319</v>
      </c>
      <c r="AF760" t="s">
        <v>247</v>
      </c>
      <c r="AG760" s="2"/>
      <c r="AH760" s="35">
        <f>1-COS(RADIANS(TA[[#This Row],[Avg. Target Angle during Fault Time (Radians)]]-TA[[#This Row],[Angle of affected equipment ]]))</f>
        <v>0.11705240714107301</v>
      </c>
      <c r="AI760" s="27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43">
        <f t="shared" si="59"/>
        <v>2026</v>
      </c>
      <c r="C761" s="116">
        <f t="shared" si="60"/>
        <v>2025</v>
      </c>
      <c r="D761" s="2" t="s">
        <v>155</v>
      </c>
      <c r="E761" s="2" t="s">
        <v>155</v>
      </c>
      <c r="F761" s="30">
        <v>45778</v>
      </c>
      <c r="G761" s="2">
        <f>DAY(EOMONTH(TA[[#This Row],[Month Year]],0))</f>
        <v>31</v>
      </c>
      <c r="H761" s="21">
        <v>45796</v>
      </c>
      <c r="I761" s="32">
        <f>IFERROR(VLOOKUP(TA[[#This Row],[Date]],Raw_Data[[Date]:[Sunset Time (POA&lt;20 W/m2)]],3,0),"")</f>
        <v>0.25208333333333333</v>
      </c>
      <c r="J761" s="32">
        <f>IFERROR(VLOOKUP(TA[[#This Row],[Date]],Raw_Data[[Date]:[Sunset Time (POA&lt;20 W/m2)]],4,0),"")</f>
        <v>0.77083333333333337</v>
      </c>
      <c r="K761" s="27">
        <f>IFERROR((TA[[#This Row],[Sunset Time (POA&lt;20 W/m2)]]-TA[[#This Row],[Sunrise Time (POA&gt;20 W/m2)]])*24,"")</f>
        <v>12.450000000000001</v>
      </c>
      <c r="L761" s="2" t="s">
        <v>285</v>
      </c>
      <c r="M761" s="33">
        <f>IFERROR(VLOOKUP(TA[[#This Row],[Affected Equipment]],'Basic Data'!$I$2:$K$40,3,0),"")</f>
        <v>1.7241379310344799E-3</v>
      </c>
      <c r="N761">
        <v>-28</v>
      </c>
      <c r="O761" t="s">
        <v>137</v>
      </c>
      <c r="P761" s="114" t="s">
        <v>306</v>
      </c>
      <c r="Q761" s="113" t="s">
        <v>306</v>
      </c>
      <c r="R761">
        <v>70</v>
      </c>
      <c r="S761" s="2">
        <v>46</v>
      </c>
      <c r="T761" t="s">
        <v>286</v>
      </c>
      <c r="U761" t="s">
        <v>291</v>
      </c>
      <c r="V761" t="s">
        <v>289</v>
      </c>
      <c r="W761" s="32">
        <f>IFERROR(VLOOKUP(TA[[#This Row],[Date]],Raw_Data[[Date]:[Sunset Time (POA&lt;20 W/m2)]],3,0),"")</f>
        <v>0.25208333333333333</v>
      </c>
      <c r="X761" s="32">
        <f>IFERROR(VLOOKUP(TA[[#This Row],[Date]],Raw_Data[[Date]:[Sunset Time (POA&lt;20 W/m2)]],3,0),"")</f>
        <v>0.25208333333333333</v>
      </c>
      <c r="Y761" s="26">
        <v>0.66736111111111107</v>
      </c>
      <c r="Z761" s="26">
        <v>0.67708333333333337</v>
      </c>
      <c r="AA761" s="27">
        <f>IF(TA[[#This Row],[Work Start time on Fault]]="NA","",(TA[[#This Row],[Fault Acknowledgement Time ]]-TA[[#This Row],[Fault Time]])*24)</f>
        <v>0</v>
      </c>
      <c r="AB761" s="27">
        <f>(TA[[#This Row],[Work Start time on Fault]]-TA[[#This Row],[Fault Time]])*24</f>
        <v>9.966666666666665</v>
      </c>
      <c r="AC761" s="26">
        <f>(TA[[#This Row],[Work Completion time on fault]]-TA[[#This Row],[Fault Time]])*24</f>
        <v>10.200000000000001</v>
      </c>
      <c r="AD761" s="27">
        <f>IFERROR((TA[[#This Row],[Work Completion time on fault]]-TA[[#This Row],[Fault Time]])*24,"")</f>
        <v>10.200000000000001</v>
      </c>
      <c r="AE761" t="s">
        <v>319</v>
      </c>
      <c r="AF761" t="s">
        <v>247</v>
      </c>
      <c r="AG761" s="2"/>
      <c r="AH761" s="35">
        <f>1-COS(RADIANS(TA[[#This Row],[Avg. Target Angle during Fault Time (Radians)]]-TA[[#This Row],[Angle of affected equipment ]]))</f>
        <v>0.11705240714107301</v>
      </c>
      <c r="AI761" s="27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43">
        <f t="shared" si="59"/>
        <v>2026</v>
      </c>
      <c r="C762" s="116">
        <f t="shared" si="60"/>
        <v>2025</v>
      </c>
      <c r="D762" s="2" t="s">
        <v>155</v>
      </c>
      <c r="E762" s="2" t="s">
        <v>155</v>
      </c>
      <c r="F762" s="30">
        <v>45778</v>
      </c>
      <c r="G762" s="2">
        <f>DAY(EOMONTH(TA[[#This Row],[Month Year]],0))</f>
        <v>31</v>
      </c>
      <c r="H762" s="21">
        <v>45796</v>
      </c>
      <c r="I762" s="32">
        <f>IFERROR(VLOOKUP(TA[[#This Row],[Date]],Raw_Data[[Date]:[Sunset Time (POA&lt;20 W/m2)]],3,0),"")</f>
        <v>0.25208333333333333</v>
      </c>
      <c r="J762" s="32">
        <f>IFERROR(VLOOKUP(TA[[#This Row],[Date]],Raw_Data[[Date]:[Sunset Time (POA&lt;20 W/m2)]],4,0),"")</f>
        <v>0.77083333333333337</v>
      </c>
      <c r="K762" s="27">
        <f>IFERROR((TA[[#This Row],[Sunset Time (POA&lt;20 W/m2)]]-TA[[#This Row],[Sunrise Time (POA&gt;20 W/m2)]])*24,"")</f>
        <v>12.450000000000001</v>
      </c>
      <c r="L762" s="2" t="s">
        <v>285</v>
      </c>
      <c r="M762" s="33">
        <f>IFERROR(VLOOKUP(TA[[#This Row],[Affected Equipment]],'Basic Data'!$I$2:$K$40,3,0),"")</f>
        <v>1.7241379310344799E-3</v>
      </c>
      <c r="N762">
        <v>-28</v>
      </c>
      <c r="O762" t="s">
        <v>132</v>
      </c>
      <c r="P762" s="114" t="s">
        <v>307</v>
      </c>
      <c r="Q762" s="113" t="s">
        <v>307</v>
      </c>
      <c r="R762">
        <v>111</v>
      </c>
      <c r="S762" s="2">
        <v>4</v>
      </c>
      <c r="T762" t="s">
        <v>286</v>
      </c>
      <c r="U762" t="s">
        <v>291</v>
      </c>
      <c r="V762" t="s">
        <v>289</v>
      </c>
      <c r="W762" s="32">
        <f>IFERROR(VLOOKUP(TA[[#This Row],[Date]],Raw_Data[[Date]:[Sunset Time (POA&lt;20 W/m2)]],3,0),"")</f>
        <v>0.25208333333333333</v>
      </c>
      <c r="X762" s="32">
        <f>IFERROR(VLOOKUP(TA[[#This Row],[Date]],Raw_Data[[Date]:[Sunset Time (POA&lt;20 W/m2)]],3,0),"")</f>
        <v>0.25208333333333333</v>
      </c>
      <c r="Y762" s="26">
        <v>0.68055555555555558</v>
      </c>
      <c r="Z762" s="26">
        <v>0.69791666666666663</v>
      </c>
      <c r="AA762" s="27">
        <f>IF(TA[[#This Row],[Work Start time on Fault]]="NA","",(TA[[#This Row],[Fault Acknowledgement Time ]]-TA[[#This Row],[Fault Time]])*24)</f>
        <v>0</v>
      </c>
      <c r="AB762" s="27">
        <f>(TA[[#This Row],[Work Start time on Fault]]-TA[[#This Row],[Fault Time]])*24</f>
        <v>10.283333333333335</v>
      </c>
      <c r="AC762" s="26">
        <f>(TA[[#This Row],[Work Completion time on fault]]-TA[[#This Row],[Fault Time]])*24</f>
        <v>10.7</v>
      </c>
      <c r="AD762" s="27">
        <f>IFERROR((TA[[#This Row],[Work Completion time on fault]]-TA[[#This Row],[Fault Time]])*24,"")</f>
        <v>10.7</v>
      </c>
      <c r="AE762" t="s">
        <v>319</v>
      </c>
      <c r="AF762" t="s">
        <v>247</v>
      </c>
      <c r="AG762" s="2"/>
      <c r="AH762" s="35">
        <f>1-COS(RADIANS(TA[[#This Row],[Avg. Target Angle during Fault Time (Radians)]]-TA[[#This Row],[Angle of affected equipment ]]))</f>
        <v>0.11705240714107301</v>
      </c>
      <c r="AI762" s="27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43">
        <f t="shared" si="59"/>
        <v>2026</v>
      </c>
      <c r="C763" s="116">
        <f t="shared" si="60"/>
        <v>2025</v>
      </c>
      <c r="D763" s="2" t="s">
        <v>155</v>
      </c>
      <c r="E763" s="2" t="s">
        <v>155</v>
      </c>
      <c r="F763" s="30">
        <v>45778</v>
      </c>
      <c r="G763" s="2">
        <f>DAY(EOMONTH(TA[[#This Row],[Month Year]],0))</f>
        <v>31</v>
      </c>
      <c r="H763" s="21">
        <v>45797</v>
      </c>
      <c r="I763" s="32">
        <f>IFERROR(VLOOKUP(TA[[#This Row],[Date]],Raw_Data[[Date]:[Sunset Time (POA&lt;20 W/m2)]],3,0),"")</f>
        <v>0.24791666666666667</v>
      </c>
      <c r="J763" s="32">
        <f>IFERROR(VLOOKUP(TA[[#This Row],[Date]],Raw_Data[[Date]:[Sunset Time (POA&lt;20 W/m2)]],4,0),"")</f>
        <v>0.76527777777777772</v>
      </c>
      <c r="K763" s="27">
        <f>IFERROR((TA[[#This Row],[Sunset Time (POA&lt;20 W/m2)]]-TA[[#This Row],[Sunrise Time (POA&gt;20 W/m2)]])*24,"")</f>
        <v>12.416666666666664</v>
      </c>
      <c r="L763" s="2" t="s">
        <v>285</v>
      </c>
      <c r="M763" s="33">
        <f>IFERROR(VLOOKUP(TA[[#This Row],[Affected Equipment]],'Basic Data'!$I$2:$K$40,3,0),"")</f>
        <v>1.7241379310344799E-3</v>
      </c>
      <c r="N763">
        <v>-28</v>
      </c>
      <c r="O763" t="s">
        <v>135</v>
      </c>
      <c r="P763" s="114" t="s">
        <v>309</v>
      </c>
      <c r="Q763" s="113" t="s">
        <v>309</v>
      </c>
      <c r="R763">
        <v>130</v>
      </c>
      <c r="S763" s="2">
        <v>37</v>
      </c>
      <c r="T763" t="s">
        <v>286</v>
      </c>
      <c r="U763" t="s">
        <v>291</v>
      </c>
      <c r="V763" t="s">
        <v>289</v>
      </c>
      <c r="W763" s="32"/>
      <c r="X763" s="32"/>
      <c r="Y763" s="26"/>
      <c r="Z763" s="26"/>
      <c r="AA763" s="27">
        <f>IF(TA[[#This Row],[Work Start time on Fault]]="NA","",(TA[[#This Row],[Fault Acknowledgement Time ]]-TA[[#This Row],[Fault Time]])*24)</f>
        <v>0</v>
      </c>
      <c r="AB763" s="27">
        <f>(TA[[#This Row],[Work Start time on Fault]]-TA[[#This Row],[Fault Time]])*24</f>
        <v>0</v>
      </c>
      <c r="AC763" s="26">
        <f>(TA[[#This Row],[Work Completion time on fault]]-TA[[#This Row],[Fault Time]])*24</f>
        <v>0</v>
      </c>
      <c r="AD763" s="27">
        <f>IFERROR((TA[[#This Row],[Work Completion time on fault]]-TA[[#This Row],[Fault Time]])*24,"")</f>
        <v>0</v>
      </c>
      <c r="AE763" t="s">
        <v>319</v>
      </c>
      <c r="AF763" t="s">
        <v>247</v>
      </c>
      <c r="AG763" s="2"/>
      <c r="AH763" s="35">
        <f>1-COS(RADIANS(TA[[#This Row],[Avg. Target Angle during Fault Time (Radians)]]-TA[[#This Row],[Angle of affected equipment ]]))</f>
        <v>0.11705240714107301</v>
      </c>
      <c r="AI763" s="27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43">
        <f t="shared" si="59"/>
        <v>2026</v>
      </c>
      <c r="C764" s="116">
        <f t="shared" si="60"/>
        <v>2025</v>
      </c>
      <c r="D764" s="2" t="s">
        <v>155</v>
      </c>
      <c r="E764" s="2" t="s">
        <v>155</v>
      </c>
      <c r="F764" s="30">
        <v>45778</v>
      </c>
      <c r="G764" s="2">
        <f>DAY(EOMONTH(TA[[#This Row],[Month Year]],0))</f>
        <v>31</v>
      </c>
      <c r="H764" s="21">
        <v>45797</v>
      </c>
      <c r="I764" s="32">
        <f>IFERROR(VLOOKUP(TA[[#This Row],[Date]],Raw_Data[[Date]:[Sunset Time (POA&lt;20 W/m2)]],3,0),"")</f>
        <v>0.24791666666666667</v>
      </c>
      <c r="J764" s="32">
        <f>IFERROR(VLOOKUP(TA[[#This Row],[Date]],Raw_Data[[Date]:[Sunset Time (POA&lt;20 W/m2)]],4,0),"")</f>
        <v>0.76527777777777772</v>
      </c>
      <c r="K764" s="27">
        <f>IFERROR((TA[[#This Row],[Sunset Time (POA&lt;20 W/m2)]]-TA[[#This Row],[Sunrise Time (POA&gt;20 W/m2)]])*24,"")</f>
        <v>12.416666666666664</v>
      </c>
      <c r="L764" s="2" t="s">
        <v>285</v>
      </c>
      <c r="M764" s="33">
        <f>IFERROR(VLOOKUP(TA[[#This Row],[Affected Equipment]],'Basic Data'!$I$2:$K$40,3,0),"")</f>
        <v>1.7241379310344799E-3</v>
      </c>
      <c r="N764">
        <v>-28</v>
      </c>
      <c r="O764" t="s">
        <v>135</v>
      </c>
      <c r="P764" s="114" t="s">
        <v>309</v>
      </c>
      <c r="Q764" s="113" t="s">
        <v>309</v>
      </c>
      <c r="R764">
        <v>131</v>
      </c>
      <c r="S764" s="2">
        <v>38</v>
      </c>
      <c r="T764" t="s">
        <v>286</v>
      </c>
      <c r="U764" t="s">
        <v>291</v>
      </c>
      <c r="V764" t="s">
        <v>289</v>
      </c>
      <c r="W764" s="32"/>
      <c r="X764" s="32"/>
      <c r="Y764" s="26"/>
      <c r="Z764" s="26"/>
      <c r="AA764" s="27">
        <f>IF(TA[[#This Row],[Work Start time on Fault]]="NA","",(TA[[#This Row],[Fault Acknowledgement Time ]]-TA[[#This Row],[Fault Time]])*24)</f>
        <v>0</v>
      </c>
      <c r="AB764" s="27">
        <f>(TA[[#This Row],[Work Start time on Fault]]-TA[[#This Row],[Fault Time]])*24</f>
        <v>0</v>
      </c>
      <c r="AC764" s="26">
        <f>(TA[[#This Row],[Work Completion time on fault]]-TA[[#This Row],[Fault Time]])*24</f>
        <v>0</v>
      </c>
      <c r="AD764" s="27">
        <f>IFERROR((TA[[#This Row],[Work Completion time on fault]]-TA[[#This Row],[Fault Time]])*24,"")</f>
        <v>0</v>
      </c>
      <c r="AE764" t="s">
        <v>319</v>
      </c>
      <c r="AF764" t="s">
        <v>247</v>
      </c>
      <c r="AG764" s="2"/>
      <c r="AH764" s="35">
        <f>1-COS(RADIANS(TA[[#This Row],[Avg. Target Angle during Fault Time (Radians)]]-TA[[#This Row],[Angle of affected equipment ]]))</f>
        <v>0.11705240714107301</v>
      </c>
      <c r="AI764" s="27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43">
        <f t="shared" si="59"/>
        <v>2026</v>
      </c>
      <c r="C765" s="116">
        <f t="shared" si="60"/>
        <v>2025</v>
      </c>
      <c r="D765" s="2" t="s">
        <v>155</v>
      </c>
      <c r="E765" s="2" t="s">
        <v>155</v>
      </c>
      <c r="F765" s="30">
        <v>45778</v>
      </c>
      <c r="G765" s="2">
        <f>DAY(EOMONTH(TA[[#This Row],[Month Year]],0))</f>
        <v>31</v>
      </c>
      <c r="H765" s="21">
        <v>45797</v>
      </c>
      <c r="I765" s="32">
        <f>IFERROR(VLOOKUP(TA[[#This Row],[Date]],Raw_Data[[Date]:[Sunset Time (POA&lt;20 W/m2)]],3,0),"")</f>
        <v>0.24791666666666667</v>
      </c>
      <c r="J765" s="32">
        <f>IFERROR(VLOOKUP(TA[[#This Row],[Date]],Raw_Data[[Date]:[Sunset Time (POA&lt;20 W/m2)]],4,0),"")</f>
        <v>0.76527777777777772</v>
      </c>
      <c r="K765" s="27">
        <f>IFERROR((TA[[#This Row],[Sunset Time (POA&lt;20 W/m2)]]-TA[[#This Row],[Sunrise Time (POA&gt;20 W/m2)]])*24,"")</f>
        <v>12.416666666666664</v>
      </c>
      <c r="L765" s="2" t="s">
        <v>285</v>
      </c>
      <c r="M765" s="33">
        <f>IFERROR(VLOOKUP(TA[[#This Row],[Affected Equipment]],'Basic Data'!$I$2:$K$40,3,0),"")</f>
        <v>1.7241379310344799E-3</v>
      </c>
      <c r="N765">
        <v>-28</v>
      </c>
      <c r="O765" t="s">
        <v>135</v>
      </c>
      <c r="P765" s="114" t="s">
        <v>309</v>
      </c>
      <c r="Q765" s="113" t="s">
        <v>309</v>
      </c>
      <c r="R765">
        <v>131</v>
      </c>
      <c r="S765" s="2">
        <v>39</v>
      </c>
      <c r="T765" t="s">
        <v>286</v>
      </c>
      <c r="U765" t="s">
        <v>291</v>
      </c>
      <c r="V765" t="s">
        <v>289</v>
      </c>
      <c r="W765" s="32"/>
      <c r="X765" s="32"/>
      <c r="Y765" s="26"/>
      <c r="Z765" s="26"/>
      <c r="AA765" s="27">
        <f>IF(TA[[#This Row],[Work Start time on Fault]]="NA","",(TA[[#This Row],[Fault Acknowledgement Time ]]-TA[[#This Row],[Fault Time]])*24)</f>
        <v>0</v>
      </c>
      <c r="AB765" s="27">
        <f>(TA[[#This Row],[Work Start time on Fault]]-TA[[#This Row],[Fault Time]])*24</f>
        <v>0</v>
      </c>
      <c r="AC765" s="26">
        <f>(TA[[#This Row],[Work Completion time on fault]]-TA[[#This Row],[Fault Time]])*24</f>
        <v>0</v>
      </c>
      <c r="AD765" s="27">
        <f>IFERROR((TA[[#This Row],[Work Completion time on fault]]-TA[[#This Row],[Fault Time]])*24,"")</f>
        <v>0</v>
      </c>
      <c r="AE765" t="s">
        <v>319</v>
      </c>
      <c r="AF765" t="s">
        <v>247</v>
      </c>
      <c r="AG765" s="2"/>
      <c r="AH765" s="35">
        <f>1-COS(RADIANS(TA[[#This Row],[Avg. Target Angle during Fault Time (Radians)]]-TA[[#This Row],[Angle of affected equipment ]]))</f>
        <v>0.11705240714107301</v>
      </c>
      <c r="AI765" s="27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43">
        <f t="shared" si="59"/>
        <v>2026</v>
      </c>
      <c r="C766" s="116">
        <f t="shared" si="60"/>
        <v>2025</v>
      </c>
      <c r="D766" s="2" t="s">
        <v>155</v>
      </c>
      <c r="E766" s="2" t="s">
        <v>155</v>
      </c>
      <c r="F766" s="30">
        <v>45778</v>
      </c>
      <c r="G766" s="2">
        <f>DAY(EOMONTH(TA[[#This Row],[Month Year]],0))</f>
        <v>31</v>
      </c>
      <c r="H766" s="21">
        <v>45797</v>
      </c>
      <c r="I766" s="32">
        <f>IFERROR(VLOOKUP(TA[[#This Row],[Date]],Raw_Data[[Date]:[Sunset Time (POA&lt;20 W/m2)]],3,0),"")</f>
        <v>0.24791666666666667</v>
      </c>
      <c r="J766" s="32">
        <f>IFERROR(VLOOKUP(TA[[#This Row],[Date]],Raw_Data[[Date]:[Sunset Time (POA&lt;20 W/m2)]],4,0),"")</f>
        <v>0.76527777777777772</v>
      </c>
      <c r="K766" s="27">
        <f>IFERROR((TA[[#This Row],[Sunset Time (POA&lt;20 W/m2)]]-TA[[#This Row],[Sunrise Time (POA&gt;20 W/m2)]])*24,"")</f>
        <v>12.416666666666664</v>
      </c>
      <c r="L766" s="2" t="s">
        <v>287</v>
      </c>
      <c r="M766" s="33">
        <f>IFERROR(VLOOKUP(TA[[#This Row],[Affected Equipment]],'Basic Data'!$I$2:$K$40,3,0),"")</f>
        <v>8.6206896551724102E-3</v>
      </c>
      <c r="N766">
        <v>-28</v>
      </c>
      <c r="O766" t="s">
        <v>135</v>
      </c>
      <c r="P766" s="114" t="s">
        <v>309</v>
      </c>
      <c r="Q766" s="2" t="s">
        <v>312</v>
      </c>
      <c r="R766">
        <v>133</v>
      </c>
      <c r="S766" s="2">
        <v>26</v>
      </c>
      <c r="T766" t="s">
        <v>288</v>
      </c>
      <c r="U766" t="s">
        <v>291</v>
      </c>
      <c r="V766" t="s">
        <v>305</v>
      </c>
      <c r="W766" s="32">
        <f>IFERROR(VLOOKUP(TA[[#This Row],[Date]],Raw_Data[[Date]:[Sunset Time (POA&lt;20 W/m2)]],3,0),"")</f>
        <v>0.24791666666666667</v>
      </c>
      <c r="X766" s="32">
        <f>IFERROR(VLOOKUP(TA[[#This Row],[Date]],Raw_Data[[Date]:[Sunset Time (POA&lt;20 W/m2)]],3,0),"")</f>
        <v>0.24791666666666667</v>
      </c>
      <c r="Y766" s="26"/>
      <c r="Z766" s="26">
        <v>0.76041666666666663</v>
      </c>
      <c r="AA766" s="27">
        <f>IF(TA[[#This Row],[Work Start time on Fault]]="NA","",(TA[[#This Row],[Fault Acknowledgement Time ]]-TA[[#This Row],[Fault Time]])*24)</f>
        <v>0</v>
      </c>
      <c r="AB766" s="27">
        <f>(TA[[#This Row],[Work Start time on Fault]]-TA[[#This Row],[Fault Time]])*24</f>
        <v>-5.95</v>
      </c>
      <c r="AC766" s="26">
        <f>(TA[[#This Row],[Work Completion time on fault]]-TA[[#This Row],[Fault Time]])*24</f>
        <v>12.299999999999999</v>
      </c>
      <c r="AD766" s="27">
        <f>IFERROR((TA[[#This Row],[Work Completion time on fault]]-TA[[#This Row],[Fault Time]])*24,"")</f>
        <v>12.299999999999999</v>
      </c>
      <c r="AE766" t="s">
        <v>319</v>
      </c>
      <c r="AF766" t="s">
        <v>247</v>
      </c>
      <c r="AG766" s="2"/>
      <c r="AH766" s="35">
        <f>1-COS(RADIANS(TA[[#This Row],[Avg. Target Angle during Fault Time (Radians)]]-TA[[#This Row],[Angle of affected equipment ]]))</f>
        <v>0.11705240714107301</v>
      </c>
      <c r="AI766" s="27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43">
        <f t="shared" si="59"/>
        <v>2026</v>
      </c>
      <c r="C767" s="116">
        <f t="shared" si="60"/>
        <v>2025</v>
      </c>
      <c r="D767" s="2" t="s">
        <v>155</v>
      </c>
      <c r="E767" s="2" t="s">
        <v>155</v>
      </c>
      <c r="F767" s="30">
        <v>45778</v>
      </c>
      <c r="G767" s="2">
        <f>DAY(EOMONTH(TA[[#This Row],[Month Year]],0))</f>
        <v>31</v>
      </c>
      <c r="H767" s="21">
        <v>45797</v>
      </c>
      <c r="I767" s="32">
        <f>IFERROR(VLOOKUP(TA[[#This Row],[Date]],Raw_Data[[Date]:[Sunset Time (POA&lt;20 W/m2)]],3,0),"")</f>
        <v>0.24791666666666667</v>
      </c>
      <c r="J767" s="32">
        <f>IFERROR(VLOOKUP(TA[[#This Row],[Date]],Raw_Data[[Date]:[Sunset Time (POA&lt;20 W/m2)]],4,0),"")</f>
        <v>0.76527777777777772</v>
      </c>
      <c r="K767" s="27">
        <f>IFERROR((TA[[#This Row],[Sunset Time (POA&lt;20 W/m2)]]-TA[[#This Row],[Sunrise Time (POA&gt;20 W/m2)]])*24,"")</f>
        <v>12.416666666666664</v>
      </c>
      <c r="L767" s="2" t="s">
        <v>285</v>
      </c>
      <c r="M767" s="33">
        <f>IFERROR(VLOOKUP(TA[[#This Row],[Affected Equipment]],'Basic Data'!$I$2:$K$40,3,0),"")</f>
        <v>1.7241379310344799E-3</v>
      </c>
      <c r="N767">
        <v>-28</v>
      </c>
      <c r="O767" t="s">
        <v>133</v>
      </c>
      <c r="P767" s="114" t="s">
        <v>307</v>
      </c>
      <c r="Q767" s="113" t="s">
        <v>308</v>
      </c>
      <c r="R767">
        <v>7</v>
      </c>
      <c r="S767" s="2">
        <v>32</v>
      </c>
      <c r="T767" t="s">
        <v>286</v>
      </c>
      <c r="U767" t="s">
        <v>291</v>
      </c>
      <c r="V767" t="s">
        <v>289</v>
      </c>
      <c r="W767" s="32"/>
      <c r="X767" s="32"/>
      <c r="Y767" s="26"/>
      <c r="Z767" s="26"/>
      <c r="AA767" s="27">
        <f>IF(TA[[#This Row],[Work Start time on Fault]]="NA","",(TA[[#This Row],[Fault Acknowledgement Time ]]-TA[[#This Row],[Fault Time]])*24)</f>
        <v>0</v>
      </c>
      <c r="AB767" s="27">
        <f>(TA[[#This Row],[Work Start time on Fault]]-TA[[#This Row],[Fault Time]])*24</f>
        <v>0</v>
      </c>
      <c r="AC767" s="26">
        <f>(TA[[#This Row],[Work Completion time on fault]]-TA[[#This Row],[Fault Time]])*24</f>
        <v>0</v>
      </c>
      <c r="AD767" s="27">
        <f>IFERROR((TA[[#This Row],[Work Completion time on fault]]-TA[[#This Row],[Fault Time]])*24,"")</f>
        <v>0</v>
      </c>
      <c r="AE767" t="s">
        <v>319</v>
      </c>
      <c r="AF767" t="s">
        <v>247</v>
      </c>
      <c r="AG767" s="2"/>
      <c r="AH767" s="35">
        <f>1-COS(RADIANS(TA[[#This Row],[Avg. Target Angle during Fault Time (Radians)]]-TA[[#This Row],[Angle of affected equipment ]]))</f>
        <v>0.11705240714107301</v>
      </c>
      <c r="AI767" s="27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43">
        <f t="shared" si="59"/>
        <v>2026</v>
      </c>
      <c r="C768" s="116">
        <f t="shared" si="60"/>
        <v>2025</v>
      </c>
      <c r="D768" s="2" t="s">
        <v>155</v>
      </c>
      <c r="E768" s="2" t="s">
        <v>155</v>
      </c>
      <c r="F768" s="30">
        <v>45778</v>
      </c>
      <c r="G768" s="2">
        <f>DAY(EOMONTH(TA[[#This Row],[Month Year]],0))</f>
        <v>31</v>
      </c>
      <c r="H768" s="21">
        <v>45797</v>
      </c>
      <c r="I768" s="32">
        <f>IFERROR(VLOOKUP(TA[[#This Row],[Date]],Raw_Data[[Date]:[Sunset Time (POA&lt;20 W/m2)]],3,0),"")</f>
        <v>0.24791666666666667</v>
      </c>
      <c r="J768" s="32">
        <f>IFERROR(VLOOKUP(TA[[#This Row],[Date]],Raw_Data[[Date]:[Sunset Time (POA&lt;20 W/m2)]],4,0),"")</f>
        <v>0.76527777777777772</v>
      </c>
      <c r="K768" s="27">
        <f>IFERROR((TA[[#This Row],[Sunset Time (POA&lt;20 W/m2)]]-TA[[#This Row],[Sunrise Time (POA&gt;20 W/m2)]])*24,"")</f>
        <v>12.416666666666664</v>
      </c>
      <c r="L768" s="2" t="s">
        <v>285</v>
      </c>
      <c r="M768" s="33">
        <f>IFERROR(VLOOKUP(TA[[#This Row],[Affected Equipment]],'Basic Data'!$I$2:$K$40,3,0),"")</f>
        <v>1.7241379310344799E-3</v>
      </c>
      <c r="N768">
        <v>-28</v>
      </c>
      <c r="O768" t="s">
        <v>137</v>
      </c>
      <c r="P768" s="114" t="s">
        <v>306</v>
      </c>
      <c r="Q768" s="113" t="s">
        <v>310</v>
      </c>
      <c r="R768">
        <v>166</v>
      </c>
      <c r="S768" s="2">
        <v>91</v>
      </c>
      <c r="T768" t="s">
        <v>286</v>
      </c>
      <c r="U768" t="s">
        <v>291</v>
      </c>
      <c r="V768" t="s">
        <v>289</v>
      </c>
      <c r="W768" s="32"/>
      <c r="X768" s="32"/>
      <c r="Y768" s="26"/>
      <c r="Z768" s="26"/>
      <c r="AA768" s="27">
        <f>IF(TA[[#This Row],[Work Start time on Fault]]="NA","",(TA[[#This Row],[Fault Acknowledgement Time ]]-TA[[#This Row],[Fault Time]])*24)</f>
        <v>0</v>
      </c>
      <c r="AB768" s="27">
        <f>(TA[[#This Row],[Work Start time on Fault]]-TA[[#This Row],[Fault Time]])*24</f>
        <v>0</v>
      </c>
      <c r="AC768" s="26">
        <f>(TA[[#This Row],[Work Completion time on fault]]-TA[[#This Row],[Fault Time]])*24</f>
        <v>0</v>
      </c>
      <c r="AD768" s="27">
        <f>IFERROR((TA[[#This Row],[Work Completion time on fault]]-TA[[#This Row],[Fault Time]])*24,"")</f>
        <v>0</v>
      </c>
      <c r="AE768" t="s">
        <v>319</v>
      </c>
      <c r="AF768" t="s">
        <v>247</v>
      </c>
      <c r="AG768" s="2"/>
      <c r="AH768" s="35">
        <f>1-COS(RADIANS(TA[[#This Row],[Avg. Target Angle during Fault Time (Radians)]]-TA[[#This Row],[Angle of affected equipment ]]))</f>
        <v>0.11705240714107301</v>
      </c>
      <c r="AI768" s="27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43">
        <f t="shared" si="59"/>
        <v>2026</v>
      </c>
      <c r="C769" s="116">
        <f t="shared" si="60"/>
        <v>2025</v>
      </c>
      <c r="D769" s="2" t="s">
        <v>155</v>
      </c>
      <c r="E769" s="2" t="s">
        <v>155</v>
      </c>
      <c r="F769" s="30">
        <v>45778</v>
      </c>
      <c r="G769" s="2">
        <f>DAY(EOMONTH(TA[[#This Row],[Month Year]],0))</f>
        <v>31</v>
      </c>
      <c r="H769" s="21">
        <v>45797</v>
      </c>
      <c r="I769" s="32">
        <f>IFERROR(VLOOKUP(TA[[#This Row],[Date]],Raw_Data[[Date]:[Sunset Time (POA&lt;20 W/m2)]],3,0),"")</f>
        <v>0.24791666666666667</v>
      </c>
      <c r="J769" s="32">
        <f>IFERROR(VLOOKUP(TA[[#This Row],[Date]],Raw_Data[[Date]:[Sunset Time (POA&lt;20 W/m2)]],4,0),"")</f>
        <v>0.76527777777777772</v>
      </c>
      <c r="K769" s="27">
        <f>IFERROR((TA[[#This Row],[Sunset Time (POA&lt;20 W/m2)]]-TA[[#This Row],[Sunrise Time (POA&gt;20 W/m2)]])*24,"")</f>
        <v>12.416666666666664</v>
      </c>
      <c r="L769" s="2" t="s">
        <v>285</v>
      </c>
      <c r="M769" s="33">
        <f>IFERROR(VLOOKUP(TA[[#This Row],[Affected Equipment]],'Basic Data'!$I$2:$K$40,3,0),"")</f>
        <v>1.7241379310344799E-3</v>
      </c>
      <c r="N769">
        <v>-28</v>
      </c>
      <c r="O769" t="s">
        <v>133</v>
      </c>
      <c r="P769" s="114" t="s">
        <v>307</v>
      </c>
      <c r="Q769" s="113" t="s">
        <v>307</v>
      </c>
      <c r="R769">
        <v>117</v>
      </c>
      <c r="S769" s="2">
        <v>20</v>
      </c>
      <c r="T769" t="s">
        <v>286</v>
      </c>
      <c r="U769" t="s">
        <v>291</v>
      </c>
      <c r="V769" t="s">
        <v>289</v>
      </c>
      <c r="W769" s="32"/>
      <c r="X769" s="32"/>
      <c r="Y769" s="26"/>
      <c r="Z769" s="26"/>
      <c r="AA769" s="27">
        <f>IF(TA[[#This Row],[Work Start time on Fault]]="NA","",(TA[[#This Row],[Fault Acknowledgement Time ]]-TA[[#This Row],[Fault Time]])*24)</f>
        <v>0</v>
      </c>
      <c r="AB769" s="27">
        <f>(TA[[#This Row],[Work Start time on Fault]]-TA[[#This Row],[Fault Time]])*24</f>
        <v>0</v>
      </c>
      <c r="AC769" s="26">
        <f>(TA[[#This Row],[Work Completion time on fault]]-TA[[#This Row],[Fault Time]])*24</f>
        <v>0</v>
      </c>
      <c r="AD769" s="27">
        <f>IFERROR((TA[[#This Row],[Work Completion time on fault]]-TA[[#This Row],[Fault Time]])*24,"")</f>
        <v>0</v>
      </c>
      <c r="AE769" t="s">
        <v>319</v>
      </c>
      <c r="AF769" t="s">
        <v>247</v>
      </c>
      <c r="AG769" s="2"/>
      <c r="AH769" s="35">
        <f>1-COS(RADIANS(TA[[#This Row],[Avg. Target Angle during Fault Time (Radians)]]-TA[[#This Row],[Angle of affected equipment ]]))</f>
        <v>0.11705240714107301</v>
      </c>
      <c r="AI769" s="27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43">
        <f t="shared" si="59"/>
        <v>2026</v>
      </c>
      <c r="C770" s="116">
        <f t="shared" si="60"/>
        <v>2025</v>
      </c>
      <c r="D770" s="2" t="s">
        <v>155</v>
      </c>
      <c r="E770" s="2" t="s">
        <v>155</v>
      </c>
      <c r="F770" s="30">
        <v>45778</v>
      </c>
      <c r="G770" s="2">
        <f>DAY(EOMONTH(TA[[#This Row],[Month Year]],0))</f>
        <v>31</v>
      </c>
      <c r="H770" s="21">
        <v>45797</v>
      </c>
      <c r="I770" s="32">
        <f>IFERROR(VLOOKUP(TA[[#This Row],[Date]],Raw_Data[[Date]:[Sunset Time (POA&lt;20 W/m2)]],3,0),"")</f>
        <v>0.24791666666666667</v>
      </c>
      <c r="J770" s="32">
        <f>IFERROR(VLOOKUP(TA[[#This Row],[Date]],Raw_Data[[Date]:[Sunset Time (POA&lt;20 W/m2)]],4,0),"")</f>
        <v>0.76527777777777772</v>
      </c>
      <c r="K770" s="27">
        <f>IFERROR((TA[[#This Row],[Sunset Time (POA&lt;20 W/m2)]]-TA[[#This Row],[Sunrise Time (POA&gt;20 W/m2)]])*24,"")</f>
        <v>12.416666666666664</v>
      </c>
      <c r="L770" s="2" t="s">
        <v>285</v>
      </c>
      <c r="M770" s="33">
        <f>IFERROR(VLOOKUP(TA[[#This Row],[Affected Equipment]],'Basic Data'!$I$2:$K$40,3,0),"")</f>
        <v>1.7241379310344799E-3</v>
      </c>
      <c r="N770">
        <v>-28</v>
      </c>
      <c r="O770" t="s">
        <v>133</v>
      </c>
      <c r="P770" s="114" t="s">
        <v>307</v>
      </c>
      <c r="Q770" s="113" t="s">
        <v>307</v>
      </c>
      <c r="R770">
        <v>118</v>
      </c>
      <c r="S770" s="2">
        <v>22</v>
      </c>
      <c r="T770" t="s">
        <v>286</v>
      </c>
      <c r="U770" t="s">
        <v>291</v>
      </c>
      <c r="V770" t="s">
        <v>289</v>
      </c>
      <c r="W770" s="32"/>
      <c r="X770" s="32"/>
      <c r="Y770" s="26"/>
      <c r="Z770" s="26"/>
      <c r="AA770" s="27">
        <f>IF(TA[[#This Row],[Work Start time on Fault]]="NA","",(TA[[#This Row],[Fault Acknowledgement Time ]]-TA[[#This Row],[Fault Time]])*24)</f>
        <v>0</v>
      </c>
      <c r="AB770" s="27">
        <f>(TA[[#This Row],[Work Start time on Fault]]-TA[[#This Row],[Fault Time]])*24</f>
        <v>0</v>
      </c>
      <c r="AC770" s="26">
        <f>(TA[[#This Row],[Work Completion time on fault]]-TA[[#This Row],[Fault Time]])*24</f>
        <v>0</v>
      </c>
      <c r="AD770" s="27">
        <f>IFERROR((TA[[#This Row],[Work Completion time on fault]]-TA[[#This Row],[Fault Time]])*24,"")</f>
        <v>0</v>
      </c>
      <c r="AE770" t="s">
        <v>319</v>
      </c>
      <c r="AF770" t="s">
        <v>247</v>
      </c>
      <c r="AG770" s="2"/>
      <c r="AH770" s="35">
        <f>1-COS(RADIANS(TA[[#This Row],[Avg. Target Angle during Fault Time (Radians)]]-TA[[#This Row],[Angle of affected equipment ]]))</f>
        <v>0.11705240714107301</v>
      </c>
      <c r="AI770" s="27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43">
        <f t="shared" si="59"/>
        <v>2026</v>
      </c>
      <c r="C771" s="116">
        <f t="shared" si="60"/>
        <v>2025</v>
      </c>
      <c r="D771" s="2" t="s">
        <v>155</v>
      </c>
      <c r="E771" s="2" t="s">
        <v>155</v>
      </c>
      <c r="F771" s="30">
        <v>45778</v>
      </c>
      <c r="G771" s="2">
        <f>DAY(EOMONTH(TA[[#This Row],[Month Year]],0))</f>
        <v>31</v>
      </c>
      <c r="H771" s="21">
        <v>45797</v>
      </c>
      <c r="I771" s="32">
        <f>IFERROR(VLOOKUP(TA[[#This Row],[Date]],Raw_Data[[Date]:[Sunset Time (POA&lt;20 W/m2)]],3,0),"")</f>
        <v>0.24791666666666667</v>
      </c>
      <c r="J771" s="32">
        <f>IFERROR(VLOOKUP(TA[[#This Row],[Date]],Raw_Data[[Date]:[Sunset Time (POA&lt;20 W/m2)]],4,0),"")</f>
        <v>0.76527777777777772</v>
      </c>
      <c r="K771" s="27">
        <f>IFERROR((TA[[#This Row],[Sunset Time (POA&lt;20 W/m2)]]-TA[[#This Row],[Sunrise Time (POA&gt;20 W/m2)]])*24,"")</f>
        <v>12.416666666666664</v>
      </c>
      <c r="L771" s="2" t="s">
        <v>287</v>
      </c>
      <c r="M771" s="33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314</v>
      </c>
      <c r="Q771" s="2" t="s">
        <v>320</v>
      </c>
      <c r="R771">
        <v>45</v>
      </c>
      <c r="S771" s="2">
        <v>8</v>
      </c>
      <c r="T771" t="s">
        <v>288</v>
      </c>
      <c r="U771" t="s">
        <v>291</v>
      </c>
      <c r="V771" t="s">
        <v>292</v>
      </c>
      <c r="W771" s="32"/>
      <c r="X771" s="32"/>
      <c r="Y771" s="26"/>
      <c r="Z771" s="26"/>
      <c r="AA771" s="27">
        <f>IF(TA[[#This Row],[Work Start time on Fault]]="NA","",(TA[[#This Row],[Fault Acknowledgement Time ]]-TA[[#This Row],[Fault Time]])*24)</f>
        <v>0</v>
      </c>
      <c r="AB771" s="27">
        <f>(TA[[#This Row],[Work Start time on Fault]]-TA[[#This Row],[Fault Time]])*24</f>
        <v>0</v>
      </c>
      <c r="AC771" s="26">
        <f>(TA[[#This Row],[Work Completion time on fault]]-TA[[#This Row],[Fault Time]])*24</f>
        <v>0</v>
      </c>
      <c r="AD771" s="27">
        <f>IFERROR((TA[[#This Row],[Work Completion time on fault]]-TA[[#This Row],[Fault Time]])*24,"")</f>
        <v>0</v>
      </c>
      <c r="AE771" t="s">
        <v>319</v>
      </c>
      <c r="AF771" t="s">
        <v>247</v>
      </c>
      <c r="AG771" s="2"/>
      <c r="AH771" s="35">
        <f>1-COS(RADIANS(TA[[#This Row],[Avg. Target Angle during Fault Time (Radians)]]-TA[[#This Row],[Angle of affected equipment ]]))</f>
        <v>0.11705240714107301</v>
      </c>
      <c r="AI771" s="27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43">
        <f t="shared" si="59"/>
        <v>2026</v>
      </c>
      <c r="C772" s="116">
        <f t="shared" si="60"/>
        <v>2025</v>
      </c>
      <c r="D772" s="2" t="s">
        <v>155</v>
      </c>
      <c r="E772" s="2" t="s">
        <v>155</v>
      </c>
      <c r="F772" s="30">
        <v>45778</v>
      </c>
      <c r="G772" s="2">
        <f>DAY(EOMONTH(TA[[#This Row],[Month Year]],0))</f>
        <v>31</v>
      </c>
      <c r="H772" s="21">
        <v>45797</v>
      </c>
      <c r="I772" s="32">
        <f>IFERROR(VLOOKUP(TA[[#This Row],[Date]],Raw_Data[[Date]:[Sunset Time (POA&lt;20 W/m2)]],3,0),"")</f>
        <v>0.24791666666666667</v>
      </c>
      <c r="J772" s="32">
        <f>IFERROR(VLOOKUP(TA[[#This Row],[Date]],Raw_Data[[Date]:[Sunset Time (POA&lt;20 W/m2)]],4,0),"")</f>
        <v>0.76527777777777772</v>
      </c>
      <c r="K772" s="27">
        <f>IFERROR((TA[[#This Row],[Sunset Time (POA&lt;20 W/m2)]]-TA[[#This Row],[Sunrise Time (POA&gt;20 W/m2)]])*24,"")</f>
        <v>12.416666666666664</v>
      </c>
      <c r="L772" s="2" t="s">
        <v>287</v>
      </c>
      <c r="M772" s="33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314</v>
      </c>
      <c r="Q772" s="2" t="s">
        <v>320</v>
      </c>
      <c r="R772">
        <v>47</v>
      </c>
      <c r="S772" s="2">
        <v>18</v>
      </c>
      <c r="T772" t="s">
        <v>288</v>
      </c>
      <c r="U772" t="s">
        <v>291</v>
      </c>
      <c r="V772" t="s">
        <v>292</v>
      </c>
      <c r="W772" s="32"/>
      <c r="X772" s="32"/>
      <c r="Y772" s="26"/>
      <c r="Z772" s="26"/>
      <c r="AA772" s="27">
        <f>IF(TA[[#This Row],[Work Start time on Fault]]="NA","",(TA[[#This Row],[Fault Acknowledgement Time ]]-TA[[#This Row],[Fault Time]])*24)</f>
        <v>0</v>
      </c>
      <c r="AB772" s="27">
        <f>(TA[[#This Row],[Work Start time on Fault]]-TA[[#This Row],[Fault Time]])*24</f>
        <v>0</v>
      </c>
      <c r="AC772" s="26">
        <f>(TA[[#This Row],[Work Completion time on fault]]-TA[[#This Row],[Fault Time]])*24</f>
        <v>0</v>
      </c>
      <c r="AD772" s="27">
        <f>IFERROR((TA[[#This Row],[Work Completion time on fault]]-TA[[#This Row],[Fault Time]])*24,"")</f>
        <v>0</v>
      </c>
      <c r="AE772" t="s">
        <v>319</v>
      </c>
      <c r="AF772" t="s">
        <v>247</v>
      </c>
      <c r="AG772" s="2"/>
      <c r="AH772" s="35">
        <f>1-COS(RADIANS(TA[[#This Row],[Avg. Target Angle during Fault Time (Radians)]]-TA[[#This Row],[Angle of affected equipment ]]))</f>
        <v>0.11705240714107301</v>
      </c>
      <c r="AI772" s="27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43">
        <f t="shared" si="59"/>
        <v>2026</v>
      </c>
      <c r="C773" s="116">
        <f t="shared" si="60"/>
        <v>2025</v>
      </c>
      <c r="D773" s="2" t="s">
        <v>155</v>
      </c>
      <c r="E773" s="2" t="s">
        <v>155</v>
      </c>
      <c r="F773" s="30">
        <v>45778</v>
      </c>
      <c r="G773" s="2">
        <f>DAY(EOMONTH(TA[[#This Row],[Month Year]],0))</f>
        <v>31</v>
      </c>
      <c r="H773" s="21">
        <v>45797</v>
      </c>
      <c r="I773" s="32">
        <f>IFERROR(VLOOKUP(TA[[#This Row],[Date]],Raw_Data[[Date]:[Sunset Time (POA&lt;20 W/m2)]],3,0),"")</f>
        <v>0.24791666666666667</v>
      </c>
      <c r="J773" s="32">
        <f>IFERROR(VLOOKUP(TA[[#This Row],[Date]],Raw_Data[[Date]:[Sunset Time (POA&lt;20 W/m2)]],4,0),"")</f>
        <v>0.76527777777777772</v>
      </c>
      <c r="K773" s="27">
        <f>IFERROR((TA[[#This Row],[Sunset Time (POA&lt;20 W/m2)]]-TA[[#This Row],[Sunrise Time (POA&gt;20 W/m2)]])*24,"")</f>
        <v>12.416666666666664</v>
      </c>
      <c r="L773" s="2" t="s">
        <v>287</v>
      </c>
      <c r="M773" s="33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321</v>
      </c>
      <c r="Q773" s="2" t="s">
        <v>314</v>
      </c>
      <c r="R773">
        <v>30</v>
      </c>
      <c r="S773" s="2">
        <v>57</v>
      </c>
      <c r="T773" t="s">
        <v>288</v>
      </c>
      <c r="U773" t="s">
        <v>291</v>
      </c>
      <c r="V773" t="s">
        <v>292</v>
      </c>
      <c r="W773" s="32"/>
      <c r="X773" s="32"/>
      <c r="Y773" s="26"/>
      <c r="Z773" s="26"/>
      <c r="AA773" s="27">
        <f>IF(TA[[#This Row],[Work Start time on Fault]]="NA","",(TA[[#This Row],[Fault Acknowledgement Time ]]-TA[[#This Row],[Fault Time]])*24)</f>
        <v>0</v>
      </c>
      <c r="AB773" s="27">
        <f>(TA[[#This Row],[Work Start time on Fault]]-TA[[#This Row],[Fault Time]])*24</f>
        <v>0</v>
      </c>
      <c r="AC773" s="26">
        <f>(TA[[#This Row],[Work Completion time on fault]]-TA[[#This Row],[Fault Time]])*24</f>
        <v>0</v>
      </c>
      <c r="AD773" s="27">
        <f>IFERROR((TA[[#This Row],[Work Completion time on fault]]-TA[[#This Row],[Fault Time]])*24,"")</f>
        <v>0</v>
      </c>
      <c r="AE773" t="s">
        <v>319</v>
      </c>
      <c r="AF773" t="s">
        <v>247</v>
      </c>
      <c r="AG773" s="2"/>
      <c r="AH773" s="35">
        <f>1-COS(RADIANS(TA[[#This Row],[Avg. Target Angle during Fault Time (Radians)]]-TA[[#This Row],[Angle of affected equipment ]]))</f>
        <v>0.11705240714107301</v>
      </c>
      <c r="AI773" s="27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43">
        <f t="shared" si="59"/>
        <v>2026</v>
      </c>
      <c r="C774" s="116">
        <f t="shared" si="60"/>
        <v>2025</v>
      </c>
      <c r="D774" s="2" t="s">
        <v>155</v>
      </c>
      <c r="E774" s="2" t="s">
        <v>155</v>
      </c>
      <c r="F774" s="30">
        <v>45778</v>
      </c>
      <c r="G774" s="2">
        <f>DAY(EOMONTH(TA[[#This Row],[Month Year]],0))</f>
        <v>31</v>
      </c>
      <c r="H774" s="21">
        <v>45797</v>
      </c>
      <c r="I774" s="32">
        <f>IFERROR(VLOOKUP(TA[[#This Row],[Date]],Raw_Data[[Date]:[Sunset Time (POA&lt;20 W/m2)]],3,0),"")</f>
        <v>0.24791666666666667</v>
      </c>
      <c r="J774" s="32">
        <f>IFERROR(VLOOKUP(TA[[#This Row],[Date]],Raw_Data[[Date]:[Sunset Time (POA&lt;20 W/m2)]],4,0),"")</f>
        <v>0.76527777777777772</v>
      </c>
      <c r="K774" s="27">
        <f>IFERROR((TA[[#This Row],[Sunset Time (POA&lt;20 W/m2)]]-TA[[#This Row],[Sunrise Time (POA&gt;20 W/m2)]])*24,"")</f>
        <v>12.416666666666664</v>
      </c>
      <c r="L774" s="2" t="s">
        <v>287</v>
      </c>
      <c r="M774" s="33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321</v>
      </c>
      <c r="Q774" s="2" t="s">
        <v>314</v>
      </c>
      <c r="R774">
        <v>31</v>
      </c>
      <c r="S774" s="2">
        <v>61</v>
      </c>
      <c r="T774" t="s">
        <v>288</v>
      </c>
      <c r="U774" t="s">
        <v>291</v>
      </c>
      <c r="V774" t="s">
        <v>292</v>
      </c>
      <c r="W774" s="32"/>
      <c r="X774" s="32"/>
      <c r="Y774" s="26"/>
      <c r="Z774" s="26"/>
      <c r="AA774" s="27">
        <f>IF(TA[[#This Row],[Work Start time on Fault]]="NA","",(TA[[#This Row],[Fault Acknowledgement Time ]]-TA[[#This Row],[Fault Time]])*24)</f>
        <v>0</v>
      </c>
      <c r="AB774" s="27">
        <f>(TA[[#This Row],[Work Start time on Fault]]-TA[[#This Row],[Fault Time]])*24</f>
        <v>0</v>
      </c>
      <c r="AC774" s="26">
        <f>(TA[[#This Row],[Work Completion time on fault]]-TA[[#This Row],[Fault Time]])*24</f>
        <v>0</v>
      </c>
      <c r="AD774" s="27">
        <f>IFERROR((TA[[#This Row],[Work Completion time on fault]]-TA[[#This Row],[Fault Time]])*24,"")</f>
        <v>0</v>
      </c>
      <c r="AE774" t="s">
        <v>319</v>
      </c>
      <c r="AF774" t="s">
        <v>247</v>
      </c>
      <c r="AG774" s="2"/>
      <c r="AH774" s="35">
        <f>1-COS(RADIANS(TA[[#This Row],[Avg. Target Angle during Fault Time (Radians)]]-TA[[#This Row],[Angle of affected equipment ]]))</f>
        <v>0.11705240714107301</v>
      </c>
      <c r="AI774" s="27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43">
        <f t="shared" si="59"/>
        <v>2026</v>
      </c>
      <c r="C775" s="116">
        <f t="shared" si="60"/>
        <v>2025</v>
      </c>
      <c r="D775" s="2" t="s">
        <v>155</v>
      </c>
      <c r="E775" s="2" t="s">
        <v>155</v>
      </c>
      <c r="F775" s="30">
        <v>45778</v>
      </c>
      <c r="G775" s="2">
        <f>DAY(EOMONTH(TA[[#This Row],[Month Year]],0))</f>
        <v>31</v>
      </c>
      <c r="H775" s="21">
        <v>45797</v>
      </c>
      <c r="I775" s="32">
        <f>IFERROR(VLOOKUP(TA[[#This Row],[Date]],Raw_Data[[Date]:[Sunset Time (POA&lt;20 W/m2)]],3,0),"")</f>
        <v>0.24791666666666667</v>
      </c>
      <c r="J775" s="32">
        <f>IFERROR(VLOOKUP(TA[[#This Row],[Date]],Raw_Data[[Date]:[Sunset Time (POA&lt;20 W/m2)]],4,0),"")</f>
        <v>0.76527777777777772</v>
      </c>
      <c r="K775" s="27">
        <f>IFERROR((TA[[#This Row],[Sunset Time (POA&lt;20 W/m2)]]-TA[[#This Row],[Sunrise Time (POA&gt;20 W/m2)]])*24,"")</f>
        <v>12.416666666666664</v>
      </c>
      <c r="L775" s="2" t="s">
        <v>303</v>
      </c>
      <c r="M775" s="33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321</v>
      </c>
      <c r="Q775" s="2" t="s">
        <v>314</v>
      </c>
      <c r="R775">
        <v>26</v>
      </c>
      <c r="S775" s="2">
        <v>37</v>
      </c>
      <c r="T775" t="s">
        <v>288</v>
      </c>
      <c r="U775" t="s">
        <v>291</v>
      </c>
      <c r="V775" t="s">
        <v>292</v>
      </c>
      <c r="W775" s="32"/>
      <c r="X775" s="32"/>
      <c r="Y775" s="26"/>
      <c r="Z775" s="26"/>
      <c r="AA775" s="27">
        <f>IF(TA[[#This Row],[Work Start time on Fault]]="NA","",(TA[[#This Row],[Fault Acknowledgement Time ]]-TA[[#This Row],[Fault Time]])*24)</f>
        <v>0</v>
      </c>
      <c r="AB775" s="27">
        <f>(TA[[#This Row],[Work Start time on Fault]]-TA[[#This Row],[Fault Time]])*24</f>
        <v>0</v>
      </c>
      <c r="AC775" s="26">
        <f>(TA[[#This Row],[Work Completion time on fault]]-TA[[#This Row],[Fault Time]])*24</f>
        <v>0</v>
      </c>
      <c r="AD775" s="27">
        <f>IFERROR((TA[[#This Row],[Work Completion time on fault]]-TA[[#This Row],[Fault Time]])*24,"")</f>
        <v>0</v>
      </c>
      <c r="AE775" t="s">
        <v>319</v>
      </c>
      <c r="AF775" t="s">
        <v>247</v>
      </c>
      <c r="AG775" s="2"/>
      <c r="AH775" s="35">
        <f>1-COS(RADIANS(TA[[#This Row],[Avg. Target Angle during Fault Time (Radians)]]-TA[[#This Row],[Angle of affected equipment ]]))</f>
        <v>0.11705240714107301</v>
      </c>
      <c r="AI775" s="27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43">
        <f t="shared" si="59"/>
        <v>2026</v>
      </c>
      <c r="C776" s="116">
        <f t="shared" si="60"/>
        <v>2025</v>
      </c>
      <c r="D776" s="2" t="s">
        <v>155</v>
      </c>
      <c r="E776" s="2" t="s">
        <v>155</v>
      </c>
      <c r="F776" s="30">
        <v>45778</v>
      </c>
      <c r="G776" s="2">
        <f>DAY(EOMONTH(TA[[#This Row],[Month Year]],0))</f>
        <v>31</v>
      </c>
      <c r="H776" s="21">
        <v>45797</v>
      </c>
      <c r="I776" s="32">
        <f>IFERROR(VLOOKUP(TA[[#This Row],[Date]],Raw_Data[[Date]:[Sunset Time (POA&lt;20 W/m2)]],3,0),"")</f>
        <v>0.24791666666666667</v>
      </c>
      <c r="J776" s="32">
        <f>IFERROR(VLOOKUP(TA[[#This Row],[Date]],Raw_Data[[Date]:[Sunset Time (POA&lt;20 W/m2)]],4,0),"")</f>
        <v>0.76527777777777772</v>
      </c>
      <c r="K776" s="27">
        <f>IFERROR((TA[[#This Row],[Sunset Time (POA&lt;20 W/m2)]]-TA[[#This Row],[Sunrise Time (POA&gt;20 W/m2)]])*24,"")</f>
        <v>12.416666666666664</v>
      </c>
      <c r="L776" s="2" t="s">
        <v>303</v>
      </c>
      <c r="M776" s="33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321</v>
      </c>
      <c r="Q776" s="2" t="s">
        <v>314</v>
      </c>
      <c r="R776">
        <v>27</v>
      </c>
      <c r="S776" s="2">
        <v>42</v>
      </c>
      <c r="T776" t="s">
        <v>288</v>
      </c>
      <c r="U776" t="s">
        <v>291</v>
      </c>
      <c r="V776" t="s">
        <v>292</v>
      </c>
      <c r="W776" s="32">
        <f>IFERROR(VLOOKUP(TA[[#This Row],[Date]],Raw_Data[[Date]:[Sunset Time (POA&lt;20 W/m2)]],3,0),"")</f>
        <v>0.24791666666666667</v>
      </c>
      <c r="X776" s="32">
        <f>IFERROR(VLOOKUP(TA[[#This Row],[Date]],Raw_Data[[Date]:[Sunset Time (POA&lt;20 W/m2)]],3,0),"")</f>
        <v>0.24791666666666667</v>
      </c>
      <c r="Y776" s="26"/>
      <c r="Z776" s="26">
        <v>0.76041666666666663</v>
      </c>
      <c r="AA776" s="27">
        <f>IF(TA[[#This Row],[Work Start time on Fault]]="NA","",(TA[[#This Row],[Fault Acknowledgement Time ]]-TA[[#This Row],[Fault Time]])*24)</f>
        <v>0</v>
      </c>
      <c r="AB776" s="27">
        <f>(TA[[#This Row],[Work Start time on Fault]]-TA[[#This Row],[Fault Time]])*24</f>
        <v>-5.95</v>
      </c>
      <c r="AC776" s="26">
        <f>(TA[[#This Row],[Work Completion time on fault]]-TA[[#This Row],[Fault Time]])*24</f>
        <v>12.299999999999999</v>
      </c>
      <c r="AD776" s="27">
        <f>IFERROR((TA[[#This Row],[Work Completion time on fault]]-TA[[#This Row],[Fault Time]])*24,"")</f>
        <v>12.299999999999999</v>
      </c>
      <c r="AE776" t="s">
        <v>300</v>
      </c>
      <c r="AF776" t="s">
        <v>247</v>
      </c>
      <c r="AG776" s="2"/>
      <c r="AH776" s="35">
        <f>1-COS(RADIANS(TA[[#This Row],[Avg. Target Angle during Fault Time (Radians)]]-TA[[#This Row],[Angle of affected equipment ]]))</f>
        <v>0.11705240714107301</v>
      </c>
      <c r="AI776" s="27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43">
        <f t="shared" ref="B777:B792" si="61">YEAR(H777)+IF(MONTH(H777)&gt;=4,1,0)</f>
        <v>2026</v>
      </c>
      <c r="C777" s="116">
        <f t="shared" ref="C777:C792" si="62">YEAR(H777)</f>
        <v>2025</v>
      </c>
      <c r="D777" s="2" t="s">
        <v>155</v>
      </c>
      <c r="E777" s="2" t="s">
        <v>155</v>
      </c>
      <c r="F777" s="30">
        <v>45778</v>
      </c>
      <c r="G777" s="2">
        <f>DAY(EOMONTH(TA[[#This Row],[Month Year]],0))</f>
        <v>31</v>
      </c>
      <c r="H777" s="21">
        <v>45797</v>
      </c>
      <c r="I777" s="32">
        <f>IFERROR(VLOOKUP(TA[[#This Row],[Date]],Raw_Data[[Date]:[Sunset Time (POA&lt;20 W/m2)]],3,0),"")</f>
        <v>0.24791666666666667</v>
      </c>
      <c r="J777" s="32">
        <f>IFERROR(VLOOKUP(TA[[#This Row],[Date]],Raw_Data[[Date]:[Sunset Time (POA&lt;20 W/m2)]],4,0),"")</f>
        <v>0.76527777777777772</v>
      </c>
      <c r="K777" s="27">
        <f>IFERROR((TA[[#This Row],[Sunset Time (POA&lt;20 W/m2)]]-TA[[#This Row],[Sunrise Time (POA&gt;20 W/m2)]])*24,"")</f>
        <v>12.416666666666664</v>
      </c>
      <c r="L777" s="2" t="s">
        <v>285</v>
      </c>
      <c r="M777" s="33">
        <f>IFERROR(VLOOKUP(TA[[#This Row],[Affected Equipment]],'Basic Data'!$I$2:$K$40,3,0),"")</f>
        <v>1.7241379310344799E-3</v>
      </c>
      <c r="N777">
        <v>-28</v>
      </c>
      <c r="O777" t="s">
        <v>132</v>
      </c>
      <c r="P777" s="114" t="s">
        <v>307</v>
      </c>
      <c r="Q777" s="113" t="s">
        <v>311</v>
      </c>
      <c r="R777">
        <v>28</v>
      </c>
      <c r="S777" s="2">
        <v>45</v>
      </c>
      <c r="T777" t="s">
        <v>286</v>
      </c>
      <c r="U777" t="s">
        <v>291</v>
      </c>
      <c r="V777" t="s">
        <v>289</v>
      </c>
      <c r="W777" s="32">
        <f>IFERROR(VLOOKUP(TA[[#This Row],[Date]],Raw_Data[[Date]:[Sunset Time (POA&lt;20 W/m2)]],3,0),"")</f>
        <v>0.24791666666666667</v>
      </c>
      <c r="X777" s="32">
        <f>IFERROR(VLOOKUP(TA[[#This Row],[Date]],Raw_Data[[Date]:[Sunset Time (POA&lt;20 W/m2)]],3,0),"")</f>
        <v>0.24791666666666667</v>
      </c>
      <c r="Y777" s="26">
        <v>0.64583333333333337</v>
      </c>
      <c r="Z777" s="26">
        <v>0.66319444444444442</v>
      </c>
      <c r="AA777" s="27">
        <f>IF(TA[[#This Row],[Work Start time on Fault]]="NA","",(TA[[#This Row],[Fault Acknowledgement Time ]]-TA[[#This Row],[Fault Time]])*24)</f>
        <v>0</v>
      </c>
      <c r="AB777" s="27">
        <f>(TA[[#This Row],[Work Start time on Fault]]-TA[[#This Row],[Fault Time]])*24</f>
        <v>9.5500000000000007</v>
      </c>
      <c r="AC777" s="26">
        <f>(TA[[#This Row],[Work Completion time on fault]]-TA[[#This Row],[Fault Time]])*24</f>
        <v>9.966666666666665</v>
      </c>
      <c r="AD777" s="27">
        <f>IFERROR((TA[[#This Row],[Work Completion time on fault]]-TA[[#This Row],[Fault Time]])*24,"")</f>
        <v>9.966666666666665</v>
      </c>
      <c r="AE777" t="s">
        <v>319</v>
      </c>
      <c r="AF777" t="s">
        <v>247</v>
      </c>
      <c r="AG777" s="2"/>
      <c r="AH777" s="35">
        <f>1-COS(RADIANS(TA[[#This Row],[Avg. Target Angle during Fault Time (Radians)]]-TA[[#This Row],[Angle of affected equipment ]]))</f>
        <v>0.11705240714107301</v>
      </c>
      <c r="AI777" s="27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43">
        <f t="shared" si="61"/>
        <v>2026</v>
      </c>
      <c r="C778" s="116">
        <f t="shared" si="62"/>
        <v>2025</v>
      </c>
      <c r="D778" s="2" t="s">
        <v>155</v>
      </c>
      <c r="E778" s="2" t="s">
        <v>155</v>
      </c>
      <c r="F778" s="30">
        <v>45778</v>
      </c>
      <c r="G778" s="2">
        <f>DAY(EOMONTH(TA[[#This Row],[Month Year]],0))</f>
        <v>31</v>
      </c>
      <c r="H778" s="21">
        <v>45797</v>
      </c>
      <c r="I778" s="32">
        <f>IFERROR(VLOOKUP(TA[[#This Row],[Date]],Raw_Data[[Date]:[Sunset Time (POA&lt;20 W/m2)]],3,0),"")</f>
        <v>0.24791666666666667</v>
      </c>
      <c r="J778" s="32">
        <f>IFERROR(VLOOKUP(TA[[#This Row],[Date]],Raw_Data[[Date]:[Sunset Time (POA&lt;20 W/m2)]],4,0),"")</f>
        <v>0.76527777777777772</v>
      </c>
      <c r="K778" s="27">
        <f>IFERROR((TA[[#This Row],[Sunset Time (POA&lt;20 W/m2)]]-TA[[#This Row],[Sunrise Time (POA&gt;20 W/m2)]])*24,"")</f>
        <v>12.416666666666664</v>
      </c>
      <c r="L778" s="2" t="s">
        <v>285</v>
      </c>
      <c r="M778" s="33">
        <f>IFERROR(VLOOKUP(TA[[#This Row],[Affected Equipment]],'Basic Data'!$I$2:$K$40,3,0),"")</f>
        <v>1.7241379310344799E-3</v>
      </c>
      <c r="N778">
        <v>-28</v>
      </c>
      <c r="O778" t="s">
        <v>137</v>
      </c>
      <c r="P778" s="114" t="s">
        <v>306</v>
      </c>
      <c r="Q778" s="113" t="s">
        <v>306</v>
      </c>
      <c r="R778">
        <v>70</v>
      </c>
      <c r="S778" s="2">
        <v>46</v>
      </c>
      <c r="T778" t="s">
        <v>286</v>
      </c>
      <c r="U778" t="s">
        <v>291</v>
      </c>
      <c r="V778" t="s">
        <v>289</v>
      </c>
      <c r="W778" s="32">
        <f>IFERROR(VLOOKUP(TA[[#This Row],[Date]],Raw_Data[[Date]:[Sunset Time (POA&lt;20 W/m2)]],3,0),"")</f>
        <v>0.24791666666666667</v>
      </c>
      <c r="X778" s="32">
        <f>IFERROR(VLOOKUP(TA[[#This Row],[Date]],Raw_Data[[Date]:[Sunset Time (POA&lt;20 W/m2)]],3,0),"")</f>
        <v>0.24791666666666667</v>
      </c>
      <c r="Y778" s="26">
        <v>0.66736111111111107</v>
      </c>
      <c r="Z778" s="26">
        <v>0.67708333333333337</v>
      </c>
      <c r="AA778" s="27">
        <f>IF(TA[[#This Row],[Work Start time on Fault]]="NA","",(TA[[#This Row],[Fault Acknowledgement Time ]]-TA[[#This Row],[Fault Time]])*24)</f>
        <v>0</v>
      </c>
      <c r="AB778" s="27">
        <f>(TA[[#This Row],[Work Start time on Fault]]-TA[[#This Row],[Fault Time]])*24</f>
        <v>10.066666666666666</v>
      </c>
      <c r="AC778" s="26">
        <f>(TA[[#This Row],[Work Completion time on fault]]-TA[[#This Row],[Fault Time]])*24</f>
        <v>10.3</v>
      </c>
      <c r="AD778" s="27">
        <f>IFERROR((TA[[#This Row],[Work Completion time on fault]]-TA[[#This Row],[Fault Time]])*24,"")</f>
        <v>10.3</v>
      </c>
      <c r="AE778" t="s">
        <v>319</v>
      </c>
      <c r="AF778" t="s">
        <v>247</v>
      </c>
      <c r="AG778" s="2"/>
      <c r="AH778" s="35">
        <f>1-COS(RADIANS(TA[[#This Row],[Avg. Target Angle during Fault Time (Radians)]]-TA[[#This Row],[Angle of affected equipment ]]))</f>
        <v>0.11705240714107301</v>
      </c>
      <c r="AI778" s="27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43">
        <f t="shared" si="61"/>
        <v>2026</v>
      </c>
      <c r="C779" s="116">
        <f t="shared" si="62"/>
        <v>2025</v>
      </c>
      <c r="D779" s="2" t="s">
        <v>155</v>
      </c>
      <c r="E779" s="2" t="s">
        <v>155</v>
      </c>
      <c r="F779" s="30">
        <v>45778</v>
      </c>
      <c r="G779" s="2">
        <f>DAY(EOMONTH(TA[[#This Row],[Month Year]],0))</f>
        <v>31</v>
      </c>
      <c r="H779" s="21">
        <v>45798</v>
      </c>
      <c r="I779" s="32">
        <f>IFERROR(VLOOKUP(TA[[#This Row],[Date]],Raw_Data[[Date]:[Sunset Time (POA&lt;20 W/m2)]],3,0),"")</f>
        <v>0.29444444444444445</v>
      </c>
      <c r="J779" s="32">
        <f>IFERROR(VLOOKUP(TA[[#This Row],[Date]],Raw_Data[[Date]:[Sunset Time (POA&lt;20 W/m2)]],4,0),"")</f>
        <v>0.69305555555555554</v>
      </c>
      <c r="K779" s="27">
        <f>IFERROR((TA[[#This Row],[Sunset Time (POA&lt;20 W/m2)]]-TA[[#This Row],[Sunrise Time (POA&gt;20 W/m2)]])*24,"")</f>
        <v>9.5666666666666664</v>
      </c>
      <c r="L779" s="2" t="s">
        <v>285</v>
      </c>
      <c r="M779" s="33">
        <f>IFERROR(VLOOKUP(TA[[#This Row],[Affected Equipment]],'Basic Data'!$I$2:$K$40,3,0),"")</f>
        <v>1.7241379310344799E-3</v>
      </c>
      <c r="N779">
        <v>-28</v>
      </c>
      <c r="O779" t="s">
        <v>135</v>
      </c>
      <c r="P779" s="114" t="s">
        <v>309</v>
      </c>
      <c r="Q779" s="113" t="s">
        <v>309</v>
      </c>
      <c r="R779">
        <v>130</v>
      </c>
      <c r="S779" s="2">
        <v>37</v>
      </c>
      <c r="T779" t="s">
        <v>286</v>
      </c>
      <c r="U779" t="s">
        <v>291</v>
      </c>
      <c r="V779" t="s">
        <v>289</v>
      </c>
      <c r="W779" s="32"/>
      <c r="X779" s="32"/>
      <c r="Y779" s="26"/>
      <c r="Z779" s="26"/>
      <c r="AA779" s="27">
        <f>IF(TA[[#This Row],[Work Start time on Fault]]="NA","",(TA[[#This Row],[Fault Acknowledgement Time ]]-TA[[#This Row],[Fault Time]])*24)</f>
        <v>0</v>
      </c>
      <c r="AB779" s="27">
        <f>(TA[[#This Row],[Work Start time on Fault]]-TA[[#This Row],[Fault Time]])*24</f>
        <v>0</v>
      </c>
      <c r="AC779" s="26">
        <f>(TA[[#This Row],[Work Completion time on fault]]-TA[[#This Row],[Fault Time]])*24</f>
        <v>0</v>
      </c>
      <c r="AD779" s="27">
        <f>IFERROR((TA[[#This Row],[Work Completion time on fault]]-TA[[#This Row],[Fault Time]])*24,"")</f>
        <v>0</v>
      </c>
      <c r="AE779" t="s">
        <v>319</v>
      </c>
      <c r="AF779" t="s">
        <v>247</v>
      </c>
      <c r="AG779" s="2"/>
      <c r="AH779" s="35">
        <f>1-COS(RADIANS(TA[[#This Row],[Avg. Target Angle during Fault Time (Radians)]]-TA[[#This Row],[Angle of affected equipment ]]))</f>
        <v>0.11705240714107301</v>
      </c>
      <c r="AI779" s="27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43">
        <f t="shared" si="61"/>
        <v>2026</v>
      </c>
      <c r="C780" s="116">
        <f t="shared" si="62"/>
        <v>2025</v>
      </c>
      <c r="D780" s="2" t="s">
        <v>155</v>
      </c>
      <c r="E780" s="2" t="s">
        <v>155</v>
      </c>
      <c r="F780" s="30">
        <v>45778</v>
      </c>
      <c r="G780" s="2">
        <f>DAY(EOMONTH(TA[[#This Row],[Month Year]],0))</f>
        <v>31</v>
      </c>
      <c r="H780" s="21">
        <v>45798</v>
      </c>
      <c r="I780" s="32">
        <f>IFERROR(VLOOKUP(TA[[#This Row],[Date]],Raw_Data[[Date]:[Sunset Time (POA&lt;20 W/m2)]],3,0),"")</f>
        <v>0.29444444444444445</v>
      </c>
      <c r="J780" s="32">
        <f>IFERROR(VLOOKUP(TA[[#This Row],[Date]],Raw_Data[[Date]:[Sunset Time (POA&lt;20 W/m2)]],4,0),"")</f>
        <v>0.69305555555555554</v>
      </c>
      <c r="K780" s="27">
        <f>IFERROR((TA[[#This Row],[Sunset Time (POA&lt;20 W/m2)]]-TA[[#This Row],[Sunrise Time (POA&gt;20 W/m2)]])*24,"")</f>
        <v>9.5666666666666664</v>
      </c>
      <c r="L780" s="2" t="s">
        <v>285</v>
      </c>
      <c r="M780" s="33">
        <f>IFERROR(VLOOKUP(TA[[#This Row],[Affected Equipment]],'Basic Data'!$I$2:$K$40,3,0),"")</f>
        <v>1.7241379310344799E-3</v>
      </c>
      <c r="N780">
        <v>-28</v>
      </c>
      <c r="O780" t="s">
        <v>135</v>
      </c>
      <c r="P780" s="114" t="s">
        <v>309</v>
      </c>
      <c r="Q780" s="113" t="s">
        <v>309</v>
      </c>
      <c r="R780">
        <v>131</v>
      </c>
      <c r="S780" s="2">
        <v>38</v>
      </c>
      <c r="T780" t="s">
        <v>286</v>
      </c>
      <c r="U780" t="s">
        <v>291</v>
      </c>
      <c r="V780" t="s">
        <v>289</v>
      </c>
      <c r="W780" s="32"/>
      <c r="X780" s="32"/>
      <c r="Y780" s="26"/>
      <c r="Z780" s="26"/>
      <c r="AA780" s="27">
        <f>IF(TA[[#This Row],[Work Start time on Fault]]="NA","",(TA[[#This Row],[Fault Acknowledgement Time ]]-TA[[#This Row],[Fault Time]])*24)</f>
        <v>0</v>
      </c>
      <c r="AB780" s="27">
        <f>(TA[[#This Row],[Work Start time on Fault]]-TA[[#This Row],[Fault Time]])*24</f>
        <v>0</v>
      </c>
      <c r="AC780" s="26">
        <f>(TA[[#This Row],[Work Completion time on fault]]-TA[[#This Row],[Fault Time]])*24</f>
        <v>0</v>
      </c>
      <c r="AD780" s="27">
        <f>IFERROR((TA[[#This Row],[Work Completion time on fault]]-TA[[#This Row],[Fault Time]])*24,"")</f>
        <v>0</v>
      </c>
      <c r="AE780" t="s">
        <v>319</v>
      </c>
      <c r="AF780" t="s">
        <v>247</v>
      </c>
      <c r="AG780" s="2"/>
      <c r="AH780" s="35">
        <f>1-COS(RADIANS(TA[[#This Row],[Avg. Target Angle during Fault Time (Radians)]]-TA[[#This Row],[Angle of affected equipment ]]))</f>
        <v>0.11705240714107301</v>
      </c>
      <c r="AI780" s="27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43">
        <f t="shared" si="61"/>
        <v>2026</v>
      </c>
      <c r="C781" s="116">
        <f t="shared" si="62"/>
        <v>2025</v>
      </c>
      <c r="D781" s="2" t="s">
        <v>155</v>
      </c>
      <c r="E781" s="2" t="s">
        <v>155</v>
      </c>
      <c r="F781" s="30">
        <v>45778</v>
      </c>
      <c r="G781" s="2">
        <f>DAY(EOMONTH(TA[[#This Row],[Month Year]],0))</f>
        <v>31</v>
      </c>
      <c r="H781" s="21">
        <v>45798</v>
      </c>
      <c r="I781" s="32">
        <f>IFERROR(VLOOKUP(TA[[#This Row],[Date]],Raw_Data[[Date]:[Sunset Time (POA&lt;20 W/m2)]],3,0),"")</f>
        <v>0.29444444444444445</v>
      </c>
      <c r="J781" s="32">
        <f>IFERROR(VLOOKUP(TA[[#This Row],[Date]],Raw_Data[[Date]:[Sunset Time (POA&lt;20 W/m2)]],4,0),"")</f>
        <v>0.69305555555555554</v>
      </c>
      <c r="K781" s="27">
        <f>IFERROR((TA[[#This Row],[Sunset Time (POA&lt;20 W/m2)]]-TA[[#This Row],[Sunrise Time (POA&gt;20 W/m2)]])*24,"")</f>
        <v>9.5666666666666664</v>
      </c>
      <c r="L781" s="2" t="s">
        <v>285</v>
      </c>
      <c r="M781" s="33">
        <f>IFERROR(VLOOKUP(TA[[#This Row],[Affected Equipment]],'Basic Data'!$I$2:$K$40,3,0),"")</f>
        <v>1.7241379310344799E-3</v>
      </c>
      <c r="N781">
        <v>-28</v>
      </c>
      <c r="O781" t="s">
        <v>135</v>
      </c>
      <c r="P781" s="114" t="s">
        <v>309</v>
      </c>
      <c r="Q781" s="113" t="s">
        <v>309</v>
      </c>
      <c r="R781">
        <v>131</v>
      </c>
      <c r="S781" s="2">
        <v>39</v>
      </c>
      <c r="T781" t="s">
        <v>286</v>
      </c>
      <c r="U781" t="s">
        <v>291</v>
      </c>
      <c r="V781" t="s">
        <v>289</v>
      </c>
      <c r="W781" s="32"/>
      <c r="X781" s="32"/>
      <c r="Y781" s="26"/>
      <c r="Z781" s="26"/>
      <c r="AA781" s="27">
        <f>IF(TA[[#This Row],[Work Start time on Fault]]="NA","",(TA[[#This Row],[Fault Acknowledgement Time ]]-TA[[#This Row],[Fault Time]])*24)</f>
        <v>0</v>
      </c>
      <c r="AB781" s="27">
        <f>(TA[[#This Row],[Work Start time on Fault]]-TA[[#This Row],[Fault Time]])*24</f>
        <v>0</v>
      </c>
      <c r="AC781" s="26">
        <f>(TA[[#This Row],[Work Completion time on fault]]-TA[[#This Row],[Fault Time]])*24</f>
        <v>0</v>
      </c>
      <c r="AD781" s="27">
        <f>IFERROR((TA[[#This Row],[Work Completion time on fault]]-TA[[#This Row],[Fault Time]])*24,"")</f>
        <v>0</v>
      </c>
      <c r="AE781" t="s">
        <v>319</v>
      </c>
      <c r="AF781" t="s">
        <v>247</v>
      </c>
      <c r="AG781" s="2"/>
      <c r="AH781" s="35">
        <f>1-COS(RADIANS(TA[[#This Row],[Avg. Target Angle during Fault Time (Radians)]]-TA[[#This Row],[Angle of affected equipment ]]))</f>
        <v>0.11705240714107301</v>
      </c>
      <c r="AI781" s="27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43">
        <f t="shared" si="61"/>
        <v>2026</v>
      </c>
      <c r="C782" s="116">
        <f t="shared" si="62"/>
        <v>2025</v>
      </c>
      <c r="D782" s="2" t="s">
        <v>155</v>
      </c>
      <c r="E782" s="2" t="s">
        <v>155</v>
      </c>
      <c r="F782" s="30">
        <v>45778</v>
      </c>
      <c r="G782" s="2">
        <f>DAY(EOMONTH(TA[[#This Row],[Month Year]],0))</f>
        <v>31</v>
      </c>
      <c r="H782" s="21">
        <v>45798</v>
      </c>
      <c r="I782" s="32">
        <f>IFERROR(VLOOKUP(TA[[#This Row],[Date]],Raw_Data[[Date]:[Sunset Time (POA&lt;20 W/m2)]],3,0),"")</f>
        <v>0.29444444444444445</v>
      </c>
      <c r="J782" s="32">
        <f>IFERROR(VLOOKUP(TA[[#This Row],[Date]],Raw_Data[[Date]:[Sunset Time (POA&lt;20 W/m2)]],4,0),"")</f>
        <v>0.69305555555555554</v>
      </c>
      <c r="K782" s="27">
        <f>IFERROR((TA[[#This Row],[Sunset Time (POA&lt;20 W/m2)]]-TA[[#This Row],[Sunrise Time (POA&gt;20 W/m2)]])*24,"")</f>
        <v>9.5666666666666664</v>
      </c>
      <c r="L782" s="2" t="s">
        <v>287</v>
      </c>
      <c r="M782" s="33">
        <f>IFERROR(VLOOKUP(TA[[#This Row],[Affected Equipment]],'Basic Data'!$I$2:$K$40,3,0),"")</f>
        <v>8.6206896551724102E-3</v>
      </c>
      <c r="N782">
        <v>-28</v>
      </c>
      <c r="O782" t="s">
        <v>135</v>
      </c>
      <c r="P782" s="114" t="s">
        <v>309</v>
      </c>
      <c r="Q782" s="2" t="s">
        <v>312</v>
      </c>
      <c r="R782">
        <v>133</v>
      </c>
      <c r="S782" s="2">
        <v>26</v>
      </c>
      <c r="T782" t="s">
        <v>288</v>
      </c>
      <c r="U782" t="s">
        <v>291</v>
      </c>
      <c r="V782" t="s">
        <v>305</v>
      </c>
      <c r="W782" s="32">
        <f>IFERROR(VLOOKUP(TA[[#This Row],[Date]],Raw_Data[[Date]:[Sunset Time (POA&lt;20 W/m2)]],3,0),"")</f>
        <v>0.29444444444444445</v>
      </c>
      <c r="X782" s="32">
        <f>IFERROR(VLOOKUP(TA[[#This Row],[Date]],Raw_Data[[Date]:[Sunset Time (POA&lt;20 W/m2)]],3,0),"")</f>
        <v>0.29444444444444445</v>
      </c>
      <c r="Y782" s="26"/>
      <c r="Z782" s="26">
        <v>0.76041666666666663</v>
      </c>
      <c r="AA782" s="27">
        <f>IF(TA[[#This Row],[Work Start time on Fault]]="NA","",(TA[[#This Row],[Fault Acknowledgement Time ]]-TA[[#This Row],[Fault Time]])*24)</f>
        <v>0</v>
      </c>
      <c r="AB782" s="27">
        <f>(TA[[#This Row],[Work Start time on Fault]]-TA[[#This Row],[Fault Time]])*24</f>
        <v>-7.0666666666666664</v>
      </c>
      <c r="AC782" s="26">
        <f>(TA[[#This Row],[Work Completion time on fault]]-TA[[#This Row],[Fault Time]])*24</f>
        <v>11.183333333333332</v>
      </c>
      <c r="AD782" s="27">
        <f>IFERROR((TA[[#This Row],[Work Completion time on fault]]-TA[[#This Row],[Fault Time]])*24,"")</f>
        <v>11.183333333333332</v>
      </c>
      <c r="AE782" t="s">
        <v>319</v>
      </c>
      <c r="AF782" t="s">
        <v>247</v>
      </c>
      <c r="AG782" s="2"/>
      <c r="AH782" s="35">
        <f>1-COS(RADIANS(TA[[#This Row],[Avg. Target Angle during Fault Time (Radians)]]-TA[[#This Row],[Angle of affected equipment ]]))</f>
        <v>0.11705240714107301</v>
      </c>
      <c r="AI782" s="27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43">
        <f t="shared" si="61"/>
        <v>2026</v>
      </c>
      <c r="C783" s="116">
        <f t="shared" si="62"/>
        <v>2025</v>
      </c>
      <c r="D783" s="2" t="s">
        <v>155</v>
      </c>
      <c r="E783" s="2" t="s">
        <v>155</v>
      </c>
      <c r="F783" s="30">
        <v>45778</v>
      </c>
      <c r="G783" s="2">
        <f>DAY(EOMONTH(TA[[#This Row],[Month Year]],0))</f>
        <v>31</v>
      </c>
      <c r="H783" s="21">
        <v>45798</v>
      </c>
      <c r="I783" s="32">
        <f>IFERROR(VLOOKUP(TA[[#This Row],[Date]],Raw_Data[[Date]:[Sunset Time (POA&lt;20 W/m2)]],3,0),"")</f>
        <v>0.29444444444444445</v>
      </c>
      <c r="J783" s="32">
        <f>IFERROR(VLOOKUP(TA[[#This Row],[Date]],Raw_Data[[Date]:[Sunset Time (POA&lt;20 W/m2)]],4,0),"")</f>
        <v>0.69305555555555554</v>
      </c>
      <c r="K783" s="27">
        <f>IFERROR((TA[[#This Row],[Sunset Time (POA&lt;20 W/m2)]]-TA[[#This Row],[Sunrise Time (POA&gt;20 W/m2)]])*24,"")</f>
        <v>9.5666666666666664</v>
      </c>
      <c r="L783" s="2" t="s">
        <v>285</v>
      </c>
      <c r="M783" s="33">
        <f>IFERROR(VLOOKUP(TA[[#This Row],[Affected Equipment]],'Basic Data'!$I$2:$K$40,3,0),"")</f>
        <v>1.7241379310344799E-3</v>
      </c>
      <c r="N783">
        <v>-28</v>
      </c>
      <c r="O783" t="s">
        <v>133</v>
      </c>
      <c r="P783" s="114" t="s">
        <v>307</v>
      </c>
      <c r="Q783" s="113" t="s">
        <v>308</v>
      </c>
      <c r="R783">
        <v>7</v>
      </c>
      <c r="S783" s="2">
        <v>32</v>
      </c>
      <c r="T783" t="s">
        <v>286</v>
      </c>
      <c r="U783" t="s">
        <v>291</v>
      </c>
      <c r="V783" t="s">
        <v>289</v>
      </c>
      <c r="W783" s="32"/>
      <c r="X783" s="32"/>
      <c r="Y783" s="26"/>
      <c r="Z783" s="26"/>
      <c r="AA783" s="27">
        <f>IF(TA[[#This Row],[Work Start time on Fault]]="NA","",(TA[[#This Row],[Fault Acknowledgement Time ]]-TA[[#This Row],[Fault Time]])*24)</f>
        <v>0</v>
      </c>
      <c r="AB783" s="27">
        <f>(TA[[#This Row],[Work Start time on Fault]]-TA[[#This Row],[Fault Time]])*24</f>
        <v>0</v>
      </c>
      <c r="AC783" s="26">
        <f>(TA[[#This Row],[Work Completion time on fault]]-TA[[#This Row],[Fault Time]])*24</f>
        <v>0</v>
      </c>
      <c r="AD783" s="27">
        <f>IFERROR((TA[[#This Row],[Work Completion time on fault]]-TA[[#This Row],[Fault Time]])*24,"")</f>
        <v>0</v>
      </c>
      <c r="AE783" t="s">
        <v>319</v>
      </c>
      <c r="AF783" t="s">
        <v>247</v>
      </c>
      <c r="AG783" s="2"/>
      <c r="AH783" s="35">
        <f>1-COS(RADIANS(TA[[#This Row],[Avg. Target Angle during Fault Time (Radians)]]-TA[[#This Row],[Angle of affected equipment ]]))</f>
        <v>0.11705240714107301</v>
      </c>
      <c r="AI783" s="27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43">
        <f t="shared" si="61"/>
        <v>2026</v>
      </c>
      <c r="C784" s="116">
        <f t="shared" si="62"/>
        <v>2025</v>
      </c>
      <c r="D784" s="2" t="s">
        <v>155</v>
      </c>
      <c r="E784" s="2" t="s">
        <v>155</v>
      </c>
      <c r="F784" s="30">
        <v>45778</v>
      </c>
      <c r="G784" s="2">
        <f>DAY(EOMONTH(TA[[#This Row],[Month Year]],0))</f>
        <v>31</v>
      </c>
      <c r="H784" s="21">
        <v>45798</v>
      </c>
      <c r="I784" s="32">
        <f>IFERROR(VLOOKUP(TA[[#This Row],[Date]],Raw_Data[[Date]:[Sunset Time (POA&lt;20 W/m2)]],3,0),"")</f>
        <v>0.29444444444444445</v>
      </c>
      <c r="J784" s="32">
        <f>IFERROR(VLOOKUP(TA[[#This Row],[Date]],Raw_Data[[Date]:[Sunset Time (POA&lt;20 W/m2)]],4,0),"")</f>
        <v>0.69305555555555554</v>
      </c>
      <c r="K784" s="27">
        <f>IFERROR((TA[[#This Row],[Sunset Time (POA&lt;20 W/m2)]]-TA[[#This Row],[Sunrise Time (POA&gt;20 W/m2)]])*24,"")</f>
        <v>9.5666666666666664</v>
      </c>
      <c r="L784" s="2" t="s">
        <v>285</v>
      </c>
      <c r="M784" s="33">
        <f>IFERROR(VLOOKUP(TA[[#This Row],[Affected Equipment]],'Basic Data'!$I$2:$K$40,3,0),"")</f>
        <v>1.7241379310344799E-3</v>
      </c>
      <c r="N784">
        <v>-28</v>
      </c>
      <c r="O784" t="s">
        <v>137</v>
      </c>
      <c r="P784" s="114" t="s">
        <v>306</v>
      </c>
      <c r="Q784" s="113" t="s">
        <v>310</v>
      </c>
      <c r="R784">
        <v>166</v>
      </c>
      <c r="S784" s="2">
        <v>91</v>
      </c>
      <c r="T784" t="s">
        <v>286</v>
      </c>
      <c r="U784" t="s">
        <v>291</v>
      </c>
      <c r="V784" t="s">
        <v>289</v>
      </c>
      <c r="W784" s="32"/>
      <c r="X784" s="32"/>
      <c r="Y784" s="26"/>
      <c r="Z784" s="26"/>
      <c r="AA784" s="27">
        <f>IF(TA[[#This Row],[Work Start time on Fault]]="NA","",(TA[[#This Row],[Fault Acknowledgement Time ]]-TA[[#This Row],[Fault Time]])*24)</f>
        <v>0</v>
      </c>
      <c r="AB784" s="27">
        <f>(TA[[#This Row],[Work Start time on Fault]]-TA[[#This Row],[Fault Time]])*24</f>
        <v>0</v>
      </c>
      <c r="AC784" s="26">
        <f>(TA[[#This Row],[Work Completion time on fault]]-TA[[#This Row],[Fault Time]])*24</f>
        <v>0</v>
      </c>
      <c r="AD784" s="27">
        <f>IFERROR((TA[[#This Row],[Work Completion time on fault]]-TA[[#This Row],[Fault Time]])*24,"")</f>
        <v>0</v>
      </c>
      <c r="AE784" t="s">
        <v>319</v>
      </c>
      <c r="AF784" t="s">
        <v>247</v>
      </c>
      <c r="AG784" s="2"/>
      <c r="AH784" s="35">
        <f>1-COS(RADIANS(TA[[#This Row],[Avg. Target Angle during Fault Time (Radians)]]-TA[[#This Row],[Angle of affected equipment ]]))</f>
        <v>0.11705240714107301</v>
      </c>
      <c r="AI784" s="27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43">
        <f t="shared" si="61"/>
        <v>2026</v>
      </c>
      <c r="C785" s="116">
        <f t="shared" si="62"/>
        <v>2025</v>
      </c>
      <c r="D785" s="2" t="s">
        <v>155</v>
      </c>
      <c r="E785" s="2" t="s">
        <v>155</v>
      </c>
      <c r="F785" s="30">
        <v>45778</v>
      </c>
      <c r="G785" s="2">
        <f>DAY(EOMONTH(TA[[#This Row],[Month Year]],0))</f>
        <v>31</v>
      </c>
      <c r="H785" s="21">
        <v>45798</v>
      </c>
      <c r="I785" s="32">
        <f>IFERROR(VLOOKUP(TA[[#This Row],[Date]],Raw_Data[[Date]:[Sunset Time (POA&lt;20 W/m2)]],3,0),"")</f>
        <v>0.29444444444444445</v>
      </c>
      <c r="J785" s="32">
        <f>IFERROR(VLOOKUP(TA[[#This Row],[Date]],Raw_Data[[Date]:[Sunset Time (POA&lt;20 W/m2)]],4,0),"")</f>
        <v>0.69305555555555554</v>
      </c>
      <c r="K785" s="27">
        <f>IFERROR((TA[[#This Row],[Sunset Time (POA&lt;20 W/m2)]]-TA[[#This Row],[Sunrise Time (POA&gt;20 W/m2)]])*24,"")</f>
        <v>9.5666666666666664</v>
      </c>
      <c r="L785" s="2" t="s">
        <v>285</v>
      </c>
      <c r="M785" s="33">
        <f>IFERROR(VLOOKUP(TA[[#This Row],[Affected Equipment]],'Basic Data'!$I$2:$K$40,3,0),"")</f>
        <v>1.7241379310344799E-3</v>
      </c>
      <c r="N785">
        <v>-28</v>
      </c>
      <c r="O785" t="s">
        <v>133</v>
      </c>
      <c r="P785" s="114" t="s">
        <v>307</v>
      </c>
      <c r="Q785" s="113" t="s">
        <v>307</v>
      </c>
      <c r="R785">
        <v>117</v>
      </c>
      <c r="S785" s="2">
        <v>20</v>
      </c>
      <c r="T785" t="s">
        <v>286</v>
      </c>
      <c r="U785" t="s">
        <v>291</v>
      </c>
      <c r="V785" t="s">
        <v>289</v>
      </c>
      <c r="W785" s="32"/>
      <c r="X785" s="32"/>
      <c r="Y785" s="26"/>
      <c r="Z785" s="26"/>
      <c r="AA785" s="27">
        <f>IF(TA[[#This Row],[Work Start time on Fault]]="NA","",(TA[[#This Row],[Fault Acknowledgement Time ]]-TA[[#This Row],[Fault Time]])*24)</f>
        <v>0</v>
      </c>
      <c r="AB785" s="27">
        <f>(TA[[#This Row],[Work Start time on Fault]]-TA[[#This Row],[Fault Time]])*24</f>
        <v>0</v>
      </c>
      <c r="AC785" s="26">
        <f>(TA[[#This Row],[Work Completion time on fault]]-TA[[#This Row],[Fault Time]])*24</f>
        <v>0</v>
      </c>
      <c r="AD785" s="27">
        <f>IFERROR((TA[[#This Row],[Work Completion time on fault]]-TA[[#This Row],[Fault Time]])*24,"")</f>
        <v>0</v>
      </c>
      <c r="AE785" t="s">
        <v>319</v>
      </c>
      <c r="AF785" t="s">
        <v>247</v>
      </c>
      <c r="AG785" s="2"/>
      <c r="AH785" s="35">
        <f>1-COS(RADIANS(TA[[#This Row],[Avg. Target Angle during Fault Time (Radians)]]-TA[[#This Row],[Angle of affected equipment ]]))</f>
        <v>0.11705240714107301</v>
      </c>
      <c r="AI785" s="27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43">
        <f t="shared" si="61"/>
        <v>2026</v>
      </c>
      <c r="C786" s="116">
        <f t="shared" si="62"/>
        <v>2025</v>
      </c>
      <c r="D786" s="2" t="s">
        <v>155</v>
      </c>
      <c r="E786" s="2" t="s">
        <v>155</v>
      </c>
      <c r="F786" s="30">
        <v>45778</v>
      </c>
      <c r="G786" s="2">
        <f>DAY(EOMONTH(TA[[#This Row],[Month Year]],0))</f>
        <v>31</v>
      </c>
      <c r="H786" s="21">
        <v>45798</v>
      </c>
      <c r="I786" s="32">
        <f>IFERROR(VLOOKUP(TA[[#This Row],[Date]],Raw_Data[[Date]:[Sunset Time (POA&lt;20 W/m2)]],3,0),"")</f>
        <v>0.29444444444444445</v>
      </c>
      <c r="J786" s="32">
        <f>IFERROR(VLOOKUP(TA[[#This Row],[Date]],Raw_Data[[Date]:[Sunset Time (POA&lt;20 W/m2)]],4,0),"")</f>
        <v>0.69305555555555554</v>
      </c>
      <c r="K786" s="27">
        <f>IFERROR((TA[[#This Row],[Sunset Time (POA&lt;20 W/m2)]]-TA[[#This Row],[Sunrise Time (POA&gt;20 W/m2)]])*24,"")</f>
        <v>9.5666666666666664</v>
      </c>
      <c r="L786" s="2" t="s">
        <v>285</v>
      </c>
      <c r="M786" s="33">
        <f>IFERROR(VLOOKUP(TA[[#This Row],[Affected Equipment]],'Basic Data'!$I$2:$K$40,3,0),"")</f>
        <v>1.7241379310344799E-3</v>
      </c>
      <c r="N786">
        <v>-28</v>
      </c>
      <c r="O786" t="s">
        <v>133</v>
      </c>
      <c r="P786" s="114" t="s">
        <v>307</v>
      </c>
      <c r="Q786" s="113" t="s">
        <v>307</v>
      </c>
      <c r="R786">
        <v>118</v>
      </c>
      <c r="S786" s="2">
        <v>22</v>
      </c>
      <c r="T786" t="s">
        <v>286</v>
      </c>
      <c r="U786" t="s">
        <v>291</v>
      </c>
      <c r="V786" t="s">
        <v>289</v>
      </c>
      <c r="W786" s="32"/>
      <c r="X786" s="32"/>
      <c r="Y786" s="26"/>
      <c r="Z786" s="26"/>
      <c r="AA786" s="27">
        <f>IF(TA[[#This Row],[Work Start time on Fault]]="NA","",(TA[[#This Row],[Fault Acknowledgement Time ]]-TA[[#This Row],[Fault Time]])*24)</f>
        <v>0</v>
      </c>
      <c r="AB786" s="27">
        <f>(TA[[#This Row],[Work Start time on Fault]]-TA[[#This Row],[Fault Time]])*24</f>
        <v>0</v>
      </c>
      <c r="AC786" s="26">
        <f>(TA[[#This Row],[Work Completion time on fault]]-TA[[#This Row],[Fault Time]])*24</f>
        <v>0</v>
      </c>
      <c r="AD786" s="27">
        <f>IFERROR((TA[[#This Row],[Work Completion time on fault]]-TA[[#This Row],[Fault Time]])*24,"")</f>
        <v>0</v>
      </c>
      <c r="AE786" t="s">
        <v>319</v>
      </c>
      <c r="AF786" t="s">
        <v>247</v>
      </c>
      <c r="AG786" s="2"/>
      <c r="AH786" s="35">
        <f>1-COS(RADIANS(TA[[#This Row],[Avg. Target Angle during Fault Time (Radians)]]-TA[[#This Row],[Angle of affected equipment ]]))</f>
        <v>0.11705240714107301</v>
      </c>
      <c r="AI786" s="27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43">
        <f t="shared" si="61"/>
        <v>2026</v>
      </c>
      <c r="C787" s="116">
        <f t="shared" si="62"/>
        <v>2025</v>
      </c>
      <c r="D787" s="2" t="s">
        <v>155</v>
      </c>
      <c r="E787" s="2" t="s">
        <v>155</v>
      </c>
      <c r="F787" s="30">
        <v>45778</v>
      </c>
      <c r="G787" s="2">
        <f>DAY(EOMONTH(TA[[#This Row],[Month Year]],0))</f>
        <v>31</v>
      </c>
      <c r="H787" s="21">
        <v>45798</v>
      </c>
      <c r="I787" s="32">
        <f>IFERROR(VLOOKUP(TA[[#This Row],[Date]],Raw_Data[[Date]:[Sunset Time (POA&lt;20 W/m2)]],3,0),"")</f>
        <v>0.29444444444444445</v>
      </c>
      <c r="J787" s="32">
        <f>IFERROR(VLOOKUP(TA[[#This Row],[Date]],Raw_Data[[Date]:[Sunset Time (POA&lt;20 W/m2)]],4,0),"")</f>
        <v>0.69305555555555554</v>
      </c>
      <c r="K787" s="27">
        <f>IFERROR((TA[[#This Row],[Sunset Time (POA&lt;20 W/m2)]]-TA[[#This Row],[Sunrise Time (POA&gt;20 W/m2)]])*24,"")</f>
        <v>9.5666666666666664</v>
      </c>
      <c r="L787" s="2" t="s">
        <v>287</v>
      </c>
      <c r="M787" s="33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314</v>
      </c>
      <c r="Q787" s="2" t="s">
        <v>320</v>
      </c>
      <c r="R787">
        <v>45</v>
      </c>
      <c r="S787" s="2">
        <v>8</v>
      </c>
      <c r="T787" t="s">
        <v>288</v>
      </c>
      <c r="U787" t="s">
        <v>291</v>
      </c>
      <c r="V787" t="s">
        <v>292</v>
      </c>
      <c r="W787" s="32"/>
      <c r="X787" s="32"/>
      <c r="Y787" s="26"/>
      <c r="Z787" s="26"/>
      <c r="AA787" s="27">
        <f>IF(TA[[#This Row],[Work Start time on Fault]]="NA","",(TA[[#This Row],[Fault Acknowledgement Time ]]-TA[[#This Row],[Fault Time]])*24)</f>
        <v>0</v>
      </c>
      <c r="AB787" s="27">
        <f>(TA[[#This Row],[Work Start time on Fault]]-TA[[#This Row],[Fault Time]])*24</f>
        <v>0</v>
      </c>
      <c r="AC787" s="26">
        <f>(TA[[#This Row],[Work Completion time on fault]]-TA[[#This Row],[Fault Time]])*24</f>
        <v>0</v>
      </c>
      <c r="AD787" s="27">
        <f>IFERROR((TA[[#This Row],[Work Completion time on fault]]-TA[[#This Row],[Fault Time]])*24,"")</f>
        <v>0</v>
      </c>
      <c r="AE787" t="s">
        <v>319</v>
      </c>
      <c r="AF787" t="s">
        <v>247</v>
      </c>
      <c r="AG787" s="2"/>
      <c r="AH787" s="35">
        <f>1-COS(RADIANS(TA[[#This Row],[Avg. Target Angle during Fault Time (Radians)]]-TA[[#This Row],[Angle of affected equipment ]]))</f>
        <v>0.11705240714107301</v>
      </c>
      <c r="AI787" s="27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43">
        <f t="shared" si="61"/>
        <v>2026</v>
      </c>
      <c r="C788" s="116">
        <f t="shared" si="62"/>
        <v>2025</v>
      </c>
      <c r="D788" s="2" t="s">
        <v>155</v>
      </c>
      <c r="E788" s="2" t="s">
        <v>155</v>
      </c>
      <c r="F788" s="30">
        <v>45778</v>
      </c>
      <c r="G788" s="2">
        <f>DAY(EOMONTH(TA[[#This Row],[Month Year]],0))</f>
        <v>31</v>
      </c>
      <c r="H788" s="21">
        <v>45798</v>
      </c>
      <c r="I788" s="32">
        <f>IFERROR(VLOOKUP(TA[[#This Row],[Date]],Raw_Data[[Date]:[Sunset Time (POA&lt;20 W/m2)]],3,0),"")</f>
        <v>0.29444444444444445</v>
      </c>
      <c r="J788" s="32">
        <f>IFERROR(VLOOKUP(TA[[#This Row],[Date]],Raw_Data[[Date]:[Sunset Time (POA&lt;20 W/m2)]],4,0),"")</f>
        <v>0.69305555555555554</v>
      </c>
      <c r="K788" s="27">
        <f>IFERROR((TA[[#This Row],[Sunset Time (POA&lt;20 W/m2)]]-TA[[#This Row],[Sunrise Time (POA&gt;20 W/m2)]])*24,"")</f>
        <v>9.5666666666666664</v>
      </c>
      <c r="L788" s="2" t="s">
        <v>287</v>
      </c>
      <c r="M788" s="33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314</v>
      </c>
      <c r="Q788" s="2" t="s">
        <v>320</v>
      </c>
      <c r="R788">
        <v>47</v>
      </c>
      <c r="S788" s="2">
        <v>18</v>
      </c>
      <c r="T788" t="s">
        <v>288</v>
      </c>
      <c r="U788" t="s">
        <v>291</v>
      </c>
      <c r="V788" t="s">
        <v>292</v>
      </c>
      <c r="W788" s="32"/>
      <c r="X788" s="32"/>
      <c r="Y788" s="26"/>
      <c r="Z788" s="26"/>
      <c r="AA788" s="27">
        <f>IF(TA[[#This Row],[Work Start time on Fault]]="NA","",(TA[[#This Row],[Fault Acknowledgement Time ]]-TA[[#This Row],[Fault Time]])*24)</f>
        <v>0</v>
      </c>
      <c r="AB788" s="27">
        <f>(TA[[#This Row],[Work Start time on Fault]]-TA[[#This Row],[Fault Time]])*24</f>
        <v>0</v>
      </c>
      <c r="AC788" s="26">
        <f>(TA[[#This Row],[Work Completion time on fault]]-TA[[#This Row],[Fault Time]])*24</f>
        <v>0</v>
      </c>
      <c r="AD788" s="27">
        <f>IFERROR((TA[[#This Row],[Work Completion time on fault]]-TA[[#This Row],[Fault Time]])*24,"")</f>
        <v>0</v>
      </c>
      <c r="AE788" t="s">
        <v>319</v>
      </c>
      <c r="AF788" t="s">
        <v>247</v>
      </c>
      <c r="AG788" s="2"/>
      <c r="AH788" s="35">
        <f>1-COS(RADIANS(TA[[#This Row],[Avg. Target Angle during Fault Time (Radians)]]-TA[[#This Row],[Angle of affected equipment ]]))</f>
        <v>0.11705240714107301</v>
      </c>
      <c r="AI788" s="27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43">
        <f t="shared" si="61"/>
        <v>2026</v>
      </c>
      <c r="C789" s="116">
        <f t="shared" si="62"/>
        <v>2025</v>
      </c>
      <c r="D789" s="2" t="s">
        <v>155</v>
      </c>
      <c r="E789" s="2" t="s">
        <v>155</v>
      </c>
      <c r="F789" s="30">
        <v>45778</v>
      </c>
      <c r="G789" s="2">
        <f>DAY(EOMONTH(TA[[#This Row],[Month Year]],0))</f>
        <v>31</v>
      </c>
      <c r="H789" s="21">
        <v>45798</v>
      </c>
      <c r="I789" s="32">
        <f>IFERROR(VLOOKUP(TA[[#This Row],[Date]],Raw_Data[[Date]:[Sunset Time (POA&lt;20 W/m2)]],3,0),"")</f>
        <v>0.29444444444444445</v>
      </c>
      <c r="J789" s="32">
        <f>IFERROR(VLOOKUP(TA[[#This Row],[Date]],Raw_Data[[Date]:[Sunset Time (POA&lt;20 W/m2)]],4,0),"")</f>
        <v>0.69305555555555554</v>
      </c>
      <c r="K789" s="27">
        <f>IFERROR((TA[[#This Row],[Sunset Time (POA&lt;20 W/m2)]]-TA[[#This Row],[Sunrise Time (POA&gt;20 W/m2)]])*24,"")</f>
        <v>9.5666666666666664</v>
      </c>
      <c r="L789" s="2" t="s">
        <v>287</v>
      </c>
      <c r="M789" s="33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321</v>
      </c>
      <c r="Q789" s="2" t="s">
        <v>314</v>
      </c>
      <c r="R789">
        <v>30</v>
      </c>
      <c r="S789" s="2">
        <v>57</v>
      </c>
      <c r="T789" t="s">
        <v>288</v>
      </c>
      <c r="U789" t="s">
        <v>291</v>
      </c>
      <c r="V789" t="s">
        <v>292</v>
      </c>
      <c r="W789" s="32"/>
      <c r="X789" s="32"/>
      <c r="Y789" s="26"/>
      <c r="Z789" s="26"/>
      <c r="AA789" s="27">
        <f>IF(TA[[#This Row],[Work Start time on Fault]]="NA","",(TA[[#This Row],[Fault Acknowledgement Time ]]-TA[[#This Row],[Fault Time]])*24)</f>
        <v>0</v>
      </c>
      <c r="AB789" s="27">
        <f>(TA[[#This Row],[Work Start time on Fault]]-TA[[#This Row],[Fault Time]])*24</f>
        <v>0</v>
      </c>
      <c r="AC789" s="26">
        <f>(TA[[#This Row],[Work Completion time on fault]]-TA[[#This Row],[Fault Time]])*24</f>
        <v>0</v>
      </c>
      <c r="AD789" s="27">
        <f>IFERROR((TA[[#This Row],[Work Completion time on fault]]-TA[[#This Row],[Fault Time]])*24,"")</f>
        <v>0</v>
      </c>
      <c r="AE789" t="s">
        <v>319</v>
      </c>
      <c r="AF789" t="s">
        <v>247</v>
      </c>
      <c r="AG789" s="2"/>
      <c r="AH789" s="35">
        <f>1-COS(RADIANS(TA[[#This Row],[Avg. Target Angle during Fault Time (Radians)]]-TA[[#This Row],[Angle of affected equipment ]]))</f>
        <v>0.11705240714107301</v>
      </c>
      <c r="AI789" s="27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43">
        <f t="shared" si="61"/>
        <v>2026</v>
      </c>
      <c r="C790" s="116">
        <f t="shared" si="62"/>
        <v>2025</v>
      </c>
      <c r="D790" s="2" t="s">
        <v>155</v>
      </c>
      <c r="E790" s="2" t="s">
        <v>155</v>
      </c>
      <c r="F790" s="30">
        <v>45778</v>
      </c>
      <c r="G790" s="2">
        <f>DAY(EOMONTH(TA[[#This Row],[Month Year]],0))</f>
        <v>31</v>
      </c>
      <c r="H790" s="21">
        <v>45798</v>
      </c>
      <c r="I790" s="32">
        <f>IFERROR(VLOOKUP(TA[[#This Row],[Date]],Raw_Data[[Date]:[Sunset Time (POA&lt;20 W/m2)]],3,0),"")</f>
        <v>0.29444444444444445</v>
      </c>
      <c r="J790" s="32">
        <f>IFERROR(VLOOKUP(TA[[#This Row],[Date]],Raw_Data[[Date]:[Sunset Time (POA&lt;20 W/m2)]],4,0),"")</f>
        <v>0.69305555555555554</v>
      </c>
      <c r="K790" s="27">
        <f>IFERROR((TA[[#This Row],[Sunset Time (POA&lt;20 W/m2)]]-TA[[#This Row],[Sunrise Time (POA&gt;20 W/m2)]])*24,"")</f>
        <v>9.5666666666666664</v>
      </c>
      <c r="L790" s="2" t="s">
        <v>287</v>
      </c>
      <c r="M790" s="33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321</v>
      </c>
      <c r="Q790" s="2" t="s">
        <v>314</v>
      </c>
      <c r="R790">
        <v>31</v>
      </c>
      <c r="S790" s="2">
        <v>61</v>
      </c>
      <c r="T790" t="s">
        <v>288</v>
      </c>
      <c r="U790" t="s">
        <v>291</v>
      </c>
      <c r="V790" t="s">
        <v>292</v>
      </c>
      <c r="W790" s="32"/>
      <c r="X790" s="32"/>
      <c r="Y790" s="26"/>
      <c r="Z790" s="26"/>
      <c r="AA790" s="27">
        <f>IF(TA[[#This Row],[Work Start time on Fault]]="NA","",(TA[[#This Row],[Fault Acknowledgement Time ]]-TA[[#This Row],[Fault Time]])*24)</f>
        <v>0</v>
      </c>
      <c r="AB790" s="27">
        <f>(TA[[#This Row],[Work Start time on Fault]]-TA[[#This Row],[Fault Time]])*24</f>
        <v>0</v>
      </c>
      <c r="AC790" s="26">
        <f>(TA[[#This Row],[Work Completion time on fault]]-TA[[#This Row],[Fault Time]])*24</f>
        <v>0</v>
      </c>
      <c r="AD790" s="27">
        <f>IFERROR((TA[[#This Row],[Work Completion time on fault]]-TA[[#This Row],[Fault Time]])*24,"")</f>
        <v>0</v>
      </c>
      <c r="AE790" t="s">
        <v>319</v>
      </c>
      <c r="AF790" t="s">
        <v>247</v>
      </c>
      <c r="AG790" s="2"/>
      <c r="AH790" s="35">
        <f>1-COS(RADIANS(TA[[#This Row],[Avg. Target Angle during Fault Time (Radians)]]-TA[[#This Row],[Angle of affected equipment ]]))</f>
        <v>0.11705240714107301</v>
      </c>
      <c r="AI790" s="27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43">
        <f t="shared" si="61"/>
        <v>2026</v>
      </c>
      <c r="C791" s="116">
        <f t="shared" si="62"/>
        <v>2025</v>
      </c>
      <c r="D791" s="2" t="s">
        <v>155</v>
      </c>
      <c r="E791" s="2" t="s">
        <v>155</v>
      </c>
      <c r="F791" s="30">
        <v>45778</v>
      </c>
      <c r="G791" s="2">
        <f>DAY(EOMONTH(TA[[#This Row],[Month Year]],0))</f>
        <v>31</v>
      </c>
      <c r="H791" s="21">
        <v>45798</v>
      </c>
      <c r="I791" s="32">
        <f>IFERROR(VLOOKUP(TA[[#This Row],[Date]],Raw_Data[[Date]:[Sunset Time (POA&lt;20 W/m2)]],3,0),"")</f>
        <v>0.29444444444444445</v>
      </c>
      <c r="J791" s="32">
        <f>IFERROR(VLOOKUP(TA[[#This Row],[Date]],Raw_Data[[Date]:[Sunset Time (POA&lt;20 W/m2)]],4,0),"")</f>
        <v>0.69305555555555554</v>
      </c>
      <c r="K791" s="27">
        <f>IFERROR((TA[[#This Row],[Sunset Time (POA&lt;20 W/m2)]]-TA[[#This Row],[Sunrise Time (POA&gt;20 W/m2)]])*24,"")</f>
        <v>9.5666666666666664</v>
      </c>
      <c r="L791" s="2" t="s">
        <v>303</v>
      </c>
      <c r="M791" s="33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321</v>
      </c>
      <c r="Q791" s="2" t="s">
        <v>314</v>
      </c>
      <c r="R791">
        <v>26</v>
      </c>
      <c r="S791" s="2">
        <v>37</v>
      </c>
      <c r="T791" t="s">
        <v>288</v>
      </c>
      <c r="U791" t="s">
        <v>291</v>
      </c>
      <c r="V791" t="s">
        <v>292</v>
      </c>
      <c r="W791" s="32"/>
      <c r="X791" s="32"/>
      <c r="Y791" s="26"/>
      <c r="Z791" s="26"/>
      <c r="AA791" s="27">
        <f>IF(TA[[#This Row],[Work Start time on Fault]]="NA","",(TA[[#This Row],[Fault Acknowledgement Time ]]-TA[[#This Row],[Fault Time]])*24)</f>
        <v>0</v>
      </c>
      <c r="AB791" s="27">
        <f>(TA[[#This Row],[Work Start time on Fault]]-TA[[#This Row],[Fault Time]])*24</f>
        <v>0</v>
      </c>
      <c r="AC791" s="26">
        <f>(TA[[#This Row],[Work Completion time on fault]]-TA[[#This Row],[Fault Time]])*24</f>
        <v>0</v>
      </c>
      <c r="AD791" s="27">
        <f>IFERROR((TA[[#This Row],[Work Completion time on fault]]-TA[[#This Row],[Fault Time]])*24,"")</f>
        <v>0</v>
      </c>
      <c r="AE791" t="s">
        <v>319</v>
      </c>
      <c r="AF791" t="s">
        <v>247</v>
      </c>
      <c r="AG791" s="2"/>
      <c r="AH791" s="35">
        <f>1-COS(RADIANS(TA[[#This Row],[Avg. Target Angle during Fault Time (Radians)]]-TA[[#This Row],[Angle of affected equipment ]]))</f>
        <v>0.11705240714107301</v>
      </c>
      <c r="AI791" s="27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43">
        <f t="shared" si="61"/>
        <v>2026</v>
      </c>
      <c r="C792" s="116">
        <f t="shared" si="62"/>
        <v>2025</v>
      </c>
      <c r="D792" s="2" t="s">
        <v>155</v>
      </c>
      <c r="E792" s="2" t="s">
        <v>155</v>
      </c>
      <c r="F792" s="30">
        <v>45778</v>
      </c>
      <c r="G792" s="2">
        <f>DAY(EOMONTH(TA[[#This Row],[Month Year]],0))</f>
        <v>31</v>
      </c>
      <c r="H792" s="21">
        <v>45798</v>
      </c>
      <c r="I792" s="32">
        <f>IFERROR(VLOOKUP(TA[[#This Row],[Date]],Raw_Data[[Date]:[Sunset Time (POA&lt;20 W/m2)]],3,0),"")</f>
        <v>0.29444444444444445</v>
      </c>
      <c r="J792" s="32">
        <f>IFERROR(VLOOKUP(TA[[#This Row],[Date]],Raw_Data[[Date]:[Sunset Time (POA&lt;20 W/m2)]],4,0),"")</f>
        <v>0.69305555555555554</v>
      </c>
      <c r="K792" s="27">
        <f>IFERROR((TA[[#This Row],[Sunset Time (POA&lt;20 W/m2)]]-TA[[#This Row],[Sunrise Time (POA&gt;20 W/m2)]])*24,"")</f>
        <v>9.5666666666666664</v>
      </c>
      <c r="L792" s="2" t="s">
        <v>303</v>
      </c>
      <c r="M792" s="33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321</v>
      </c>
      <c r="Q792" s="2" t="s">
        <v>314</v>
      </c>
      <c r="R792">
        <v>27</v>
      </c>
      <c r="S792" s="2">
        <v>42</v>
      </c>
      <c r="T792" t="s">
        <v>288</v>
      </c>
      <c r="U792" t="s">
        <v>291</v>
      </c>
      <c r="V792" t="s">
        <v>292</v>
      </c>
      <c r="W792" s="32"/>
      <c r="X792" s="32"/>
      <c r="Y792" s="26"/>
      <c r="Z792" s="26">
        <v>0.76041666666666663</v>
      </c>
      <c r="AA792" s="27">
        <f>IF(TA[[#This Row],[Work Start time on Fault]]="NA","",(TA[[#This Row],[Fault Acknowledgement Time ]]-TA[[#This Row],[Fault Time]])*24)</f>
        <v>0</v>
      </c>
      <c r="AB792" s="27">
        <f>(TA[[#This Row],[Work Start time on Fault]]-TA[[#This Row],[Fault Time]])*24</f>
        <v>0</v>
      </c>
      <c r="AC792" s="26">
        <f>(TA[[#This Row],[Work Completion time on fault]]-TA[[#This Row],[Fault Time]])*24</f>
        <v>18.25</v>
      </c>
      <c r="AD792" s="27">
        <f>IFERROR((TA[[#This Row],[Work Completion time on fault]]-TA[[#This Row],[Fault Time]])*24,"")</f>
        <v>18.25</v>
      </c>
      <c r="AE792" t="s">
        <v>300</v>
      </c>
      <c r="AF792" t="s">
        <v>247</v>
      </c>
      <c r="AG792" s="2"/>
      <c r="AH792" s="35">
        <f>1-COS(RADIANS(TA[[#This Row],[Avg. Target Angle during Fault Time (Radians)]]-TA[[#This Row],[Angle of affected equipment ]]))</f>
        <v>0.11705240714107301</v>
      </c>
      <c r="AI792" s="27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43">
        <f t="shared" ref="B793:B808" si="63">YEAR(H793)+IF(MONTH(H793)&gt;=4,1,0)</f>
        <v>2026</v>
      </c>
      <c r="C793" s="116">
        <f t="shared" ref="C793:C808" si="64">YEAR(H793)</f>
        <v>2025</v>
      </c>
      <c r="D793" s="2" t="s">
        <v>155</v>
      </c>
      <c r="E793" s="2" t="s">
        <v>155</v>
      </c>
      <c r="F793" s="30">
        <v>45778</v>
      </c>
      <c r="G793" s="2">
        <f>DAY(EOMONTH(TA[[#This Row],[Month Year]],0))</f>
        <v>31</v>
      </c>
      <c r="H793" s="21">
        <v>45798</v>
      </c>
      <c r="I793" s="32">
        <f>IFERROR(VLOOKUP(TA[[#This Row],[Date]],Raw_Data[[Date]:[Sunset Time (POA&lt;20 W/m2)]],3,0),"")</f>
        <v>0.29444444444444445</v>
      </c>
      <c r="J793" s="32">
        <f>IFERROR(VLOOKUP(TA[[#This Row],[Date]],Raw_Data[[Date]:[Sunset Time (POA&lt;20 W/m2)]],4,0),"")</f>
        <v>0.69305555555555554</v>
      </c>
      <c r="K793" s="27">
        <f>IFERROR((TA[[#This Row],[Sunset Time (POA&lt;20 W/m2)]]-TA[[#This Row],[Sunrise Time (POA&gt;20 W/m2)]])*24,"")</f>
        <v>9.5666666666666664</v>
      </c>
      <c r="L793" s="2" t="s">
        <v>285</v>
      </c>
      <c r="M793" s="33">
        <f>IFERROR(VLOOKUP(TA[[#This Row],[Affected Equipment]],'Basic Data'!$I$2:$K$40,3,0),"")</f>
        <v>1.7241379310344799E-3</v>
      </c>
      <c r="N793">
        <v>-28</v>
      </c>
      <c r="O793" t="s">
        <v>132</v>
      </c>
      <c r="P793" s="114" t="s">
        <v>307</v>
      </c>
      <c r="Q793" s="113" t="s">
        <v>311</v>
      </c>
      <c r="R793">
        <v>28</v>
      </c>
      <c r="S793" s="2">
        <v>45</v>
      </c>
      <c r="T793" t="s">
        <v>286</v>
      </c>
      <c r="U793" t="s">
        <v>291</v>
      </c>
      <c r="V793" t="s">
        <v>289</v>
      </c>
      <c r="W793" s="32">
        <f>IFERROR(VLOOKUP(TA[[#This Row],[Date]],Raw_Data[[Date]:[Sunset Time (POA&lt;20 W/m2)]],3,0),"")</f>
        <v>0.29444444444444445</v>
      </c>
      <c r="X793" s="32">
        <f>IFERROR(VLOOKUP(TA[[#This Row],[Date]],Raw_Data[[Date]:[Sunset Time (POA&lt;20 W/m2)]],3,0),"")</f>
        <v>0.29444444444444445</v>
      </c>
      <c r="Y793" s="26">
        <v>0.64583333333333337</v>
      </c>
      <c r="Z793" s="26">
        <v>0.66319444444444442</v>
      </c>
      <c r="AA793" s="27">
        <f>IF(TA[[#This Row],[Work Start time on Fault]]="NA","",(TA[[#This Row],[Fault Acknowledgement Time ]]-TA[[#This Row],[Fault Time]])*24)</f>
        <v>0</v>
      </c>
      <c r="AB793" s="27">
        <f>(TA[[#This Row],[Work Start time on Fault]]-TA[[#This Row],[Fault Time]])*24</f>
        <v>8.4333333333333336</v>
      </c>
      <c r="AC793" s="26">
        <f>(TA[[#This Row],[Work Completion time on fault]]-TA[[#This Row],[Fault Time]])*24</f>
        <v>8.85</v>
      </c>
      <c r="AD793" s="27">
        <f>IFERROR((TA[[#This Row],[Work Completion time on fault]]-TA[[#This Row],[Fault Time]])*24,"")</f>
        <v>8.85</v>
      </c>
      <c r="AE793" t="s">
        <v>319</v>
      </c>
      <c r="AF793" t="s">
        <v>247</v>
      </c>
      <c r="AG793" s="2"/>
      <c r="AH793" s="35">
        <f>1-COS(RADIANS(TA[[#This Row],[Avg. Target Angle during Fault Time (Radians)]]-TA[[#This Row],[Angle of affected equipment ]]))</f>
        <v>0.11705240714107301</v>
      </c>
      <c r="AI793" s="27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43">
        <f t="shared" si="63"/>
        <v>2026</v>
      </c>
      <c r="C794" s="116">
        <f t="shared" si="64"/>
        <v>2025</v>
      </c>
      <c r="D794" s="2" t="s">
        <v>155</v>
      </c>
      <c r="E794" s="2" t="s">
        <v>155</v>
      </c>
      <c r="F794" s="30">
        <v>45778</v>
      </c>
      <c r="G794" s="2">
        <f>DAY(EOMONTH(TA[[#This Row],[Month Year]],0))</f>
        <v>31</v>
      </c>
      <c r="H794" s="21">
        <v>45798</v>
      </c>
      <c r="I794" s="32">
        <f>IFERROR(VLOOKUP(TA[[#This Row],[Date]],Raw_Data[[Date]:[Sunset Time (POA&lt;20 W/m2)]],3,0),"")</f>
        <v>0.29444444444444445</v>
      </c>
      <c r="J794" s="32">
        <f>IFERROR(VLOOKUP(TA[[#This Row],[Date]],Raw_Data[[Date]:[Sunset Time (POA&lt;20 W/m2)]],4,0),"")</f>
        <v>0.69305555555555554</v>
      </c>
      <c r="K794" s="27">
        <f>IFERROR((TA[[#This Row],[Sunset Time (POA&lt;20 W/m2)]]-TA[[#This Row],[Sunrise Time (POA&gt;20 W/m2)]])*24,"")</f>
        <v>9.5666666666666664</v>
      </c>
      <c r="L794" s="2" t="s">
        <v>285</v>
      </c>
      <c r="M794" s="33">
        <f>IFERROR(VLOOKUP(TA[[#This Row],[Affected Equipment]],'Basic Data'!$I$2:$K$40,3,0),"")</f>
        <v>1.7241379310344799E-3</v>
      </c>
      <c r="N794">
        <v>-28</v>
      </c>
      <c r="O794" t="s">
        <v>137</v>
      </c>
      <c r="P794" s="114" t="s">
        <v>306</v>
      </c>
      <c r="Q794" s="113" t="s">
        <v>306</v>
      </c>
      <c r="R794">
        <v>70</v>
      </c>
      <c r="S794" s="2">
        <v>46</v>
      </c>
      <c r="T794" t="s">
        <v>286</v>
      </c>
      <c r="U794" t="s">
        <v>291</v>
      </c>
      <c r="V794" t="s">
        <v>289</v>
      </c>
      <c r="W794" s="32">
        <f>IFERROR(VLOOKUP(TA[[#This Row],[Date]],Raw_Data[[Date]:[Sunset Time (POA&lt;20 W/m2)]],3,0),"")</f>
        <v>0.29444444444444445</v>
      </c>
      <c r="X794" s="32">
        <f>IFERROR(VLOOKUP(TA[[#This Row],[Date]],Raw_Data[[Date]:[Sunset Time (POA&lt;20 W/m2)]],3,0),"")</f>
        <v>0.29444444444444445</v>
      </c>
      <c r="Y794" s="26">
        <v>0.66736111111111107</v>
      </c>
      <c r="Z794" s="26">
        <v>0.67708333333333337</v>
      </c>
      <c r="AA794" s="27">
        <f>IF(TA[[#This Row],[Work Start time on Fault]]="NA","",(TA[[#This Row],[Fault Acknowledgement Time ]]-TA[[#This Row],[Fault Time]])*24)</f>
        <v>0</v>
      </c>
      <c r="AB794" s="27">
        <f>(TA[[#This Row],[Work Start time on Fault]]-TA[[#This Row],[Fault Time]])*24</f>
        <v>8.9499999999999993</v>
      </c>
      <c r="AC794" s="26">
        <f>(TA[[#This Row],[Work Completion time on fault]]-TA[[#This Row],[Fault Time]])*24</f>
        <v>9.1833333333333336</v>
      </c>
      <c r="AD794" s="27">
        <f>IFERROR((TA[[#This Row],[Work Completion time on fault]]-TA[[#This Row],[Fault Time]])*24,"")</f>
        <v>9.1833333333333336</v>
      </c>
      <c r="AE794" t="s">
        <v>319</v>
      </c>
      <c r="AF794" t="s">
        <v>247</v>
      </c>
      <c r="AG794" s="2"/>
      <c r="AH794" s="35">
        <f>1-COS(RADIANS(TA[[#This Row],[Avg. Target Angle during Fault Time (Radians)]]-TA[[#This Row],[Angle of affected equipment ]]))</f>
        <v>0.11705240714107301</v>
      </c>
      <c r="AI794" s="27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43">
        <f t="shared" si="63"/>
        <v>2026</v>
      </c>
      <c r="C795" s="116">
        <f t="shared" si="64"/>
        <v>2025</v>
      </c>
      <c r="D795" s="2" t="s">
        <v>155</v>
      </c>
      <c r="E795" s="2" t="s">
        <v>155</v>
      </c>
      <c r="F795" s="30">
        <v>45778</v>
      </c>
      <c r="G795" s="2">
        <f>DAY(EOMONTH(TA[[#This Row],[Month Year]],0))</f>
        <v>31</v>
      </c>
      <c r="H795" s="21">
        <v>45799</v>
      </c>
      <c r="I795" s="32">
        <f>IFERROR(VLOOKUP(TA[[#This Row],[Date]],Raw_Data[[Date]:[Sunset Time (POA&lt;20 W/m2)]],3,0),"")</f>
        <v>0.27986111111111112</v>
      </c>
      <c r="J795" s="32">
        <f>IFERROR(VLOOKUP(TA[[#This Row],[Date]],Raw_Data[[Date]:[Sunset Time (POA&lt;20 W/m2)]],4,0),"")</f>
        <v>0.72569444444444442</v>
      </c>
      <c r="K795" s="27">
        <f>IFERROR((TA[[#This Row],[Sunset Time (POA&lt;20 W/m2)]]-TA[[#This Row],[Sunrise Time (POA&gt;20 W/m2)]])*24,"")</f>
        <v>10.7</v>
      </c>
      <c r="L795" s="2" t="s">
        <v>285</v>
      </c>
      <c r="M795" s="33">
        <f>IFERROR(VLOOKUP(TA[[#This Row],[Affected Equipment]],'Basic Data'!$I$2:$K$40,3,0),"")</f>
        <v>1.7241379310344799E-3</v>
      </c>
      <c r="N795">
        <v>-28</v>
      </c>
      <c r="O795" t="s">
        <v>135</v>
      </c>
      <c r="P795" s="114" t="s">
        <v>309</v>
      </c>
      <c r="Q795" s="113" t="s">
        <v>309</v>
      </c>
      <c r="R795">
        <v>130</v>
      </c>
      <c r="S795" s="2">
        <v>37</v>
      </c>
      <c r="T795" t="s">
        <v>286</v>
      </c>
      <c r="U795" t="s">
        <v>291</v>
      </c>
      <c r="V795" t="s">
        <v>289</v>
      </c>
      <c r="W795" s="32"/>
      <c r="X795" s="32"/>
      <c r="Y795" s="26"/>
      <c r="Z795" s="26"/>
      <c r="AA795" s="27">
        <f>IF(TA[[#This Row],[Work Start time on Fault]]="NA","",(TA[[#This Row],[Fault Acknowledgement Time ]]-TA[[#This Row],[Fault Time]])*24)</f>
        <v>0</v>
      </c>
      <c r="AB795" s="27">
        <f>(TA[[#This Row],[Work Start time on Fault]]-TA[[#This Row],[Fault Time]])*24</f>
        <v>0</v>
      </c>
      <c r="AC795" s="26">
        <f>(TA[[#This Row],[Work Completion time on fault]]-TA[[#This Row],[Fault Time]])*24</f>
        <v>0</v>
      </c>
      <c r="AD795" s="27">
        <f>IFERROR((TA[[#This Row],[Work Completion time on fault]]-TA[[#This Row],[Fault Time]])*24,"")</f>
        <v>0</v>
      </c>
      <c r="AE795" t="s">
        <v>319</v>
      </c>
      <c r="AF795" t="s">
        <v>247</v>
      </c>
      <c r="AG795" s="2"/>
      <c r="AH795" s="35">
        <f>1-COS(RADIANS(TA[[#This Row],[Avg. Target Angle during Fault Time (Radians)]]-TA[[#This Row],[Angle of affected equipment ]]))</f>
        <v>0.11705240714107301</v>
      </c>
      <c r="AI795" s="27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43">
        <f t="shared" si="63"/>
        <v>2026</v>
      </c>
      <c r="C796" s="116">
        <f t="shared" si="64"/>
        <v>2025</v>
      </c>
      <c r="D796" s="2" t="s">
        <v>155</v>
      </c>
      <c r="E796" s="2" t="s">
        <v>155</v>
      </c>
      <c r="F796" s="30">
        <v>45778</v>
      </c>
      <c r="G796" s="2">
        <f>DAY(EOMONTH(TA[[#This Row],[Month Year]],0))</f>
        <v>31</v>
      </c>
      <c r="H796" s="21">
        <v>45799</v>
      </c>
      <c r="I796" s="32">
        <f>IFERROR(VLOOKUP(TA[[#This Row],[Date]],Raw_Data[[Date]:[Sunset Time (POA&lt;20 W/m2)]],3,0),"")</f>
        <v>0.27986111111111112</v>
      </c>
      <c r="J796" s="32">
        <f>IFERROR(VLOOKUP(TA[[#This Row],[Date]],Raw_Data[[Date]:[Sunset Time (POA&lt;20 W/m2)]],4,0),"")</f>
        <v>0.72569444444444442</v>
      </c>
      <c r="K796" s="27">
        <f>IFERROR((TA[[#This Row],[Sunset Time (POA&lt;20 W/m2)]]-TA[[#This Row],[Sunrise Time (POA&gt;20 W/m2)]])*24,"")</f>
        <v>10.7</v>
      </c>
      <c r="L796" s="2" t="s">
        <v>285</v>
      </c>
      <c r="M796" s="33">
        <f>IFERROR(VLOOKUP(TA[[#This Row],[Affected Equipment]],'Basic Data'!$I$2:$K$40,3,0),"")</f>
        <v>1.7241379310344799E-3</v>
      </c>
      <c r="N796">
        <v>-28</v>
      </c>
      <c r="O796" t="s">
        <v>135</v>
      </c>
      <c r="P796" s="114" t="s">
        <v>309</v>
      </c>
      <c r="Q796" s="113" t="s">
        <v>309</v>
      </c>
      <c r="R796">
        <v>131</v>
      </c>
      <c r="S796" s="2">
        <v>38</v>
      </c>
      <c r="T796" t="s">
        <v>286</v>
      </c>
      <c r="U796" t="s">
        <v>291</v>
      </c>
      <c r="V796" t="s">
        <v>289</v>
      </c>
      <c r="W796" s="32"/>
      <c r="X796" s="32"/>
      <c r="Y796" s="26"/>
      <c r="Z796" s="26"/>
      <c r="AA796" s="27">
        <f>IF(TA[[#This Row],[Work Start time on Fault]]="NA","",(TA[[#This Row],[Fault Acknowledgement Time ]]-TA[[#This Row],[Fault Time]])*24)</f>
        <v>0</v>
      </c>
      <c r="AB796" s="27">
        <f>(TA[[#This Row],[Work Start time on Fault]]-TA[[#This Row],[Fault Time]])*24</f>
        <v>0</v>
      </c>
      <c r="AC796" s="26">
        <f>(TA[[#This Row],[Work Completion time on fault]]-TA[[#This Row],[Fault Time]])*24</f>
        <v>0</v>
      </c>
      <c r="AD796" s="27">
        <f>IFERROR((TA[[#This Row],[Work Completion time on fault]]-TA[[#This Row],[Fault Time]])*24,"")</f>
        <v>0</v>
      </c>
      <c r="AE796" t="s">
        <v>319</v>
      </c>
      <c r="AF796" t="s">
        <v>247</v>
      </c>
      <c r="AG796" s="2"/>
      <c r="AH796" s="35">
        <f>1-COS(RADIANS(TA[[#This Row],[Avg. Target Angle during Fault Time (Radians)]]-TA[[#This Row],[Angle of affected equipment ]]))</f>
        <v>0.11705240714107301</v>
      </c>
      <c r="AI796" s="27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43">
        <f t="shared" si="63"/>
        <v>2026</v>
      </c>
      <c r="C797" s="116">
        <f t="shared" si="64"/>
        <v>2025</v>
      </c>
      <c r="D797" s="2" t="s">
        <v>155</v>
      </c>
      <c r="E797" s="2" t="s">
        <v>155</v>
      </c>
      <c r="F797" s="30">
        <v>45778</v>
      </c>
      <c r="G797" s="2">
        <f>DAY(EOMONTH(TA[[#This Row],[Month Year]],0))</f>
        <v>31</v>
      </c>
      <c r="H797" s="21">
        <v>45799</v>
      </c>
      <c r="I797" s="32">
        <f>IFERROR(VLOOKUP(TA[[#This Row],[Date]],Raw_Data[[Date]:[Sunset Time (POA&lt;20 W/m2)]],3,0),"")</f>
        <v>0.27986111111111112</v>
      </c>
      <c r="J797" s="32">
        <f>IFERROR(VLOOKUP(TA[[#This Row],[Date]],Raw_Data[[Date]:[Sunset Time (POA&lt;20 W/m2)]],4,0),"")</f>
        <v>0.72569444444444442</v>
      </c>
      <c r="K797" s="27">
        <f>IFERROR((TA[[#This Row],[Sunset Time (POA&lt;20 W/m2)]]-TA[[#This Row],[Sunrise Time (POA&gt;20 W/m2)]])*24,"")</f>
        <v>10.7</v>
      </c>
      <c r="L797" s="2" t="s">
        <v>285</v>
      </c>
      <c r="M797" s="33">
        <f>IFERROR(VLOOKUP(TA[[#This Row],[Affected Equipment]],'Basic Data'!$I$2:$K$40,3,0),"")</f>
        <v>1.7241379310344799E-3</v>
      </c>
      <c r="N797">
        <v>-28</v>
      </c>
      <c r="O797" t="s">
        <v>135</v>
      </c>
      <c r="P797" s="114" t="s">
        <v>309</v>
      </c>
      <c r="Q797" s="113" t="s">
        <v>309</v>
      </c>
      <c r="R797">
        <v>131</v>
      </c>
      <c r="S797" s="2">
        <v>39</v>
      </c>
      <c r="T797" t="s">
        <v>286</v>
      </c>
      <c r="U797" t="s">
        <v>291</v>
      </c>
      <c r="V797" t="s">
        <v>289</v>
      </c>
      <c r="W797" s="32"/>
      <c r="X797" s="32"/>
      <c r="Y797" s="26"/>
      <c r="Z797" s="26"/>
      <c r="AA797" s="27">
        <f>IF(TA[[#This Row],[Work Start time on Fault]]="NA","",(TA[[#This Row],[Fault Acknowledgement Time ]]-TA[[#This Row],[Fault Time]])*24)</f>
        <v>0</v>
      </c>
      <c r="AB797" s="27">
        <f>(TA[[#This Row],[Work Start time on Fault]]-TA[[#This Row],[Fault Time]])*24</f>
        <v>0</v>
      </c>
      <c r="AC797" s="26">
        <f>(TA[[#This Row],[Work Completion time on fault]]-TA[[#This Row],[Fault Time]])*24</f>
        <v>0</v>
      </c>
      <c r="AD797" s="27">
        <f>IFERROR((TA[[#This Row],[Work Completion time on fault]]-TA[[#This Row],[Fault Time]])*24,"")</f>
        <v>0</v>
      </c>
      <c r="AE797" t="s">
        <v>319</v>
      </c>
      <c r="AF797" t="s">
        <v>247</v>
      </c>
      <c r="AG797" s="2"/>
      <c r="AH797" s="35">
        <f>1-COS(RADIANS(TA[[#This Row],[Avg. Target Angle during Fault Time (Radians)]]-TA[[#This Row],[Angle of affected equipment ]]))</f>
        <v>0.11705240714107301</v>
      </c>
      <c r="AI797" s="27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43">
        <f t="shared" si="63"/>
        <v>2026</v>
      </c>
      <c r="C798" s="116">
        <f t="shared" si="64"/>
        <v>2025</v>
      </c>
      <c r="D798" s="2" t="s">
        <v>155</v>
      </c>
      <c r="E798" s="2" t="s">
        <v>155</v>
      </c>
      <c r="F798" s="30">
        <v>45778</v>
      </c>
      <c r="G798" s="2">
        <f>DAY(EOMONTH(TA[[#This Row],[Month Year]],0))</f>
        <v>31</v>
      </c>
      <c r="H798" s="21">
        <v>45799</v>
      </c>
      <c r="I798" s="32">
        <f>IFERROR(VLOOKUP(TA[[#This Row],[Date]],Raw_Data[[Date]:[Sunset Time (POA&lt;20 W/m2)]],3,0),"")</f>
        <v>0.27986111111111112</v>
      </c>
      <c r="J798" s="32">
        <f>IFERROR(VLOOKUP(TA[[#This Row],[Date]],Raw_Data[[Date]:[Sunset Time (POA&lt;20 W/m2)]],4,0),"")</f>
        <v>0.72569444444444442</v>
      </c>
      <c r="K798" s="27">
        <f>IFERROR((TA[[#This Row],[Sunset Time (POA&lt;20 W/m2)]]-TA[[#This Row],[Sunrise Time (POA&gt;20 W/m2)]])*24,"")</f>
        <v>10.7</v>
      </c>
      <c r="L798" s="2" t="s">
        <v>287</v>
      </c>
      <c r="M798" s="33">
        <f>IFERROR(VLOOKUP(TA[[#This Row],[Affected Equipment]],'Basic Data'!$I$2:$K$40,3,0),"")</f>
        <v>8.6206896551724102E-3</v>
      </c>
      <c r="N798">
        <v>-28</v>
      </c>
      <c r="O798" t="s">
        <v>135</v>
      </c>
      <c r="P798" s="114" t="s">
        <v>309</v>
      </c>
      <c r="Q798" s="2" t="s">
        <v>312</v>
      </c>
      <c r="R798">
        <v>133</v>
      </c>
      <c r="S798" s="2">
        <v>26</v>
      </c>
      <c r="T798" t="s">
        <v>288</v>
      </c>
      <c r="U798" t="s">
        <v>291</v>
      </c>
      <c r="V798" t="s">
        <v>305</v>
      </c>
      <c r="W798" s="32">
        <f>IFERROR(VLOOKUP(TA[[#This Row],[Date]],Raw_Data[[Date]:[Sunset Time (POA&lt;20 W/m2)]],3,0),"")</f>
        <v>0.27986111111111112</v>
      </c>
      <c r="X798" s="32">
        <f>IFERROR(VLOOKUP(TA[[#This Row],[Date]],Raw_Data[[Date]:[Sunset Time (POA&lt;20 W/m2)]],3,0),"")</f>
        <v>0.27986111111111112</v>
      </c>
      <c r="Y798" s="26"/>
      <c r="Z798" s="26">
        <v>0.76041666666666663</v>
      </c>
      <c r="AA798" s="27">
        <f>IF(TA[[#This Row],[Work Start time on Fault]]="NA","",(TA[[#This Row],[Fault Acknowledgement Time ]]-TA[[#This Row],[Fault Time]])*24)</f>
        <v>0</v>
      </c>
      <c r="AB798" s="27">
        <f>(TA[[#This Row],[Work Start time on Fault]]-TA[[#This Row],[Fault Time]])*24</f>
        <v>-6.7166666666666668</v>
      </c>
      <c r="AC798" s="26">
        <f>(TA[[#This Row],[Work Completion time on fault]]-TA[[#This Row],[Fault Time]])*24</f>
        <v>11.533333333333331</v>
      </c>
      <c r="AD798" s="27">
        <f>IFERROR((TA[[#This Row],[Work Completion time on fault]]-TA[[#This Row],[Fault Time]])*24,"")</f>
        <v>11.533333333333331</v>
      </c>
      <c r="AE798" t="s">
        <v>319</v>
      </c>
      <c r="AF798" t="s">
        <v>247</v>
      </c>
      <c r="AG798" s="2"/>
      <c r="AH798" s="35">
        <f>1-COS(RADIANS(TA[[#This Row],[Avg. Target Angle during Fault Time (Radians)]]-TA[[#This Row],[Angle of affected equipment ]]))</f>
        <v>0.11705240714107301</v>
      </c>
      <c r="AI798" s="27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43">
        <f t="shared" si="63"/>
        <v>2026</v>
      </c>
      <c r="C799" s="116">
        <f t="shared" si="64"/>
        <v>2025</v>
      </c>
      <c r="D799" s="2" t="s">
        <v>155</v>
      </c>
      <c r="E799" s="2" t="s">
        <v>155</v>
      </c>
      <c r="F799" s="30">
        <v>45778</v>
      </c>
      <c r="G799" s="2">
        <f>DAY(EOMONTH(TA[[#This Row],[Month Year]],0))</f>
        <v>31</v>
      </c>
      <c r="H799" s="21">
        <v>45799</v>
      </c>
      <c r="I799" s="32">
        <f>IFERROR(VLOOKUP(TA[[#This Row],[Date]],Raw_Data[[Date]:[Sunset Time (POA&lt;20 W/m2)]],3,0),"")</f>
        <v>0.27986111111111112</v>
      </c>
      <c r="J799" s="32">
        <f>IFERROR(VLOOKUP(TA[[#This Row],[Date]],Raw_Data[[Date]:[Sunset Time (POA&lt;20 W/m2)]],4,0),"")</f>
        <v>0.72569444444444442</v>
      </c>
      <c r="K799" s="27">
        <f>IFERROR((TA[[#This Row],[Sunset Time (POA&lt;20 W/m2)]]-TA[[#This Row],[Sunrise Time (POA&gt;20 W/m2)]])*24,"")</f>
        <v>10.7</v>
      </c>
      <c r="L799" s="2" t="s">
        <v>285</v>
      </c>
      <c r="M799" s="33">
        <f>IFERROR(VLOOKUP(TA[[#This Row],[Affected Equipment]],'Basic Data'!$I$2:$K$40,3,0),"")</f>
        <v>1.7241379310344799E-3</v>
      </c>
      <c r="N799">
        <v>-28</v>
      </c>
      <c r="O799" t="s">
        <v>133</v>
      </c>
      <c r="P799" s="114" t="s">
        <v>307</v>
      </c>
      <c r="Q799" s="113" t="s">
        <v>308</v>
      </c>
      <c r="R799">
        <v>7</v>
      </c>
      <c r="S799" s="2">
        <v>32</v>
      </c>
      <c r="T799" t="s">
        <v>286</v>
      </c>
      <c r="U799" t="s">
        <v>291</v>
      </c>
      <c r="V799" t="s">
        <v>289</v>
      </c>
      <c r="W799" s="32"/>
      <c r="X799" s="32"/>
      <c r="Y799" s="26"/>
      <c r="Z799" s="26"/>
      <c r="AA799" s="27">
        <f>IF(TA[[#This Row],[Work Start time on Fault]]="NA","",(TA[[#This Row],[Fault Acknowledgement Time ]]-TA[[#This Row],[Fault Time]])*24)</f>
        <v>0</v>
      </c>
      <c r="AB799" s="27">
        <f>(TA[[#This Row],[Work Start time on Fault]]-TA[[#This Row],[Fault Time]])*24</f>
        <v>0</v>
      </c>
      <c r="AC799" s="26">
        <f>(TA[[#This Row],[Work Completion time on fault]]-TA[[#This Row],[Fault Time]])*24</f>
        <v>0</v>
      </c>
      <c r="AD799" s="27">
        <f>IFERROR((TA[[#This Row],[Work Completion time on fault]]-TA[[#This Row],[Fault Time]])*24,"")</f>
        <v>0</v>
      </c>
      <c r="AE799" t="s">
        <v>319</v>
      </c>
      <c r="AF799" t="s">
        <v>247</v>
      </c>
      <c r="AG799" s="2"/>
      <c r="AH799" s="35">
        <f>1-COS(RADIANS(TA[[#This Row],[Avg. Target Angle during Fault Time (Radians)]]-TA[[#This Row],[Angle of affected equipment ]]))</f>
        <v>0.11705240714107301</v>
      </c>
      <c r="AI799" s="27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43">
        <f t="shared" si="63"/>
        <v>2026</v>
      </c>
      <c r="C800" s="116">
        <f t="shared" si="64"/>
        <v>2025</v>
      </c>
      <c r="D800" s="2" t="s">
        <v>155</v>
      </c>
      <c r="E800" s="2" t="s">
        <v>155</v>
      </c>
      <c r="F800" s="30">
        <v>45778</v>
      </c>
      <c r="G800" s="2">
        <f>DAY(EOMONTH(TA[[#This Row],[Month Year]],0))</f>
        <v>31</v>
      </c>
      <c r="H800" s="21">
        <v>45799</v>
      </c>
      <c r="I800" s="32">
        <f>IFERROR(VLOOKUP(TA[[#This Row],[Date]],Raw_Data[[Date]:[Sunset Time (POA&lt;20 W/m2)]],3,0),"")</f>
        <v>0.27986111111111112</v>
      </c>
      <c r="J800" s="32">
        <f>IFERROR(VLOOKUP(TA[[#This Row],[Date]],Raw_Data[[Date]:[Sunset Time (POA&lt;20 W/m2)]],4,0),"")</f>
        <v>0.72569444444444442</v>
      </c>
      <c r="K800" s="27">
        <f>IFERROR((TA[[#This Row],[Sunset Time (POA&lt;20 W/m2)]]-TA[[#This Row],[Sunrise Time (POA&gt;20 W/m2)]])*24,"")</f>
        <v>10.7</v>
      </c>
      <c r="L800" s="2" t="s">
        <v>285</v>
      </c>
      <c r="M800" s="33">
        <f>IFERROR(VLOOKUP(TA[[#This Row],[Affected Equipment]],'Basic Data'!$I$2:$K$40,3,0),"")</f>
        <v>1.7241379310344799E-3</v>
      </c>
      <c r="N800">
        <v>-28</v>
      </c>
      <c r="O800" t="s">
        <v>137</v>
      </c>
      <c r="P800" s="114" t="s">
        <v>306</v>
      </c>
      <c r="Q800" s="113" t="s">
        <v>310</v>
      </c>
      <c r="R800">
        <v>166</v>
      </c>
      <c r="S800" s="2">
        <v>91</v>
      </c>
      <c r="T800" t="s">
        <v>286</v>
      </c>
      <c r="U800" t="s">
        <v>291</v>
      </c>
      <c r="V800" t="s">
        <v>289</v>
      </c>
      <c r="W800" s="32"/>
      <c r="X800" s="32"/>
      <c r="Y800" s="26"/>
      <c r="Z800" s="26"/>
      <c r="AA800" s="27">
        <f>IF(TA[[#This Row],[Work Start time on Fault]]="NA","",(TA[[#This Row],[Fault Acknowledgement Time ]]-TA[[#This Row],[Fault Time]])*24)</f>
        <v>0</v>
      </c>
      <c r="AB800" s="27">
        <f>(TA[[#This Row],[Work Start time on Fault]]-TA[[#This Row],[Fault Time]])*24</f>
        <v>0</v>
      </c>
      <c r="AC800" s="26">
        <f>(TA[[#This Row],[Work Completion time on fault]]-TA[[#This Row],[Fault Time]])*24</f>
        <v>0</v>
      </c>
      <c r="AD800" s="27">
        <f>IFERROR((TA[[#This Row],[Work Completion time on fault]]-TA[[#This Row],[Fault Time]])*24,"")</f>
        <v>0</v>
      </c>
      <c r="AE800" t="s">
        <v>319</v>
      </c>
      <c r="AF800" t="s">
        <v>247</v>
      </c>
      <c r="AG800" s="2"/>
      <c r="AH800" s="35">
        <f>1-COS(RADIANS(TA[[#This Row],[Avg. Target Angle during Fault Time (Radians)]]-TA[[#This Row],[Angle of affected equipment ]]))</f>
        <v>0.11705240714107301</v>
      </c>
      <c r="AI800" s="27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43">
        <f t="shared" si="63"/>
        <v>2026</v>
      </c>
      <c r="C801" s="116">
        <f t="shared" si="64"/>
        <v>2025</v>
      </c>
      <c r="D801" s="2" t="s">
        <v>155</v>
      </c>
      <c r="E801" s="2" t="s">
        <v>155</v>
      </c>
      <c r="F801" s="30">
        <v>45778</v>
      </c>
      <c r="G801" s="2">
        <f>DAY(EOMONTH(TA[[#This Row],[Month Year]],0))</f>
        <v>31</v>
      </c>
      <c r="H801" s="21">
        <v>45799</v>
      </c>
      <c r="I801" s="32">
        <f>IFERROR(VLOOKUP(TA[[#This Row],[Date]],Raw_Data[[Date]:[Sunset Time (POA&lt;20 W/m2)]],3,0),"")</f>
        <v>0.27986111111111112</v>
      </c>
      <c r="J801" s="32">
        <f>IFERROR(VLOOKUP(TA[[#This Row],[Date]],Raw_Data[[Date]:[Sunset Time (POA&lt;20 W/m2)]],4,0),"")</f>
        <v>0.72569444444444442</v>
      </c>
      <c r="K801" s="27">
        <f>IFERROR((TA[[#This Row],[Sunset Time (POA&lt;20 W/m2)]]-TA[[#This Row],[Sunrise Time (POA&gt;20 W/m2)]])*24,"")</f>
        <v>10.7</v>
      </c>
      <c r="L801" s="2" t="s">
        <v>285</v>
      </c>
      <c r="M801" s="33">
        <f>IFERROR(VLOOKUP(TA[[#This Row],[Affected Equipment]],'Basic Data'!$I$2:$K$40,3,0),"")</f>
        <v>1.7241379310344799E-3</v>
      </c>
      <c r="N801">
        <v>-28</v>
      </c>
      <c r="O801" t="s">
        <v>133</v>
      </c>
      <c r="P801" s="114" t="s">
        <v>307</v>
      </c>
      <c r="Q801" s="113" t="s">
        <v>307</v>
      </c>
      <c r="R801">
        <v>117</v>
      </c>
      <c r="S801" s="2">
        <v>20</v>
      </c>
      <c r="T801" t="s">
        <v>286</v>
      </c>
      <c r="U801" t="s">
        <v>291</v>
      </c>
      <c r="V801" t="s">
        <v>289</v>
      </c>
      <c r="W801" s="32"/>
      <c r="X801" s="32"/>
      <c r="Y801" s="26"/>
      <c r="Z801" s="26"/>
      <c r="AA801" s="27">
        <f>IF(TA[[#This Row],[Work Start time on Fault]]="NA","",(TA[[#This Row],[Fault Acknowledgement Time ]]-TA[[#This Row],[Fault Time]])*24)</f>
        <v>0</v>
      </c>
      <c r="AB801" s="27">
        <f>(TA[[#This Row],[Work Start time on Fault]]-TA[[#This Row],[Fault Time]])*24</f>
        <v>0</v>
      </c>
      <c r="AC801" s="26">
        <f>(TA[[#This Row],[Work Completion time on fault]]-TA[[#This Row],[Fault Time]])*24</f>
        <v>0</v>
      </c>
      <c r="AD801" s="27">
        <f>IFERROR((TA[[#This Row],[Work Completion time on fault]]-TA[[#This Row],[Fault Time]])*24,"")</f>
        <v>0</v>
      </c>
      <c r="AE801" t="s">
        <v>319</v>
      </c>
      <c r="AF801" t="s">
        <v>247</v>
      </c>
      <c r="AG801" s="2"/>
      <c r="AH801" s="35">
        <f>1-COS(RADIANS(TA[[#This Row],[Avg. Target Angle during Fault Time (Radians)]]-TA[[#This Row],[Angle of affected equipment ]]))</f>
        <v>0.11705240714107301</v>
      </c>
      <c r="AI801" s="27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43">
        <f t="shared" si="63"/>
        <v>2026</v>
      </c>
      <c r="C802" s="116">
        <f t="shared" si="64"/>
        <v>2025</v>
      </c>
      <c r="D802" s="2" t="s">
        <v>155</v>
      </c>
      <c r="E802" s="2" t="s">
        <v>155</v>
      </c>
      <c r="F802" s="30">
        <v>45778</v>
      </c>
      <c r="G802" s="2">
        <f>DAY(EOMONTH(TA[[#This Row],[Month Year]],0))</f>
        <v>31</v>
      </c>
      <c r="H802" s="21">
        <v>45799</v>
      </c>
      <c r="I802" s="32">
        <f>IFERROR(VLOOKUP(TA[[#This Row],[Date]],Raw_Data[[Date]:[Sunset Time (POA&lt;20 W/m2)]],3,0),"")</f>
        <v>0.27986111111111112</v>
      </c>
      <c r="J802" s="32">
        <f>IFERROR(VLOOKUP(TA[[#This Row],[Date]],Raw_Data[[Date]:[Sunset Time (POA&lt;20 W/m2)]],4,0),"")</f>
        <v>0.72569444444444442</v>
      </c>
      <c r="K802" s="27">
        <f>IFERROR((TA[[#This Row],[Sunset Time (POA&lt;20 W/m2)]]-TA[[#This Row],[Sunrise Time (POA&gt;20 W/m2)]])*24,"")</f>
        <v>10.7</v>
      </c>
      <c r="L802" s="2" t="s">
        <v>285</v>
      </c>
      <c r="M802" s="33">
        <f>IFERROR(VLOOKUP(TA[[#This Row],[Affected Equipment]],'Basic Data'!$I$2:$K$40,3,0),"")</f>
        <v>1.7241379310344799E-3</v>
      </c>
      <c r="N802">
        <v>-28</v>
      </c>
      <c r="O802" t="s">
        <v>133</v>
      </c>
      <c r="P802" s="114" t="s">
        <v>307</v>
      </c>
      <c r="Q802" s="113" t="s">
        <v>307</v>
      </c>
      <c r="R802">
        <v>118</v>
      </c>
      <c r="S802" s="2">
        <v>22</v>
      </c>
      <c r="T802" t="s">
        <v>286</v>
      </c>
      <c r="U802" t="s">
        <v>291</v>
      </c>
      <c r="V802" t="s">
        <v>289</v>
      </c>
      <c r="W802" s="32"/>
      <c r="X802" s="32"/>
      <c r="Y802" s="26"/>
      <c r="Z802" s="26"/>
      <c r="AA802" s="27">
        <f>IF(TA[[#This Row],[Work Start time on Fault]]="NA","",(TA[[#This Row],[Fault Acknowledgement Time ]]-TA[[#This Row],[Fault Time]])*24)</f>
        <v>0</v>
      </c>
      <c r="AB802" s="27">
        <f>(TA[[#This Row],[Work Start time on Fault]]-TA[[#This Row],[Fault Time]])*24</f>
        <v>0</v>
      </c>
      <c r="AC802" s="26">
        <f>(TA[[#This Row],[Work Completion time on fault]]-TA[[#This Row],[Fault Time]])*24</f>
        <v>0</v>
      </c>
      <c r="AD802" s="27">
        <f>IFERROR((TA[[#This Row],[Work Completion time on fault]]-TA[[#This Row],[Fault Time]])*24,"")</f>
        <v>0</v>
      </c>
      <c r="AE802" t="s">
        <v>319</v>
      </c>
      <c r="AF802" t="s">
        <v>247</v>
      </c>
      <c r="AG802" s="2"/>
      <c r="AH802" s="35">
        <f>1-COS(RADIANS(TA[[#This Row],[Avg. Target Angle during Fault Time (Radians)]]-TA[[#This Row],[Angle of affected equipment ]]))</f>
        <v>0.11705240714107301</v>
      </c>
      <c r="AI802" s="27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43">
        <f t="shared" si="63"/>
        <v>2026</v>
      </c>
      <c r="C803" s="116">
        <f t="shared" si="64"/>
        <v>2025</v>
      </c>
      <c r="D803" s="2" t="s">
        <v>155</v>
      </c>
      <c r="E803" s="2" t="s">
        <v>155</v>
      </c>
      <c r="F803" s="30">
        <v>45778</v>
      </c>
      <c r="G803" s="2">
        <f>DAY(EOMONTH(TA[[#This Row],[Month Year]],0))</f>
        <v>31</v>
      </c>
      <c r="H803" s="21">
        <v>45799</v>
      </c>
      <c r="I803" s="32">
        <f>IFERROR(VLOOKUP(TA[[#This Row],[Date]],Raw_Data[[Date]:[Sunset Time (POA&lt;20 W/m2)]],3,0),"")</f>
        <v>0.27986111111111112</v>
      </c>
      <c r="J803" s="32">
        <f>IFERROR(VLOOKUP(TA[[#This Row],[Date]],Raw_Data[[Date]:[Sunset Time (POA&lt;20 W/m2)]],4,0),"")</f>
        <v>0.72569444444444442</v>
      </c>
      <c r="K803" s="27">
        <f>IFERROR((TA[[#This Row],[Sunset Time (POA&lt;20 W/m2)]]-TA[[#This Row],[Sunrise Time (POA&gt;20 W/m2)]])*24,"")</f>
        <v>10.7</v>
      </c>
      <c r="L803" s="2" t="s">
        <v>287</v>
      </c>
      <c r="M803" s="33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314</v>
      </c>
      <c r="Q803" s="2" t="s">
        <v>320</v>
      </c>
      <c r="R803">
        <v>45</v>
      </c>
      <c r="S803" s="2">
        <v>8</v>
      </c>
      <c r="T803" t="s">
        <v>288</v>
      </c>
      <c r="U803" t="s">
        <v>291</v>
      </c>
      <c r="V803" t="s">
        <v>292</v>
      </c>
      <c r="W803" s="32"/>
      <c r="X803" s="32"/>
      <c r="Y803" s="26"/>
      <c r="Z803" s="26"/>
      <c r="AA803" s="27">
        <f>IF(TA[[#This Row],[Work Start time on Fault]]="NA","",(TA[[#This Row],[Fault Acknowledgement Time ]]-TA[[#This Row],[Fault Time]])*24)</f>
        <v>0</v>
      </c>
      <c r="AB803" s="27">
        <f>(TA[[#This Row],[Work Start time on Fault]]-TA[[#This Row],[Fault Time]])*24</f>
        <v>0</v>
      </c>
      <c r="AC803" s="26">
        <f>(TA[[#This Row],[Work Completion time on fault]]-TA[[#This Row],[Fault Time]])*24</f>
        <v>0</v>
      </c>
      <c r="AD803" s="27">
        <f>IFERROR((TA[[#This Row],[Work Completion time on fault]]-TA[[#This Row],[Fault Time]])*24,"")</f>
        <v>0</v>
      </c>
      <c r="AE803" t="s">
        <v>319</v>
      </c>
      <c r="AF803" t="s">
        <v>247</v>
      </c>
      <c r="AG803" s="2"/>
      <c r="AH803" s="35">
        <f>1-COS(RADIANS(TA[[#This Row],[Avg. Target Angle during Fault Time (Radians)]]-TA[[#This Row],[Angle of affected equipment ]]))</f>
        <v>0.11705240714107301</v>
      </c>
      <c r="AI803" s="27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43">
        <f t="shared" si="63"/>
        <v>2026</v>
      </c>
      <c r="C804" s="116">
        <f t="shared" si="64"/>
        <v>2025</v>
      </c>
      <c r="D804" s="2" t="s">
        <v>155</v>
      </c>
      <c r="E804" s="2" t="s">
        <v>155</v>
      </c>
      <c r="F804" s="30">
        <v>45778</v>
      </c>
      <c r="G804" s="2">
        <f>DAY(EOMONTH(TA[[#This Row],[Month Year]],0))</f>
        <v>31</v>
      </c>
      <c r="H804" s="21">
        <v>45799</v>
      </c>
      <c r="I804" s="32">
        <f>IFERROR(VLOOKUP(TA[[#This Row],[Date]],Raw_Data[[Date]:[Sunset Time (POA&lt;20 W/m2)]],3,0),"")</f>
        <v>0.27986111111111112</v>
      </c>
      <c r="J804" s="32">
        <f>IFERROR(VLOOKUP(TA[[#This Row],[Date]],Raw_Data[[Date]:[Sunset Time (POA&lt;20 W/m2)]],4,0),"")</f>
        <v>0.72569444444444442</v>
      </c>
      <c r="K804" s="27">
        <f>IFERROR((TA[[#This Row],[Sunset Time (POA&lt;20 W/m2)]]-TA[[#This Row],[Sunrise Time (POA&gt;20 W/m2)]])*24,"")</f>
        <v>10.7</v>
      </c>
      <c r="L804" s="2" t="s">
        <v>287</v>
      </c>
      <c r="M804" s="33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314</v>
      </c>
      <c r="Q804" s="2" t="s">
        <v>320</v>
      </c>
      <c r="R804">
        <v>47</v>
      </c>
      <c r="S804" s="2">
        <v>18</v>
      </c>
      <c r="T804" t="s">
        <v>288</v>
      </c>
      <c r="U804" t="s">
        <v>291</v>
      </c>
      <c r="V804" t="s">
        <v>292</v>
      </c>
      <c r="W804" s="32"/>
      <c r="X804" s="32"/>
      <c r="Y804" s="26"/>
      <c r="Z804" s="26"/>
      <c r="AA804" s="27">
        <f>IF(TA[[#This Row],[Work Start time on Fault]]="NA","",(TA[[#This Row],[Fault Acknowledgement Time ]]-TA[[#This Row],[Fault Time]])*24)</f>
        <v>0</v>
      </c>
      <c r="AB804" s="27">
        <f>(TA[[#This Row],[Work Start time on Fault]]-TA[[#This Row],[Fault Time]])*24</f>
        <v>0</v>
      </c>
      <c r="AC804" s="26">
        <f>(TA[[#This Row],[Work Completion time on fault]]-TA[[#This Row],[Fault Time]])*24</f>
        <v>0</v>
      </c>
      <c r="AD804" s="27">
        <f>IFERROR((TA[[#This Row],[Work Completion time on fault]]-TA[[#This Row],[Fault Time]])*24,"")</f>
        <v>0</v>
      </c>
      <c r="AE804" t="s">
        <v>319</v>
      </c>
      <c r="AF804" t="s">
        <v>247</v>
      </c>
      <c r="AG804" s="2"/>
      <c r="AH804" s="35">
        <f>1-COS(RADIANS(TA[[#This Row],[Avg. Target Angle during Fault Time (Radians)]]-TA[[#This Row],[Angle of affected equipment ]]))</f>
        <v>0.11705240714107301</v>
      </c>
      <c r="AI804" s="27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43">
        <f t="shared" si="63"/>
        <v>2026</v>
      </c>
      <c r="C805" s="116">
        <f t="shared" si="64"/>
        <v>2025</v>
      </c>
      <c r="D805" s="2" t="s">
        <v>155</v>
      </c>
      <c r="E805" s="2" t="s">
        <v>155</v>
      </c>
      <c r="F805" s="30">
        <v>45778</v>
      </c>
      <c r="G805" s="2">
        <f>DAY(EOMONTH(TA[[#This Row],[Month Year]],0))</f>
        <v>31</v>
      </c>
      <c r="H805" s="21">
        <v>45799</v>
      </c>
      <c r="I805" s="32">
        <f>IFERROR(VLOOKUP(TA[[#This Row],[Date]],Raw_Data[[Date]:[Sunset Time (POA&lt;20 W/m2)]],3,0),"")</f>
        <v>0.27986111111111112</v>
      </c>
      <c r="J805" s="32">
        <f>IFERROR(VLOOKUP(TA[[#This Row],[Date]],Raw_Data[[Date]:[Sunset Time (POA&lt;20 W/m2)]],4,0),"")</f>
        <v>0.72569444444444442</v>
      </c>
      <c r="K805" s="27">
        <f>IFERROR((TA[[#This Row],[Sunset Time (POA&lt;20 W/m2)]]-TA[[#This Row],[Sunrise Time (POA&gt;20 W/m2)]])*24,"")</f>
        <v>10.7</v>
      </c>
      <c r="L805" s="2" t="s">
        <v>287</v>
      </c>
      <c r="M805" s="33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321</v>
      </c>
      <c r="Q805" s="2" t="s">
        <v>314</v>
      </c>
      <c r="R805">
        <v>30</v>
      </c>
      <c r="S805" s="2">
        <v>57</v>
      </c>
      <c r="T805" t="s">
        <v>288</v>
      </c>
      <c r="U805" t="s">
        <v>291</v>
      </c>
      <c r="V805" t="s">
        <v>292</v>
      </c>
      <c r="W805" s="32"/>
      <c r="X805" s="32"/>
      <c r="Y805" s="26"/>
      <c r="Z805" s="26"/>
      <c r="AA805" s="27">
        <f>IF(TA[[#This Row],[Work Start time on Fault]]="NA","",(TA[[#This Row],[Fault Acknowledgement Time ]]-TA[[#This Row],[Fault Time]])*24)</f>
        <v>0</v>
      </c>
      <c r="AB805" s="27">
        <f>(TA[[#This Row],[Work Start time on Fault]]-TA[[#This Row],[Fault Time]])*24</f>
        <v>0</v>
      </c>
      <c r="AC805" s="26">
        <f>(TA[[#This Row],[Work Completion time on fault]]-TA[[#This Row],[Fault Time]])*24</f>
        <v>0</v>
      </c>
      <c r="AD805" s="27">
        <f>IFERROR((TA[[#This Row],[Work Completion time on fault]]-TA[[#This Row],[Fault Time]])*24,"")</f>
        <v>0</v>
      </c>
      <c r="AE805" t="s">
        <v>319</v>
      </c>
      <c r="AF805" t="s">
        <v>247</v>
      </c>
      <c r="AG805" s="2"/>
      <c r="AH805" s="35">
        <f>1-COS(RADIANS(TA[[#This Row],[Avg. Target Angle during Fault Time (Radians)]]-TA[[#This Row],[Angle of affected equipment ]]))</f>
        <v>0.11705240714107301</v>
      </c>
      <c r="AI805" s="27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43">
        <f t="shared" si="63"/>
        <v>2026</v>
      </c>
      <c r="C806" s="116">
        <f t="shared" si="64"/>
        <v>2025</v>
      </c>
      <c r="D806" s="2" t="s">
        <v>155</v>
      </c>
      <c r="E806" s="2" t="s">
        <v>155</v>
      </c>
      <c r="F806" s="30">
        <v>45778</v>
      </c>
      <c r="G806" s="2">
        <f>DAY(EOMONTH(TA[[#This Row],[Month Year]],0))</f>
        <v>31</v>
      </c>
      <c r="H806" s="21">
        <v>45799</v>
      </c>
      <c r="I806" s="32">
        <f>IFERROR(VLOOKUP(TA[[#This Row],[Date]],Raw_Data[[Date]:[Sunset Time (POA&lt;20 W/m2)]],3,0),"")</f>
        <v>0.27986111111111112</v>
      </c>
      <c r="J806" s="32">
        <f>IFERROR(VLOOKUP(TA[[#This Row],[Date]],Raw_Data[[Date]:[Sunset Time (POA&lt;20 W/m2)]],4,0),"")</f>
        <v>0.72569444444444442</v>
      </c>
      <c r="K806" s="27">
        <f>IFERROR((TA[[#This Row],[Sunset Time (POA&lt;20 W/m2)]]-TA[[#This Row],[Sunrise Time (POA&gt;20 W/m2)]])*24,"")</f>
        <v>10.7</v>
      </c>
      <c r="L806" s="2" t="s">
        <v>287</v>
      </c>
      <c r="M806" s="33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321</v>
      </c>
      <c r="Q806" s="2" t="s">
        <v>314</v>
      </c>
      <c r="R806">
        <v>31</v>
      </c>
      <c r="S806" s="2">
        <v>61</v>
      </c>
      <c r="T806" t="s">
        <v>288</v>
      </c>
      <c r="U806" t="s">
        <v>291</v>
      </c>
      <c r="V806" t="s">
        <v>292</v>
      </c>
      <c r="W806" s="32"/>
      <c r="X806" s="32"/>
      <c r="Y806" s="26"/>
      <c r="Z806" s="26"/>
      <c r="AA806" s="27">
        <f>IF(TA[[#This Row],[Work Start time on Fault]]="NA","",(TA[[#This Row],[Fault Acknowledgement Time ]]-TA[[#This Row],[Fault Time]])*24)</f>
        <v>0</v>
      </c>
      <c r="AB806" s="27">
        <f>(TA[[#This Row],[Work Start time on Fault]]-TA[[#This Row],[Fault Time]])*24</f>
        <v>0</v>
      </c>
      <c r="AC806" s="26">
        <f>(TA[[#This Row],[Work Completion time on fault]]-TA[[#This Row],[Fault Time]])*24</f>
        <v>0</v>
      </c>
      <c r="AD806" s="27">
        <f>IFERROR((TA[[#This Row],[Work Completion time on fault]]-TA[[#This Row],[Fault Time]])*24,"")</f>
        <v>0</v>
      </c>
      <c r="AE806" t="s">
        <v>319</v>
      </c>
      <c r="AF806" t="s">
        <v>247</v>
      </c>
      <c r="AG806" s="2"/>
      <c r="AH806" s="35">
        <f>1-COS(RADIANS(TA[[#This Row],[Avg. Target Angle during Fault Time (Radians)]]-TA[[#This Row],[Angle of affected equipment ]]))</f>
        <v>0.11705240714107301</v>
      </c>
      <c r="AI806" s="27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43">
        <f t="shared" si="63"/>
        <v>2026</v>
      </c>
      <c r="C807" s="116">
        <f t="shared" si="64"/>
        <v>2025</v>
      </c>
      <c r="D807" s="2" t="s">
        <v>155</v>
      </c>
      <c r="E807" s="2" t="s">
        <v>155</v>
      </c>
      <c r="F807" s="30">
        <v>45778</v>
      </c>
      <c r="G807" s="2">
        <f>DAY(EOMONTH(TA[[#This Row],[Month Year]],0))</f>
        <v>31</v>
      </c>
      <c r="H807" s="21">
        <v>45799</v>
      </c>
      <c r="I807" s="32">
        <f>IFERROR(VLOOKUP(TA[[#This Row],[Date]],Raw_Data[[Date]:[Sunset Time (POA&lt;20 W/m2)]],3,0),"")</f>
        <v>0.27986111111111112</v>
      </c>
      <c r="J807" s="32">
        <f>IFERROR(VLOOKUP(TA[[#This Row],[Date]],Raw_Data[[Date]:[Sunset Time (POA&lt;20 W/m2)]],4,0),"")</f>
        <v>0.72569444444444442</v>
      </c>
      <c r="K807" s="27">
        <f>IFERROR((TA[[#This Row],[Sunset Time (POA&lt;20 W/m2)]]-TA[[#This Row],[Sunrise Time (POA&gt;20 W/m2)]])*24,"")</f>
        <v>10.7</v>
      </c>
      <c r="L807" s="2" t="s">
        <v>303</v>
      </c>
      <c r="M807" s="33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321</v>
      </c>
      <c r="Q807" s="2" t="s">
        <v>314</v>
      </c>
      <c r="R807">
        <v>26</v>
      </c>
      <c r="S807" s="2">
        <v>37</v>
      </c>
      <c r="T807" t="s">
        <v>288</v>
      </c>
      <c r="U807" t="s">
        <v>291</v>
      </c>
      <c r="V807" t="s">
        <v>292</v>
      </c>
      <c r="W807" s="32"/>
      <c r="X807" s="32"/>
      <c r="Y807" s="26"/>
      <c r="Z807" s="26"/>
      <c r="AA807" s="27">
        <f>IF(TA[[#This Row],[Work Start time on Fault]]="NA","",(TA[[#This Row],[Fault Acknowledgement Time ]]-TA[[#This Row],[Fault Time]])*24)</f>
        <v>0</v>
      </c>
      <c r="AB807" s="27">
        <f>(TA[[#This Row],[Work Start time on Fault]]-TA[[#This Row],[Fault Time]])*24</f>
        <v>0</v>
      </c>
      <c r="AC807" s="26">
        <f>(TA[[#This Row],[Work Completion time on fault]]-TA[[#This Row],[Fault Time]])*24</f>
        <v>0</v>
      </c>
      <c r="AD807" s="27">
        <f>IFERROR((TA[[#This Row],[Work Completion time on fault]]-TA[[#This Row],[Fault Time]])*24,"")</f>
        <v>0</v>
      </c>
      <c r="AE807" t="s">
        <v>319</v>
      </c>
      <c r="AF807" t="s">
        <v>247</v>
      </c>
      <c r="AG807" s="2"/>
      <c r="AH807" s="35">
        <f>1-COS(RADIANS(TA[[#This Row],[Avg. Target Angle during Fault Time (Radians)]]-TA[[#This Row],[Angle of affected equipment ]]))</f>
        <v>0.11705240714107301</v>
      </c>
      <c r="AI807" s="27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43">
        <f t="shared" si="63"/>
        <v>2026</v>
      </c>
      <c r="C808" s="116">
        <f t="shared" si="64"/>
        <v>2025</v>
      </c>
      <c r="D808" s="2" t="s">
        <v>155</v>
      </c>
      <c r="E808" s="2" t="s">
        <v>155</v>
      </c>
      <c r="F808" s="30">
        <v>45778</v>
      </c>
      <c r="G808" s="2">
        <f>DAY(EOMONTH(TA[[#This Row],[Month Year]],0))</f>
        <v>31</v>
      </c>
      <c r="H808" s="21">
        <v>45799</v>
      </c>
      <c r="I808" s="32">
        <f>IFERROR(VLOOKUP(TA[[#This Row],[Date]],Raw_Data[[Date]:[Sunset Time (POA&lt;20 W/m2)]],3,0),"")</f>
        <v>0.27986111111111112</v>
      </c>
      <c r="J808" s="32">
        <f>IFERROR(VLOOKUP(TA[[#This Row],[Date]],Raw_Data[[Date]:[Sunset Time (POA&lt;20 W/m2)]],4,0),"")</f>
        <v>0.72569444444444442</v>
      </c>
      <c r="K808" s="27">
        <f>IFERROR((TA[[#This Row],[Sunset Time (POA&lt;20 W/m2)]]-TA[[#This Row],[Sunrise Time (POA&gt;20 W/m2)]])*24,"")</f>
        <v>10.7</v>
      </c>
      <c r="L808" s="2" t="s">
        <v>303</v>
      </c>
      <c r="M808" s="33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321</v>
      </c>
      <c r="Q808" s="2" t="s">
        <v>314</v>
      </c>
      <c r="R808">
        <v>27</v>
      </c>
      <c r="S808" s="2">
        <v>42</v>
      </c>
      <c r="T808" t="s">
        <v>288</v>
      </c>
      <c r="U808" t="s">
        <v>291</v>
      </c>
      <c r="V808" t="s">
        <v>292</v>
      </c>
      <c r="W808" s="32">
        <f>IFERROR(VLOOKUP(TA[[#This Row],[Date]],Raw_Data[[Date]:[Sunset Time (POA&lt;20 W/m2)]],3,0),"")</f>
        <v>0.27986111111111112</v>
      </c>
      <c r="X808" s="32">
        <f>IFERROR(VLOOKUP(TA[[#This Row],[Date]],Raw_Data[[Date]:[Sunset Time (POA&lt;20 W/m2)]],3,0),"")</f>
        <v>0.27986111111111112</v>
      </c>
      <c r="Y808" s="26"/>
      <c r="Z808" s="26">
        <v>0.76041666666666663</v>
      </c>
      <c r="AA808" s="27">
        <f>IF(TA[[#This Row],[Work Start time on Fault]]="NA","",(TA[[#This Row],[Fault Acknowledgement Time ]]-TA[[#This Row],[Fault Time]])*24)</f>
        <v>0</v>
      </c>
      <c r="AB808" s="27">
        <f>(TA[[#This Row],[Work Start time on Fault]]-TA[[#This Row],[Fault Time]])*24</f>
        <v>-6.7166666666666668</v>
      </c>
      <c r="AC808" s="26">
        <f>(TA[[#This Row],[Work Completion time on fault]]-TA[[#This Row],[Fault Time]])*24</f>
        <v>11.533333333333331</v>
      </c>
      <c r="AD808" s="27">
        <f>IFERROR((TA[[#This Row],[Work Completion time on fault]]-TA[[#This Row],[Fault Time]])*24,"")</f>
        <v>11.533333333333331</v>
      </c>
      <c r="AE808" t="s">
        <v>300</v>
      </c>
      <c r="AF808" t="s">
        <v>247</v>
      </c>
      <c r="AG808" s="2"/>
      <c r="AH808" s="35">
        <f>1-COS(RADIANS(TA[[#This Row],[Avg. Target Angle during Fault Time (Radians)]]-TA[[#This Row],[Angle of affected equipment ]]))</f>
        <v>0.11705240714107301</v>
      </c>
      <c r="AI808" s="27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43">
        <f t="shared" ref="B809:B823" si="66">YEAR(H809)+IF(MONTH(H809)&gt;=4,1,0)</f>
        <v>2026</v>
      </c>
      <c r="C809" s="116">
        <f t="shared" ref="C809:C823" si="67">YEAR(H809)</f>
        <v>2025</v>
      </c>
      <c r="D809" s="2" t="s">
        <v>155</v>
      </c>
      <c r="E809" s="2" t="s">
        <v>155</v>
      </c>
      <c r="F809" s="30">
        <v>45778</v>
      </c>
      <c r="G809" s="2">
        <f>DAY(EOMONTH(TA[[#This Row],[Month Year]],0))</f>
        <v>31</v>
      </c>
      <c r="H809" s="21">
        <v>45799</v>
      </c>
      <c r="I809" s="32">
        <f>IFERROR(VLOOKUP(TA[[#This Row],[Date]],Raw_Data[[Date]:[Sunset Time (POA&lt;20 W/m2)]],3,0),"")</f>
        <v>0.27986111111111112</v>
      </c>
      <c r="J809" s="32">
        <f>IFERROR(VLOOKUP(TA[[#This Row],[Date]],Raw_Data[[Date]:[Sunset Time (POA&lt;20 W/m2)]],4,0),"")</f>
        <v>0.72569444444444442</v>
      </c>
      <c r="K809" s="27">
        <f>IFERROR((TA[[#This Row],[Sunset Time (POA&lt;20 W/m2)]]-TA[[#This Row],[Sunrise Time (POA&gt;20 W/m2)]])*24,"")</f>
        <v>10.7</v>
      </c>
      <c r="L809" s="2" t="s">
        <v>285</v>
      </c>
      <c r="M809" s="33">
        <f>IFERROR(VLOOKUP(TA[[#This Row],[Affected Equipment]],'Basic Data'!$I$2:$K$40,3,0),"")</f>
        <v>1.7241379310344799E-3</v>
      </c>
      <c r="N809">
        <v>-28</v>
      </c>
      <c r="O809" t="s">
        <v>134</v>
      </c>
      <c r="P809" s="114" t="s">
        <v>307</v>
      </c>
      <c r="Q809" s="113" t="s">
        <v>308</v>
      </c>
      <c r="R809">
        <v>12</v>
      </c>
      <c r="S809" s="2">
        <v>69</v>
      </c>
      <c r="T809" t="s">
        <v>286</v>
      </c>
      <c r="U809" t="s">
        <v>291</v>
      </c>
      <c r="V809" t="s">
        <v>289</v>
      </c>
      <c r="W809" s="32">
        <f>IFERROR(VLOOKUP(TA[[#This Row],[Date]],Raw_Data[[Date]:[Sunset Time (POA&lt;20 W/m2)]],3,0),"")</f>
        <v>0.27986111111111112</v>
      </c>
      <c r="X809" s="32">
        <f>IFERROR(VLOOKUP(TA[[#This Row],[Date]],Raw_Data[[Date]:[Sunset Time (POA&lt;20 W/m2)]],3,0),"")</f>
        <v>0.27986111111111112</v>
      </c>
      <c r="Y809" s="26">
        <v>0.64583333333333337</v>
      </c>
      <c r="Z809" s="26">
        <v>0.66319444444444442</v>
      </c>
      <c r="AA809" s="27">
        <f>IF(TA[[#This Row],[Work Start time on Fault]]="NA","",(TA[[#This Row],[Fault Acknowledgement Time ]]-TA[[#This Row],[Fault Time]])*24)</f>
        <v>0</v>
      </c>
      <c r="AB809" s="27">
        <f>(TA[[#This Row],[Work Start time on Fault]]-TA[[#This Row],[Fault Time]])*24</f>
        <v>8.783333333333335</v>
      </c>
      <c r="AC809" s="26">
        <f>(TA[[#This Row],[Work Completion time on fault]]-TA[[#This Row],[Fault Time]])*24</f>
        <v>9.1999999999999993</v>
      </c>
      <c r="AD809" s="27">
        <f>IFERROR((TA[[#This Row],[Work Completion time on fault]]-TA[[#This Row],[Fault Time]])*24,"")</f>
        <v>9.1999999999999993</v>
      </c>
      <c r="AE809" t="s">
        <v>319</v>
      </c>
      <c r="AF809" t="s">
        <v>247</v>
      </c>
      <c r="AG809" s="2"/>
      <c r="AH809" s="35">
        <f>1-COS(RADIANS(TA[[#This Row],[Avg. Target Angle during Fault Time (Radians)]]-TA[[#This Row],[Angle of affected equipment ]]))</f>
        <v>0.11705240714107301</v>
      </c>
      <c r="AI809" s="27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43">
        <f t="shared" si="66"/>
        <v>2026</v>
      </c>
      <c r="C810" s="116">
        <f t="shared" si="67"/>
        <v>2025</v>
      </c>
      <c r="D810" s="2" t="s">
        <v>155</v>
      </c>
      <c r="E810" s="2" t="s">
        <v>155</v>
      </c>
      <c r="F810" s="30">
        <v>45778</v>
      </c>
      <c r="G810" s="2">
        <f>DAY(EOMONTH(TA[[#This Row],[Month Year]],0))</f>
        <v>31</v>
      </c>
      <c r="H810" s="21">
        <v>45800</v>
      </c>
      <c r="I810" s="32">
        <f>IFERROR(VLOOKUP(TA[[#This Row],[Date]],Raw_Data[[Date]:[Sunset Time (POA&lt;20 W/m2)]],3,0),"")</f>
        <v>0.25208333333333333</v>
      </c>
      <c r="J810" s="32">
        <f>IFERROR(VLOOKUP(TA[[#This Row],[Date]],Raw_Data[[Date]:[Sunset Time (POA&lt;20 W/m2)]],4,0),"")</f>
        <v>0.77777777777777779</v>
      </c>
      <c r="K810" s="27">
        <f>IFERROR((TA[[#This Row],[Sunset Time (POA&lt;20 W/m2)]]-TA[[#This Row],[Sunrise Time (POA&gt;20 W/m2)]])*24,"")</f>
        <v>12.616666666666667</v>
      </c>
      <c r="L810" s="2" t="s">
        <v>285</v>
      </c>
      <c r="M810" s="33">
        <f>IFERROR(VLOOKUP(TA[[#This Row],[Affected Equipment]],'Basic Data'!$I$2:$K$40,3,0),"")</f>
        <v>1.7241379310344799E-3</v>
      </c>
      <c r="N810">
        <v>-28</v>
      </c>
      <c r="O810" t="s">
        <v>135</v>
      </c>
      <c r="P810" s="114" t="s">
        <v>309</v>
      </c>
      <c r="Q810" s="113" t="s">
        <v>309</v>
      </c>
      <c r="R810">
        <v>130</v>
      </c>
      <c r="S810" s="2">
        <v>37</v>
      </c>
      <c r="T810" t="s">
        <v>286</v>
      </c>
      <c r="U810" t="s">
        <v>291</v>
      </c>
      <c r="V810" t="s">
        <v>289</v>
      </c>
      <c r="W810" s="32"/>
      <c r="X810" s="32"/>
      <c r="Y810" s="26"/>
      <c r="Z810" s="26"/>
      <c r="AA810" s="27">
        <f>IF(TA[[#This Row],[Work Start time on Fault]]="NA","",(TA[[#This Row],[Fault Acknowledgement Time ]]-TA[[#This Row],[Fault Time]])*24)</f>
        <v>0</v>
      </c>
      <c r="AB810" s="27">
        <f>(TA[[#This Row],[Work Start time on Fault]]-TA[[#This Row],[Fault Time]])*24</f>
        <v>0</v>
      </c>
      <c r="AC810" s="26">
        <f>(TA[[#This Row],[Work Completion time on fault]]-TA[[#This Row],[Fault Time]])*24</f>
        <v>0</v>
      </c>
      <c r="AD810" s="27">
        <f>IFERROR((TA[[#This Row],[Work Completion time on fault]]-TA[[#This Row],[Fault Time]])*24,"")</f>
        <v>0</v>
      </c>
      <c r="AE810" t="s">
        <v>319</v>
      </c>
      <c r="AF810" t="s">
        <v>247</v>
      </c>
      <c r="AG810" s="2"/>
      <c r="AH810" s="35">
        <f>1-COS(RADIANS(TA[[#This Row],[Avg. Target Angle during Fault Time (Radians)]]-TA[[#This Row],[Angle of affected equipment ]]))</f>
        <v>0.11705240714107301</v>
      </c>
      <c r="AI810" s="27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43">
        <f t="shared" si="66"/>
        <v>2026</v>
      </c>
      <c r="C811" s="116">
        <f t="shared" si="67"/>
        <v>2025</v>
      </c>
      <c r="D811" s="2" t="s">
        <v>155</v>
      </c>
      <c r="E811" s="2" t="s">
        <v>155</v>
      </c>
      <c r="F811" s="30">
        <v>45778</v>
      </c>
      <c r="G811" s="2">
        <f>DAY(EOMONTH(TA[[#This Row],[Month Year]],0))</f>
        <v>31</v>
      </c>
      <c r="H811" s="21">
        <v>45800</v>
      </c>
      <c r="I811" s="32">
        <f>IFERROR(VLOOKUP(TA[[#This Row],[Date]],Raw_Data[[Date]:[Sunset Time (POA&lt;20 W/m2)]],3,0),"")</f>
        <v>0.25208333333333333</v>
      </c>
      <c r="J811" s="32">
        <f>IFERROR(VLOOKUP(TA[[#This Row],[Date]],Raw_Data[[Date]:[Sunset Time (POA&lt;20 W/m2)]],4,0),"")</f>
        <v>0.77777777777777779</v>
      </c>
      <c r="K811" s="27">
        <f>IFERROR((TA[[#This Row],[Sunset Time (POA&lt;20 W/m2)]]-TA[[#This Row],[Sunrise Time (POA&gt;20 W/m2)]])*24,"")</f>
        <v>12.616666666666667</v>
      </c>
      <c r="L811" s="2" t="s">
        <v>285</v>
      </c>
      <c r="M811" s="33">
        <f>IFERROR(VLOOKUP(TA[[#This Row],[Affected Equipment]],'Basic Data'!$I$2:$K$40,3,0),"")</f>
        <v>1.7241379310344799E-3</v>
      </c>
      <c r="N811">
        <v>-28</v>
      </c>
      <c r="O811" t="s">
        <v>135</v>
      </c>
      <c r="P811" s="114" t="s">
        <v>309</v>
      </c>
      <c r="Q811" s="113" t="s">
        <v>309</v>
      </c>
      <c r="R811">
        <v>131</v>
      </c>
      <c r="S811" s="2">
        <v>38</v>
      </c>
      <c r="T811" t="s">
        <v>286</v>
      </c>
      <c r="U811" t="s">
        <v>291</v>
      </c>
      <c r="V811" t="s">
        <v>289</v>
      </c>
      <c r="W811" s="32"/>
      <c r="X811" s="32"/>
      <c r="Y811" s="26"/>
      <c r="Z811" s="26"/>
      <c r="AA811" s="27">
        <f>IF(TA[[#This Row],[Work Start time on Fault]]="NA","",(TA[[#This Row],[Fault Acknowledgement Time ]]-TA[[#This Row],[Fault Time]])*24)</f>
        <v>0</v>
      </c>
      <c r="AB811" s="27">
        <f>(TA[[#This Row],[Work Start time on Fault]]-TA[[#This Row],[Fault Time]])*24</f>
        <v>0</v>
      </c>
      <c r="AC811" s="26">
        <f>(TA[[#This Row],[Work Completion time on fault]]-TA[[#This Row],[Fault Time]])*24</f>
        <v>0</v>
      </c>
      <c r="AD811" s="27">
        <f>IFERROR((TA[[#This Row],[Work Completion time on fault]]-TA[[#This Row],[Fault Time]])*24,"")</f>
        <v>0</v>
      </c>
      <c r="AE811" t="s">
        <v>319</v>
      </c>
      <c r="AF811" t="s">
        <v>247</v>
      </c>
      <c r="AG811" s="2"/>
      <c r="AH811" s="35">
        <f>1-COS(RADIANS(TA[[#This Row],[Avg. Target Angle during Fault Time (Radians)]]-TA[[#This Row],[Angle of affected equipment ]]))</f>
        <v>0.11705240714107301</v>
      </c>
      <c r="AI811" s="27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43">
        <f t="shared" si="66"/>
        <v>2026</v>
      </c>
      <c r="C812" s="116">
        <f t="shared" si="67"/>
        <v>2025</v>
      </c>
      <c r="D812" s="2" t="s">
        <v>155</v>
      </c>
      <c r="E812" s="2" t="s">
        <v>155</v>
      </c>
      <c r="F812" s="30">
        <v>45778</v>
      </c>
      <c r="G812" s="2">
        <f>DAY(EOMONTH(TA[[#This Row],[Month Year]],0))</f>
        <v>31</v>
      </c>
      <c r="H812" s="21">
        <v>45800</v>
      </c>
      <c r="I812" s="32">
        <f>IFERROR(VLOOKUP(TA[[#This Row],[Date]],Raw_Data[[Date]:[Sunset Time (POA&lt;20 W/m2)]],3,0),"")</f>
        <v>0.25208333333333333</v>
      </c>
      <c r="J812" s="32">
        <f>IFERROR(VLOOKUP(TA[[#This Row],[Date]],Raw_Data[[Date]:[Sunset Time (POA&lt;20 W/m2)]],4,0),"")</f>
        <v>0.77777777777777779</v>
      </c>
      <c r="K812" s="27">
        <f>IFERROR((TA[[#This Row],[Sunset Time (POA&lt;20 W/m2)]]-TA[[#This Row],[Sunrise Time (POA&gt;20 W/m2)]])*24,"")</f>
        <v>12.616666666666667</v>
      </c>
      <c r="L812" s="2" t="s">
        <v>285</v>
      </c>
      <c r="M812" s="33">
        <f>IFERROR(VLOOKUP(TA[[#This Row],[Affected Equipment]],'Basic Data'!$I$2:$K$40,3,0),"")</f>
        <v>1.7241379310344799E-3</v>
      </c>
      <c r="N812">
        <v>-28</v>
      </c>
      <c r="O812" t="s">
        <v>135</v>
      </c>
      <c r="P812" s="114" t="s">
        <v>309</v>
      </c>
      <c r="Q812" s="113" t="s">
        <v>309</v>
      </c>
      <c r="R812">
        <v>131</v>
      </c>
      <c r="S812" s="2">
        <v>39</v>
      </c>
      <c r="T812" t="s">
        <v>286</v>
      </c>
      <c r="U812" t="s">
        <v>291</v>
      </c>
      <c r="V812" t="s">
        <v>289</v>
      </c>
      <c r="W812" s="32"/>
      <c r="X812" s="32"/>
      <c r="Y812" s="26"/>
      <c r="Z812" s="26"/>
      <c r="AA812" s="27">
        <f>IF(TA[[#This Row],[Work Start time on Fault]]="NA","",(TA[[#This Row],[Fault Acknowledgement Time ]]-TA[[#This Row],[Fault Time]])*24)</f>
        <v>0</v>
      </c>
      <c r="AB812" s="27">
        <f>(TA[[#This Row],[Work Start time on Fault]]-TA[[#This Row],[Fault Time]])*24</f>
        <v>0</v>
      </c>
      <c r="AC812" s="26">
        <f>(TA[[#This Row],[Work Completion time on fault]]-TA[[#This Row],[Fault Time]])*24</f>
        <v>0</v>
      </c>
      <c r="AD812" s="27">
        <f>IFERROR((TA[[#This Row],[Work Completion time on fault]]-TA[[#This Row],[Fault Time]])*24,"")</f>
        <v>0</v>
      </c>
      <c r="AE812" t="s">
        <v>319</v>
      </c>
      <c r="AF812" t="s">
        <v>247</v>
      </c>
      <c r="AG812" s="2"/>
      <c r="AH812" s="35">
        <f>1-COS(RADIANS(TA[[#This Row],[Avg. Target Angle during Fault Time (Radians)]]-TA[[#This Row],[Angle of affected equipment ]]))</f>
        <v>0.11705240714107301</v>
      </c>
      <c r="AI812" s="27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43">
        <f t="shared" si="66"/>
        <v>2026</v>
      </c>
      <c r="C813" s="116">
        <f t="shared" si="67"/>
        <v>2025</v>
      </c>
      <c r="D813" s="2" t="s">
        <v>155</v>
      </c>
      <c r="E813" s="2" t="s">
        <v>155</v>
      </c>
      <c r="F813" s="30">
        <v>45778</v>
      </c>
      <c r="G813" s="2">
        <f>DAY(EOMONTH(TA[[#This Row],[Month Year]],0))</f>
        <v>31</v>
      </c>
      <c r="H813" s="21">
        <v>45800</v>
      </c>
      <c r="I813" s="32">
        <f>IFERROR(VLOOKUP(TA[[#This Row],[Date]],Raw_Data[[Date]:[Sunset Time (POA&lt;20 W/m2)]],3,0),"")</f>
        <v>0.25208333333333333</v>
      </c>
      <c r="J813" s="32">
        <f>IFERROR(VLOOKUP(TA[[#This Row],[Date]],Raw_Data[[Date]:[Sunset Time (POA&lt;20 W/m2)]],4,0),"")</f>
        <v>0.77777777777777779</v>
      </c>
      <c r="K813" s="27">
        <f>IFERROR((TA[[#This Row],[Sunset Time (POA&lt;20 W/m2)]]-TA[[#This Row],[Sunrise Time (POA&gt;20 W/m2)]])*24,"")</f>
        <v>12.616666666666667</v>
      </c>
      <c r="L813" s="2" t="s">
        <v>287</v>
      </c>
      <c r="M813" s="33">
        <f>IFERROR(VLOOKUP(TA[[#This Row],[Affected Equipment]],'Basic Data'!$I$2:$K$40,3,0),"")</f>
        <v>8.6206896551724102E-3</v>
      </c>
      <c r="N813">
        <v>-28</v>
      </c>
      <c r="O813" t="s">
        <v>135</v>
      </c>
      <c r="P813" s="114" t="s">
        <v>309</v>
      </c>
      <c r="Q813" s="2" t="s">
        <v>312</v>
      </c>
      <c r="R813">
        <v>133</v>
      </c>
      <c r="S813" s="2">
        <v>26</v>
      </c>
      <c r="T813" t="s">
        <v>288</v>
      </c>
      <c r="U813" t="s">
        <v>291</v>
      </c>
      <c r="V813" t="s">
        <v>305</v>
      </c>
      <c r="W813" s="32">
        <f>IFERROR(VLOOKUP(TA[[#This Row],[Date]],Raw_Data[[Date]:[Sunset Time (POA&lt;20 W/m2)]],3,0),"")</f>
        <v>0.25208333333333333</v>
      </c>
      <c r="X813" s="32">
        <f>IFERROR(VLOOKUP(TA[[#This Row],[Date]],Raw_Data[[Date]:[Sunset Time (POA&lt;20 W/m2)]],3,0),"")</f>
        <v>0.25208333333333333</v>
      </c>
      <c r="Y813" s="26"/>
      <c r="Z813" s="26">
        <v>0.76041666666666663</v>
      </c>
      <c r="AA813" s="27">
        <f>IF(TA[[#This Row],[Work Start time on Fault]]="NA","",(TA[[#This Row],[Fault Acknowledgement Time ]]-TA[[#This Row],[Fault Time]])*24)</f>
        <v>0</v>
      </c>
      <c r="AB813" s="27">
        <f>(TA[[#This Row],[Work Start time on Fault]]-TA[[#This Row],[Fault Time]])*24</f>
        <v>-6.05</v>
      </c>
      <c r="AC813" s="26">
        <f>(TA[[#This Row],[Work Completion time on fault]]-TA[[#This Row],[Fault Time]])*24</f>
        <v>12.2</v>
      </c>
      <c r="AD813" s="27">
        <f>IFERROR((TA[[#This Row],[Work Completion time on fault]]-TA[[#This Row],[Fault Time]])*24,"")</f>
        <v>12.2</v>
      </c>
      <c r="AE813" t="s">
        <v>319</v>
      </c>
      <c r="AF813" t="s">
        <v>247</v>
      </c>
      <c r="AG813" s="2"/>
      <c r="AH813" s="35">
        <f>1-COS(RADIANS(TA[[#This Row],[Avg. Target Angle during Fault Time (Radians)]]-TA[[#This Row],[Angle of affected equipment ]]))</f>
        <v>0.11705240714107301</v>
      </c>
      <c r="AI813" s="27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43">
        <f t="shared" si="66"/>
        <v>2026</v>
      </c>
      <c r="C814" s="116">
        <f t="shared" si="67"/>
        <v>2025</v>
      </c>
      <c r="D814" s="2" t="s">
        <v>155</v>
      </c>
      <c r="E814" s="2" t="s">
        <v>155</v>
      </c>
      <c r="F814" s="30">
        <v>45778</v>
      </c>
      <c r="G814" s="2">
        <f>DAY(EOMONTH(TA[[#This Row],[Month Year]],0))</f>
        <v>31</v>
      </c>
      <c r="H814" s="21">
        <v>45800</v>
      </c>
      <c r="I814" s="32">
        <f>IFERROR(VLOOKUP(TA[[#This Row],[Date]],Raw_Data[[Date]:[Sunset Time (POA&lt;20 W/m2)]],3,0),"")</f>
        <v>0.25208333333333333</v>
      </c>
      <c r="J814" s="32">
        <f>IFERROR(VLOOKUP(TA[[#This Row],[Date]],Raw_Data[[Date]:[Sunset Time (POA&lt;20 W/m2)]],4,0),"")</f>
        <v>0.77777777777777779</v>
      </c>
      <c r="K814" s="27">
        <f>IFERROR((TA[[#This Row],[Sunset Time (POA&lt;20 W/m2)]]-TA[[#This Row],[Sunrise Time (POA&gt;20 W/m2)]])*24,"")</f>
        <v>12.616666666666667</v>
      </c>
      <c r="L814" s="2" t="s">
        <v>285</v>
      </c>
      <c r="M814" s="33">
        <f>IFERROR(VLOOKUP(TA[[#This Row],[Affected Equipment]],'Basic Data'!$I$2:$K$40,3,0),"")</f>
        <v>1.7241379310344799E-3</v>
      </c>
      <c r="N814">
        <v>-28</v>
      </c>
      <c r="O814" t="s">
        <v>133</v>
      </c>
      <c r="P814" s="114" t="s">
        <v>307</v>
      </c>
      <c r="Q814" s="113" t="s">
        <v>308</v>
      </c>
      <c r="R814">
        <v>7</v>
      </c>
      <c r="S814" s="2">
        <v>32</v>
      </c>
      <c r="T814" t="s">
        <v>286</v>
      </c>
      <c r="U814" t="s">
        <v>291</v>
      </c>
      <c r="V814" t="s">
        <v>289</v>
      </c>
      <c r="W814" s="32"/>
      <c r="X814" s="32"/>
      <c r="Y814" s="26"/>
      <c r="Z814" s="26"/>
      <c r="AA814" s="27">
        <f>IF(TA[[#This Row],[Work Start time on Fault]]="NA","",(TA[[#This Row],[Fault Acknowledgement Time ]]-TA[[#This Row],[Fault Time]])*24)</f>
        <v>0</v>
      </c>
      <c r="AB814" s="27">
        <f>(TA[[#This Row],[Work Start time on Fault]]-TA[[#This Row],[Fault Time]])*24</f>
        <v>0</v>
      </c>
      <c r="AC814" s="26">
        <f>(TA[[#This Row],[Work Completion time on fault]]-TA[[#This Row],[Fault Time]])*24</f>
        <v>0</v>
      </c>
      <c r="AD814" s="27">
        <f>IFERROR((TA[[#This Row],[Work Completion time on fault]]-TA[[#This Row],[Fault Time]])*24,"")</f>
        <v>0</v>
      </c>
      <c r="AE814" t="s">
        <v>319</v>
      </c>
      <c r="AF814" t="s">
        <v>247</v>
      </c>
      <c r="AG814" s="2"/>
      <c r="AH814" s="35">
        <f>1-COS(RADIANS(TA[[#This Row],[Avg. Target Angle during Fault Time (Radians)]]-TA[[#This Row],[Angle of affected equipment ]]))</f>
        <v>0.11705240714107301</v>
      </c>
      <c r="AI814" s="27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43">
        <f t="shared" si="66"/>
        <v>2026</v>
      </c>
      <c r="C815" s="116">
        <f t="shared" si="67"/>
        <v>2025</v>
      </c>
      <c r="D815" s="2" t="s">
        <v>155</v>
      </c>
      <c r="E815" s="2" t="s">
        <v>155</v>
      </c>
      <c r="F815" s="30">
        <v>45778</v>
      </c>
      <c r="G815" s="2">
        <f>DAY(EOMONTH(TA[[#This Row],[Month Year]],0))</f>
        <v>31</v>
      </c>
      <c r="H815" s="21">
        <v>45800</v>
      </c>
      <c r="I815" s="32">
        <f>IFERROR(VLOOKUP(TA[[#This Row],[Date]],Raw_Data[[Date]:[Sunset Time (POA&lt;20 W/m2)]],3,0),"")</f>
        <v>0.25208333333333333</v>
      </c>
      <c r="J815" s="32">
        <f>IFERROR(VLOOKUP(TA[[#This Row],[Date]],Raw_Data[[Date]:[Sunset Time (POA&lt;20 W/m2)]],4,0),"")</f>
        <v>0.77777777777777779</v>
      </c>
      <c r="K815" s="27">
        <f>IFERROR((TA[[#This Row],[Sunset Time (POA&lt;20 W/m2)]]-TA[[#This Row],[Sunrise Time (POA&gt;20 W/m2)]])*24,"")</f>
        <v>12.616666666666667</v>
      </c>
      <c r="L815" s="2" t="s">
        <v>285</v>
      </c>
      <c r="M815" s="33">
        <f>IFERROR(VLOOKUP(TA[[#This Row],[Affected Equipment]],'Basic Data'!$I$2:$K$40,3,0),"")</f>
        <v>1.7241379310344799E-3</v>
      </c>
      <c r="N815">
        <v>-28</v>
      </c>
      <c r="O815" t="s">
        <v>137</v>
      </c>
      <c r="P815" s="114" t="s">
        <v>306</v>
      </c>
      <c r="Q815" s="113" t="s">
        <v>310</v>
      </c>
      <c r="R815">
        <v>166</v>
      </c>
      <c r="S815" s="2">
        <v>91</v>
      </c>
      <c r="T815" t="s">
        <v>286</v>
      </c>
      <c r="U815" t="s">
        <v>291</v>
      </c>
      <c r="V815" t="s">
        <v>289</v>
      </c>
      <c r="W815" s="32"/>
      <c r="X815" s="32"/>
      <c r="Y815" s="26"/>
      <c r="Z815" s="26"/>
      <c r="AA815" s="27">
        <f>IF(TA[[#This Row],[Work Start time on Fault]]="NA","",(TA[[#This Row],[Fault Acknowledgement Time ]]-TA[[#This Row],[Fault Time]])*24)</f>
        <v>0</v>
      </c>
      <c r="AB815" s="27">
        <f>(TA[[#This Row],[Work Start time on Fault]]-TA[[#This Row],[Fault Time]])*24</f>
        <v>0</v>
      </c>
      <c r="AC815" s="26">
        <f>(TA[[#This Row],[Work Completion time on fault]]-TA[[#This Row],[Fault Time]])*24</f>
        <v>0</v>
      </c>
      <c r="AD815" s="27">
        <f>IFERROR((TA[[#This Row],[Work Completion time on fault]]-TA[[#This Row],[Fault Time]])*24,"")</f>
        <v>0</v>
      </c>
      <c r="AE815" t="s">
        <v>319</v>
      </c>
      <c r="AF815" t="s">
        <v>247</v>
      </c>
      <c r="AG815" s="2"/>
      <c r="AH815" s="35">
        <f>1-COS(RADIANS(TA[[#This Row],[Avg. Target Angle during Fault Time (Radians)]]-TA[[#This Row],[Angle of affected equipment ]]))</f>
        <v>0.11705240714107301</v>
      </c>
      <c r="AI815" s="27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43">
        <f t="shared" si="66"/>
        <v>2026</v>
      </c>
      <c r="C816" s="116">
        <f t="shared" si="67"/>
        <v>2025</v>
      </c>
      <c r="D816" s="2" t="s">
        <v>155</v>
      </c>
      <c r="E816" s="2" t="s">
        <v>155</v>
      </c>
      <c r="F816" s="30">
        <v>45778</v>
      </c>
      <c r="G816" s="2">
        <f>DAY(EOMONTH(TA[[#This Row],[Month Year]],0))</f>
        <v>31</v>
      </c>
      <c r="H816" s="21">
        <v>45800</v>
      </c>
      <c r="I816" s="32">
        <f>IFERROR(VLOOKUP(TA[[#This Row],[Date]],Raw_Data[[Date]:[Sunset Time (POA&lt;20 W/m2)]],3,0),"")</f>
        <v>0.25208333333333333</v>
      </c>
      <c r="J816" s="32">
        <f>IFERROR(VLOOKUP(TA[[#This Row],[Date]],Raw_Data[[Date]:[Sunset Time (POA&lt;20 W/m2)]],4,0),"")</f>
        <v>0.77777777777777779</v>
      </c>
      <c r="K816" s="27">
        <f>IFERROR((TA[[#This Row],[Sunset Time (POA&lt;20 W/m2)]]-TA[[#This Row],[Sunrise Time (POA&gt;20 W/m2)]])*24,"")</f>
        <v>12.616666666666667</v>
      </c>
      <c r="L816" s="2" t="s">
        <v>285</v>
      </c>
      <c r="M816" s="33">
        <f>IFERROR(VLOOKUP(TA[[#This Row],[Affected Equipment]],'Basic Data'!$I$2:$K$40,3,0),"")</f>
        <v>1.7241379310344799E-3</v>
      </c>
      <c r="N816">
        <v>-28</v>
      </c>
      <c r="O816" t="s">
        <v>133</v>
      </c>
      <c r="P816" s="114" t="s">
        <v>307</v>
      </c>
      <c r="Q816" s="113" t="s">
        <v>307</v>
      </c>
      <c r="R816">
        <v>117</v>
      </c>
      <c r="S816" s="2">
        <v>20</v>
      </c>
      <c r="T816" t="s">
        <v>286</v>
      </c>
      <c r="U816" t="s">
        <v>291</v>
      </c>
      <c r="V816" t="s">
        <v>289</v>
      </c>
      <c r="W816" s="32"/>
      <c r="X816" s="32"/>
      <c r="Y816" s="26"/>
      <c r="Z816" s="26"/>
      <c r="AA816" s="27">
        <f>IF(TA[[#This Row],[Work Start time on Fault]]="NA","",(TA[[#This Row],[Fault Acknowledgement Time ]]-TA[[#This Row],[Fault Time]])*24)</f>
        <v>0</v>
      </c>
      <c r="AB816" s="27">
        <f>(TA[[#This Row],[Work Start time on Fault]]-TA[[#This Row],[Fault Time]])*24</f>
        <v>0</v>
      </c>
      <c r="AC816" s="26">
        <f>(TA[[#This Row],[Work Completion time on fault]]-TA[[#This Row],[Fault Time]])*24</f>
        <v>0</v>
      </c>
      <c r="AD816" s="27">
        <f>IFERROR((TA[[#This Row],[Work Completion time on fault]]-TA[[#This Row],[Fault Time]])*24,"")</f>
        <v>0</v>
      </c>
      <c r="AE816" t="s">
        <v>319</v>
      </c>
      <c r="AF816" t="s">
        <v>247</v>
      </c>
      <c r="AG816" s="2"/>
      <c r="AH816" s="35">
        <f>1-COS(RADIANS(TA[[#This Row],[Avg. Target Angle during Fault Time (Radians)]]-TA[[#This Row],[Angle of affected equipment ]]))</f>
        <v>0.11705240714107301</v>
      </c>
      <c r="AI816" s="27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43">
        <f t="shared" si="66"/>
        <v>2026</v>
      </c>
      <c r="C817" s="116">
        <f t="shared" si="67"/>
        <v>2025</v>
      </c>
      <c r="D817" s="2" t="s">
        <v>155</v>
      </c>
      <c r="E817" s="2" t="s">
        <v>155</v>
      </c>
      <c r="F817" s="30">
        <v>45778</v>
      </c>
      <c r="G817" s="2">
        <f>DAY(EOMONTH(TA[[#This Row],[Month Year]],0))</f>
        <v>31</v>
      </c>
      <c r="H817" s="21">
        <v>45800</v>
      </c>
      <c r="I817" s="32">
        <f>IFERROR(VLOOKUP(TA[[#This Row],[Date]],Raw_Data[[Date]:[Sunset Time (POA&lt;20 W/m2)]],3,0),"")</f>
        <v>0.25208333333333333</v>
      </c>
      <c r="J817" s="32">
        <f>IFERROR(VLOOKUP(TA[[#This Row],[Date]],Raw_Data[[Date]:[Sunset Time (POA&lt;20 W/m2)]],4,0),"")</f>
        <v>0.77777777777777779</v>
      </c>
      <c r="K817" s="27">
        <f>IFERROR((TA[[#This Row],[Sunset Time (POA&lt;20 W/m2)]]-TA[[#This Row],[Sunrise Time (POA&gt;20 W/m2)]])*24,"")</f>
        <v>12.616666666666667</v>
      </c>
      <c r="L817" s="2" t="s">
        <v>285</v>
      </c>
      <c r="M817" s="33">
        <f>IFERROR(VLOOKUP(TA[[#This Row],[Affected Equipment]],'Basic Data'!$I$2:$K$40,3,0),"")</f>
        <v>1.7241379310344799E-3</v>
      </c>
      <c r="N817">
        <v>-28</v>
      </c>
      <c r="O817" t="s">
        <v>133</v>
      </c>
      <c r="P817" s="114" t="s">
        <v>307</v>
      </c>
      <c r="Q817" s="113" t="s">
        <v>307</v>
      </c>
      <c r="R817">
        <v>118</v>
      </c>
      <c r="S817" s="2">
        <v>22</v>
      </c>
      <c r="T817" t="s">
        <v>286</v>
      </c>
      <c r="U817" t="s">
        <v>291</v>
      </c>
      <c r="V817" t="s">
        <v>289</v>
      </c>
      <c r="W817" s="32"/>
      <c r="X817" s="32"/>
      <c r="Y817" s="26"/>
      <c r="Z817" s="26"/>
      <c r="AA817" s="27">
        <f>IF(TA[[#This Row],[Work Start time on Fault]]="NA","",(TA[[#This Row],[Fault Acknowledgement Time ]]-TA[[#This Row],[Fault Time]])*24)</f>
        <v>0</v>
      </c>
      <c r="AB817" s="27">
        <f>(TA[[#This Row],[Work Start time on Fault]]-TA[[#This Row],[Fault Time]])*24</f>
        <v>0</v>
      </c>
      <c r="AC817" s="26">
        <f>(TA[[#This Row],[Work Completion time on fault]]-TA[[#This Row],[Fault Time]])*24</f>
        <v>0</v>
      </c>
      <c r="AD817" s="27">
        <f>IFERROR((TA[[#This Row],[Work Completion time on fault]]-TA[[#This Row],[Fault Time]])*24,"")</f>
        <v>0</v>
      </c>
      <c r="AE817" t="s">
        <v>319</v>
      </c>
      <c r="AF817" t="s">
        <v>247</v>
      </c>
      <c r="AG817" s="2"/>
      <c r="AH817" s="35">
        <f>1-COS(RADIANS(TA[[#This Row],[Avg. Target Angle during Fault Time (Radians)]]-TA[[#This Row],[Angle of affected equipment ]]))</f>
        <v>0.11705240714107301</v>
      </c>
      <c r="AI817" s="27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43">
        <f t="shared" si="66"/>
        <v>2026</v>
      </c>
      <c r="C818" s="116">
        <f t="shared" si="67"/>
        <v>2025</v>
      </c>
      <c r="D818" s="2" t="s">
        <v>155</v>
      </c>
      <c r="E818" s="2" t="s">
        <v>155</v>
      </c>
      <c r="F818" s="30">
        <v>45778</v>
      </c>
      <c r="G818" s="2">
        <f>DAY(EOMONTH(TA[[#This Row],[Month Year]],0))</f>
        <v>31</v>
      </c>
      <c r="H818" s="21">
        <v>45800</v>
      </c>
      <c r="I818" s="32">
        <f>IFERROR(VLOOKUP(TA[[#This Row],[Date]],Raw_Data[[Date]:[Sunset Time (POA&lt;20 W/m2)]],3,0),"")</f>
        <v>0.25208333333333333</v>
      </c>
      <c r="J818" s="32">
        <f>IFERROR(VLOOKUP(TA[[#This Row],[Date]],Raw_Data[[Date]:[Sunset Time (POA&lt;20 W/m2)]],4,0),"")</f>
        <v>0.77777777777777779</v>
      </c>
      <c r="K818" s="27">
        <f>IFERROR((TA[[#This Row],[Sunset Time (POA&lt;20 W/m2)]]-TA[[#This Row],[Sunrise Time (POA&gt;20 W/m2)]])*24,"")</f>
        <v>12.616666666666667</v>
      </c>
      <c r="L818" s="2" t="s">
        <v>287</v>
      </c>
      <c r="M818" s="33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314</v>
      </c>
      <c r="Q818" s="2" t="s">
        <v>320</v>
      </c>
      <c r="R818">
        <v>45</v>
      </c>
      <c r="S818" s="2">
        <v>8</v>
      </c>
      <c r="T818" t="s">
        <v>288</v>
      </c>
      <c r="U818" t="s">
        <v>291</v>
      </c>
      <c r="V818" t="s">
        <v>292</v>
      </c>
      <c r="W818" s="32"/>
      <c r="X818" s="32"/>
      <c r="Y818" s="26"/>
      <c r="Z818" s="26"/>
      <c r="AA818" s="27">
        <f>IF(TA[[#This Row],[Work Start time on Fault]]="NA","",(TA[[#This Row],[Fault Acknowledgement Time ]]-TA[[#This Row],[Fault Time]])*24)</f>
        <v>0</v>
      </c>
      <c r="AB818" s="27">
        <f>(TA[[#This Row],[Work Start time on Fault]]-TA[[#This Row],[Fault Time]])*24</f>
        <v>0</v>
      </c>
      <c r="AC818" s="26">
        <f>(TA[[#This Row],[Work Completion time on fault]]-TA[[#This Row],[Fault Time]])*24</f>
        <v>0</v>
      </c>
      <c r="AD818" s="27">
        <f>IFERROR((TA[[#This Row],[Work Completion time on fault]]-TA[[#This Row],[Fault Time]])*24,"")</f>
        <v>0</v>
      </c>
      <c r="AE818" t="s">
        <v>319</v>
      </c>
      <c r="AF818" t="s">
        <v>247</v>
      </c>
      <c r="AG818" s="2"/>
      <c r="AH818" s="35">
        <f>1-COS(RADIANS(TA[[#This Row],[Avg. Target Angle during Fault Time (Radians)]]-TA[[#This Row],[Angle of affected equipment ]]))</f>
        <v>0.11705240714107301</v>
      </c>
      <c r="AI818" s="27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43">
        <f t="shared" si="66"/>
        <v>2026</v>
      </c>
      <c r="C819" s="116">
        <f t="shared" si="67"/>
        <v>2025</v>
      </c>
      <c r="D819" s="2" t="s">
        <v>155</v>
      </c>
      <c r="E819" s="2" t="s">
        <v>155</v>
      </c>
      <c r="F819" s="30">
        <v>45778</v>
      </c>
      <c r="G819" s="2">
        <f>DAY(EOMONTH(TA[[#This Row],[Month Year]],0))</f>
        <v>31</v>
      </c>
      <c r="H819" s="21">
        <v>45800</v>
      </c>
      <c r="I819" s="32">
        <f>IFERROR(VLOOKUP(TA[[#This Row],[Date]],Raw_Data[[Date]:[Sunset Time (POA&lt;20 W/m2)]],3,0),"")</f>
        <v>0.25208333333333333</v>
      </c>
      <c r="J819" s="32">
        <f>IFERROR(VLOOKUP(TA[[#This Row],[Date]],Raw_Data[[Date]:[Sunset Time (POA&lt;20 W/m2)]],4,0),"")</f>
        <v>0.77777777777777779</v>
      </c>
      <c r="K819" s="27">
        <f>IFERROR((TA[[#This Row],[Sunset Time (POA&lt;20 W/m2)]]-TA[[#This Row],[Sunrise Time (POA&gt;20 W/m2)]])*24,"")</f>
        <v>12.616666666666667</v>
      </c>
      <c r="L819" s="2" t="s">
        <v>287</v>
      </c>
      <c r="M819" s="33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314</v>
      </c>
      <c r="Q819" s="2" t="s">
        <v>320</v>
      </c>
      <c r="R819">
        <v>47</v>
      </c>
      <c r="S819" s="2">
        <v>18</v>
      </c>
      <c r="T819" t="s">
        <v>288</v>
      </c>
      <c r="U819" t="s">
        <v>291</v>
      </c>
      <c r="V819" t="s">
        <v>292</v>
      </c>
      <c r="W819" s="32"/>
      <c r="X819" s="32"/>
      <c r="Y819" s="26"/>
      <c r="Z819" s="26"/>
      <c r="AA819" s="27">
        <f>IF(TA[[#This Row],[Work Start time on Fault]]="NA","",(TA[[#This Row],[Fault Acknowledgement Time ]]-TA[[#This Row],[Fault Time]])*24)</f>
        <v>0</v>
      </c>
      <c r="AB819" s="27">
        <f>(TA[[#This Row],[Work Start time on Fault]]-TA[[#This Row],[Fault Time]])*24</f>
        <v>0</v>
      </c>
      <c r="AC819" s="26">
        <f>(TA[[#This Row],[Work Completion time on fault]]-TA[[#This Row],[Fault Time]])*24</f>
        <v>0</v>
      </c>
      <c r="AD819" s="27">
        <f>IFERROR((TA[[#This Row],[Work Completion time on fault]]-TA[[#This Row],[Fault Time]])*24,"")</f>
        <v>0</v>
      </c>
      <c r="AE819" t="s">
        <v>319</v>
      </c>
      <c r="AF819" t="s">
        <v>247</v>
      </c>
      <c r="AG819" s="2"/>
      <c r="AH819" s="35">
        <f>1-COS(RADIANS(TA[[#This Row],[Avg. Target Angle during Fault Time (Radians)]]-TA[[#This Row],[Angle of affected equipment ]]))</f>
        <v>0.11705240714107301</v>
      </c>
      <c r="AI819" s="27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43">
        <f t="shared" si="66"/>
        <v>2026</v>
      </c>
      <c r="C820" s="116">
        <f t="shared" si="67"/>
        <v>2025</v>
      </c>
      <c r="D820" s="2" t="s">
        <v>155</v>
      </c>
      <c r="E820" s="2" t="s">
        <v>155</v>
      </c>
      <c r="F820" s="30">
        <v>45778</v>
      </c>
      <c r="G820" s="2">
        <f>DAY(EOMONTH(TA[[#This Row],[Month Year]],0))</f>
        <v>31</v>
      </c>
      <c r="H820" s="21">
        <v>45800</v>
      </c>
      <c r="I820" s="32">
        <f>IFERROR(VLOOKUP(TA[[#This Row],[Date]],Raw_Data[[Date]:[Sunset Time (POA&lt;20 W/m2)]],3,0),"")</f>
        <v>0.25208333333333333</v>
      </c>
      <c r="J820" s="32">
        <f>IFERROR(VLOOKUP(TA[[#This Row],[Date]],Raw_Data[[Date]:[Sunset Time (POA&lt;20 W/m2)]],4,0),"")</f>
        <v>0.77777777777777779</v>
      </c>
      <c r="K820" s="27">
        <f>IFERROR((TA[[#This Row],[Sunset Time (POA&lt;20 W/m2)]]-TA[[#This Row],[Sunrise Time (POA&gt;20 W/m2)]])*24,"")</f>
        <v>12.616666666666667</v>
      </c>
      <c r="L820" s="2" t="s">
        <v>287</v>
      </c>
      <c r="M820" s="33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321</v>
      </c>
      <c r="Q820" s="2" t="s">
        <v>314</v>
      </c>
      <c r="R820">
        <v>30</v>
      </c>
      <c r="S820" s="2">
        <v>57</v>
      </c>
      <c r="T820" t="s">
        <v>288</v>
      </c>
      <c r="U820" t="s">
        <v>291</v>
      </c>
      <c r="V820" t="s">
        <v>292</v>
      </c>
      <c r="W820" s="32"/>
      <c r="X820" s="32"/>
      <c r="Y820" s="26"/>
      <c r="Z820" s="26"/>
      <c r="AA820" s="27">
        <f>IF(TA[[#This Row],[Work Start time on Fault]]="NA","",(TA[[#This Row],[Fault Acknowledgement Time ]]-TA[[#This Row],[Fault Time]])*24)</f>
        <v>0</v>
      </c>
      <c r="AB820" s="27">
        <f>(TA[[#This Row],[Work Start time on Fault]]-TA[[#This Row],[Fault Time]])*24</f>
        <v>0</v>
      </c>
      <c r="AC820" s="26">
        <f>(TA[[#This Row],[Work Completion time on fault]]-TA[[#This Row],[Fault Time]])*24</f>
        <v>0</v>
      </c>
      <c r="AD820" s="27">
        <f>IFERROR((TA[[#This Row],[Work Completion time on fault]]-TA[[#This Row],[Fault Time]])*24,"")</f>
        <v>0</v>
      </c>
      <c r="AE820" t="s">
        <v>319</v>
      </c>
      <c r="AF820" t="s">
        <v>247</v>
      </c>
      <c r="AG820" s="2"/>
      <c r="AH820" s="35">
        <f>1-COS(RADIANS(TA[[#This Row],[Avg. Target Angle during Fault Time (Radians)]]-TA[[#This Row],[Angle of affected equipment ]]))</f>
        <v>0.11705240714107301</v>
      </c>
      <c r="AI820" s="27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43">
        <f t="shared" si="66"/>
        <v>2026</v>
      </c>
      <c r="C821" s="116">
        <f t="shared" si="67"/>
        <v>2025</v>
      </c>
      <c r="D821" s="2" t="s">
        <v>155</v>
      </c>
      <c r="E821" s="2" t="s">
        <v>155</v>
      </c>
      <c r="F821" s="30">
        <v>45778</v>
      </c>
      <c r="G821" s="2">
        <f>DAY(EOMONTH(TA[[#This Row],[Month Year]],0))</f>
        <v>31</v>
      </c>
      <c r="H821" s="21">
        <v>45800</v>
      </c>
      <c r="I821" s="32">
        <f>IFERROR(VLOOKUP(TA[[#This Row],[Date]],Raw_Data[[Date]:[Sunset Time (POA&lt;20 W/m2)]],3,0),"")</f>
        <v>0.25208333333333333</v>
      </c>
      <c r="J821" s="32">
        <f>IFERROR(VLOOKUP(TA[[#This Row],[Date]],Raw_Data[[Date]:[Sunset Time (POA&lt;20 W/m2)]],4,0),"")</f>
        <v>0.77777777777777779</v>
      </c>
      <c r="K821" s="27">
        <f>IFERROR((TA[[#This Row],[Sunset Time (POA&lt;20 W/m2)]]-TA[[#This Row],[Sunrise Time (POA&gt;20 W/m2)]])*24,"")</f>
        <v>12.616666666666667</v>
      </c>
      <c r="L821" s="2" t="s">
        <v>287</v>
      </c>
      <c r="M821" s="33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321</v>
      </c>
      <c r="Q821" s="2" t="s">
        <v>314</v>
      </c>
      <c r="R821">
        <v>31</v>
      </c>
      <c r="S821" s="2">
        <v>61</v>
      </c>
      <c r="T821" t="s">
        <v>288</v>
      </c>
      <c r="U821" t="s">
        <v>291</v>
      </c>
      <c r="V821" t="s">
        <v>292</v>
      </c>
      <c r="W821" s="32"/>
      <c r="X821" s="32"/>
      <c r="Y821" s="26"/>
      <c r="Z821" s="26"/>
      <c r="AA821" s="27">
        <f>IF(TA[[#This Row],[Work Start time on Fault]]="NA","",(TA[[#This Row],[Fault Acknowledgement Time ]]-TA[[#This Row],[Fault Time]])*24)</f>
        <v>0</v>
      </c>
      <c r="AB821" s="27">
        <f>(TA[[#This Row],[Work Start time on Fault]]-TA[[#This Row],[Fault Time]])*24</f>
        <v>0</v>
      </c>
      <c r="AC821" s="26">
        <f>(TA[[#This Row],[Work Completion time on fault]]-TA[[#This Row],[Fault Time]])*24</f>
        <v>0</v>
      </c>
      <c r="AD821" s="27">
        <f>IFERROR((TA[[#This Row],[Work Completion time on fault]]-TA[[#This Row],[Fault Time]])*24,"")</f>
        <v>0</v>
      </c>
      <c r="AE821" t="s">
        <v>319</v>
      </c>
      <c r="AF821" t="s">
        <v>247</v>
      </c>
      <c r="AG821" s="2"/>
      <c r="AH821" s="35">
        <f>1-COS(RADIANS(TA[[#This Row],[Avg. Target Angle during Fault Time (Radians)]]-TA[[#This Row],[Angle of affected equipment ]]))</f>
        <v>0.11705240714107301</v>
      </c>
      <c r="AI821" s="27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43">
        <f t="shared" si="66"/>
        <v>2026</v>
      </c>
      <c r="C822" s="116">
        <f t="shared" si="67"/>
        <v>2025</v>
      </c>
      <c r="D822" s="2" t="s">
        <v>155</v>
      </c>
      <c r="E822" s="2" t="s">
        <v>155</v>
      </c>
      <c r="F822" s="30">
        <v>45778</v>
      </c>
      <c r="G822" s="2">
        <f>DAY(EOMONTH(TA[[#This Row],[Month Year]],0))</f>
        <v>31</v>
      </c>
      <c r="H822" s="21">
        <v>45800</v>
      </c>
      <c r="I822" s="32">
        <f>IFERROR(VLOOKUP(TA[[#This Row],[Date]],Raw_Data[[Date]:[Sunset Time (POA&lt;20 W/m2)]],3,0),"")</f>
        <v>0.25208333333333333</v>
      </c>
      <c r="J822" s="32">
        <f>IFERROR(VLOOKUP(TA[[#This Row],[Date]],Raw_Data[[Date]:[Sunset Time (POA&lt;20 W/m2)]],4,0),"")</f>
        <v>0.77777777777777779</v>
      </c>
      <c r="K822" s="27">
        <f>IFERROR((TA[[#This Row],[Sunset Time (POA&lt;20 W/m2)]]-TA[[#This Row],[Sunrise Time (POA&gt;20 W/m2)]])*24,"")</f>
        <v>12.616666666666667</v>
      </c>
      <c r="L822" s="2" t="s">
        <v>303</v>
      </c>
      <c r="M822" s="33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321</v>
      </c>
      <c r="Q822" s="2" t="s">
        <v>314</v>
      </c>
      <c r="R822">
        <v>26</v>
      </c>
      <c r="S822" s="2">
        <v>37</v>
      </c>
      <c r="T822" t="s">
        <v>288</v>
      </c>
      <c r="U822" t="s">
        <v>291</v>
      </c>
      <c r="V822" t="s">
        <v>292</v>
      </c>
      <c r="W822" s="32"/>
      <c r="X822" s="32"/>
      <c r="Y822" s="26"/>
      <c r="Z822" s="26"/>
      <c r="AA822" s="27">
        <f>IF(TA[[#This Row],[Work Start time on Fault]]="NA","",(TA[[#This Row],[Fault Acknowledgement Time ]]-TA[[#This Row],[Fault Time]])*24)</f>
        <v>0</v>
      </c>
      <c r="AB822" s="27">
        <f>(TA[[#This Row],[Work Start time on Fault]]-TA[[#This Row],[Fault Time]])*24</f>
        <v>0</v>
      </c>
      <c r="AC822" s="26">
        <f>(TA[[#This Row],[Work Completion time on fault]]-TA[[#This Row],[Fault Time]])*24</f>
        <v>0</v>
      </c>
      <c r="AD822" s="27">
        <f>IFERROR((TA[[#This Row],[Work Completion time on fault]]-TA[[#This Row],[Fault Time]])*24,"")</f>
        <v>0</v>
      </c>
      <c r="AE822" t="s">
        <v>319</v>
      </c>
      <c r="AF822" t="s">
        <v>247</v>
      </c>
      <c r="AG822" s="2"/>
      <c r="AH822" s="35">
        <f>1-COS(RADIANS(TA[[#This Row],[Avg. Target Angle during Fault Time (Radians)]]-TA[[#This Row],[Angle of affected equipment ]]))</f>
        <v>0.11705240714107301</v>
      </c>
      <c r="AI822" s="27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43">
        <f t="shared" si="66"/>
        <v>2026</v>
      </c>
      <c r="C823" s="116">
        <f t="shared" si="67"/>
        <v>2025</v>
      </c>
      <c r="D823" s="2" t="s">
        <v>155</v>
      </c>
      <c r="E823" s="2" t="s">
        <v>155</v>
      </c>
      <c r="F823" s="30">
        <v>45778</v>
      </c>
      <c r="G823" s="2">
        <f>DAY(EOMONTH(TA[[#This Row],[Month Year]],0))</f>
        <v>31</v>
      </c>
      <c r="H823" s="21">
        <v>45800</v>
      </c>
      <c r="I823" s="32">
        <f>IFERROR(VLOOKUP(TA[[#This Row],[Date]],Raw_Data[[Date]:[Sunset Time (POA&lt;20 W/m2)]],3,0),"")</f>
        <v>0.25208333333333333</v>
      </c>
      <c r="J823" s="32">
        <f>IFERROR(VLOOKUP(TA[[#This Row],[Date]],Raw_Data[[Date]:[Sunset Time (POA&lt;20 W/m2)]],4,0),"")</f>
        <v>0.77777777777777779</v>
      </c>
      <c r="K823" s="27">
        <f>IFERROR((TA[[#This Row],[Sunset Time (POA&lt;20 W/m2)]]-TA[[#This Row],[Sunrise Time (POA&gt;20 W/m2)]])*24,"")</f>
        <v>12.616666666666667</v>
      </c>
      <c r="L823" s="2" t="s">
        <v>303</v>
      </c>
      <c r="M823" s="33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321</v>
      </c>
      <c r="Q823" s="2" t="s">
        <v>314</v>
      </c>
      <c r="R823">
        <v>27</v>
      </c>
      <c r="S823" s="2">
        <v>42</v>
      </c>
      <c r="T823" t="s">
        <v>288</v>
      </c>
      <c r="U823" t="s">
        <v>291</v>
      </c>
      <c r="V823" t="s">
        <v>292</v>
      </c>
      <c r="W823" s="32">
        <f>IFERROR(VLOOKUP(TA[[#This Row],[Date]],Raw_Data[[Date]:[Sunset Time (POA&lt;20 W/m2)]],3,0),"")</f>
        <v>0.25208333333333333</v>
      </c>
      <c r="X823" s="32">
        <f>IFERROR(VLOOKUP(TA[[#This Row],[Date]],Raw_Data[[Date]:[Sunset Time (POA&lt;20 W/m2)]],3,0),"")</f>
        <v>0.25208333333333333</v>
      </c>
      <c r="Y823" s="26"/>
      <c r="Z823" s="26">
        <v>0.76041666666666663</v>
      </c>
      <c r="AA823" s="27">
        <f>IF(TA[[#This Row],[Work Start time on Fault]]="NA","",(TA[[#This Row],[Fault Acknowledgement Time ]]-TA[[#This Row],[Fault Time]])*24)</f>
        <v>0</v>
      </c>
      <c r="AB823" s="27">
        <f>(TA[[#This Row],[Work Start time on Fault]]-TA[[#This Row],[Fault Time]])*24</f>
        <v>-6.05</v>
      </c>
      <c r="AC823" s="26">
        <f>(TA[[#This Row],[Work Completion time on fault]]-TA[[#This Row],[Fault Time]])*24</f>
        <v>12.2</v>
      </c>
      <c r="AD823" s="27">
        <f>IFERROR((TA[[#This Row],[Work Completion time on fault]]-TA[[#This Row],[Fault Time]])*24,"")</f>
        <v>12.2</v>
      </c>
      <c r="AE823" t="s">
        <v>300</v>
      </c>
      <c r="AF823" t="s">
        <v>247</v>
      </c>
      <c r="AG823" s="2"/>
      <c r="AH823" s="35">
        <f>1-COS(RADIANS(TA[[#This Row],[Avg. Target Angle during Fault Time (Radians)]]-TA[[#This Row],[Angle of affected equipment ]]))</f>
        <v>0.11705240714107301</v>
      </c>
      <c r="AI823" s="27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43">
        <f t="shared" ref="B824:B838" si="68">YEAR(H824)+IF(MONTH(H824)&gt;=4,1,0)</f>
        <v>2026</v>
      </c>
      <c r="C824" s="116">
        <f t="shared" ref="C824:C838" si="69">YEAR(H824)</f>
        <v>2025</v>
      </c>
      <c r="D824" s="2" t="s">
        <v>155</v>
      </c>
      <c r="E824" s="2" t="s">
        <v>155</v>
      </c>
      <c r="F824" s="30">
        <v>45778</v>
      </c>
      <c r="G824" s="2">
        <f>DAY(EOMONTH(TA[[#This Row],[Month Year]],0))</f>
        <v>31</v>
      </c>
      <c r="H824" s="21">
        <v>45800</v>
      </c>
      <c r="I824" s="32">
        <f>IFERROR(VLOOKUP(TA[[#This Row],[Date]],Raw_Data[[Date]:[Sunset Time (POA&lt;20 W/m2)]],3,0),"")</f>
        <v>0.25208333333333333</v>
      </c>
      <c r="J824" s="32">
        <f>IFERROR(VLOOKUP(TA[[#This Row],[Date]],Raw_Data[[Date]:[Sunset Time (POA&lt;20 W/m2)]],4,0),"")</f>
        <v>0.77777777777777779</v>
      </c>
      <c r="K824" s="27">
        <f>IFERROR((TA[[#This Row],[Sunset Time (POA&lt;20 W/m2)]]-TA[[#This Row],[Sunrise Time (POA&gt;20 W/m2)]])*24,"")</f>
        <v>12.616666666666667</v>
      </c>
      <c r="L824" s="2" t="s">
        <v>285</v>
      </c>
      <c r="M824" s="33">
        <f>IFERROR(VLOOKUP(TA[[#This Row],[Affected Equipment]],'Basic Data'!$I$2:$K$40,3,0),"")</f>
        <v>1.7241379310344799E-3</v>
      </c>
      <c r="N824">
        <v>-28</v>
      </c>
      <c r="O824" t="s">
        <v>134</v>
      </c>
      <c r="P824" s="114" t="s">
        <v>307</v>
      </c>
      <c r="Q824" s="113" t="s">
        <v>311</v>
      </c>
      <c r="R824">
        <v>36</v>
      </c>
      <c r="S824" s="2">
        <v>79</v>
      </c>
      <c r="T824" t="s">
        <v>286</v>
      </c>
      <c r="U824" t="s">
        <v>291</v>
      </c>
      <c r="V824" t="s">
        <v>289</v>
      </c>
      <c r="W824" s="32">
        <f>IFERROR(VLOOKUP(TA[[#This Row],[Date]],Raw_Data[[Date]:[Sunset Time (POA&lt;20 W/m2)]],3,0),"")</f>
        <v>0.25208333333333333</v>
      </c>
      <c r="X824" s="32">
        <f>IFERROR(VLOOKUP(TA[[#This Row],[Date]],Raw_Data[[Date]:[Sunset Time (POA&lt;20 W/m2)]],3,0),"")</f>
        <v>0.25208333333333333</v>
      </c>
      <c r="Y824" s="26">
        <v>0.64583333333333337</v>
      </c>
      <c r="Z824" s="26">
        <v>0.66319444444444442</v>
      </c>
      <c r="AA824" s="27">
        <f>IF(TA[[#This Row],[Work Start time on Fault]]="NA","",(TA[[#This Row],[Fault Acknowledgement Time ]]-TA[[#This Row],[Fault Time]])*24)</f>
        <v>0</v>
      </c>
      <c r="AB824" s="27">
        <f>(TA[[#This Row],[Work Start time on Fault]]-TA[[#This Row],[Fault Time]])*24</f>
        <v>9.4500000000000011</v>
      </c>
      <c r="AC824" s="26">
        <f>(TA[[#This Row],[Work Completion time on fault]]-TA[[#This Row],[Fault Time]])*24</f>
        <v>9.8666666666666671</v>
      </c>
      <c r="AD824" s="27">
        <f>IFERROR((TA[[#This Row],[Work Completion time on fault]]-TA[[#This Row],[Fault Time]])*24,"")</f>
        <v>9.8666666666666671</v>
      </c>
      <c r="AE824" t="s">
        <v>319</v>
      </c>
      <c r="AF824" t="s">
        <v>247</v>
      </c>
      <c r="AG824" s="2"/>
      <c r="AH824" s="35">
        <f>1-COS(RADIANS(TA[[#This Row],[Avg. Target Angle during Fault Time (Radians)]]-TA[[#This Row],[Angle of affected equipment ]]))</f>
        <v>0.11705240714107301</v>
      </c>
      <c r="AI824" s="27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43">
        <f t="shared" si="68"/>
        <v>2026</v>
      </c>
      <c r="C825" s="116">
        <f t="shared" si="69"/>
        <v>2025</v>
      </c>
      <c r="D825" s="2" t="s">
        <v>155</v>
      </c>
      <c r="E825" s="2" t="s">
        <v>155</v>
      </c>
      <c r="F825" s="30">
        <v>45778</v>
      </c>
      <c r="G825" s="2">
        <f>DAY(EOMONTH(TA[[#This Row],[Month Year]],0))</f>
        <v>31</v>
      </c>
      <c r="H825" s="21">
        <v>45801</v>
      </c>
      <c r="I825" s="32">
        <f>IFERROR(VLOOKUP(TA[[#This Row],[Date]],Raw_Data[[Date]:[Sunset Time (POA&lt;20 W/m2)]],3,0),"")</f>
        <v>0.25208333333333333</v>
      </c>
      <c r="J825" s="32">
        <f>IFERROR(VLOOKUP(TA[[#This Row],[Date]],Raw_Data[[Date]:[Sunset Time (POA&lt;20 W/m2)]],4,0),"")</f>
        <v>0.77777777777777779</v>
      </c>
      <c r="K825" s="27">
        <f>IFERROR((TA[[#This Row],[Sunset Time (POA&lt;20 W/m2)]]-TA[[#This Row],[Sunrise Time (POA&gt;20 W/m2)]])*24,"")</f>
        <v>12.616666666666667</v>
      </c>
      <c r="L825" s="2" t="s">
        <v>285</v>
      </c>
      <c r="M825" s="33">
        <f>IFERROR(VLOOKUP(TA[[#This Row],[Affected Equipment]],'Basic Data'!$I$2:$K$40,3,0),"")</f>
        <v>1.7241379310344799E-3</v>
      </c>
      <c r="N825">
        <v>-28</v>
      </c>
      <c r="O825" t="s">
        <v>135</v>
      </c>
      <c r="P825" s="114" t="s">
        <v>309</v>
      </c>
      <c r="Q825" s="113" t="s">
        <v>309</v>
      </c>
      <c r="R825">
        <v>130</v>
      </c>
      <c r="S825" s="2">
        <v>37</v>
      </c>
      <c r="T825" t="s">
        <v>286</v>
      </c>
      <c r="U825" t="s">
        <v>291</v>
      </c>
      <c r="V825" t="s">
        <v>289</v>
      </c>
      <c r="W825" s="32"/>
      <c r="X825" s="32"/>
      <c r="Y825" s="26"/>
      <c r="Z825" s="26"/>
      <c r="AA825" s="27">
        <f>IF(TA[[#This Row],[Work Start time on Fault]]="NA","",(TA[[#This Row],[Fault Acknowledgement Time ]]-TA[[#This Row],[Fault Time]])*24)</f>
        <v>0</v>
      </c>
      <c r="AB825" s="27">
        <f>(TA[[#This Row],[Work Start time on Fault]]-TA[[#This Row],[Fault Time]])*24</f>
        <v>0</v>
      </c>
      <c r="AC825" s="26">
        <f>(TA[[#This Row],[Work Completion time on fault]]-TA[[#This Row],[Fault Time]])*24</f>
        <v>0</v>
      </c>
      <c r="AD825" s="27">
        <f>IFERROR((TA[[#This Row],[Work Completion time on fault]]-TA[[#This Row],[Fault Time]])*24,"")</f>
        <v>0</v>
      </c>
      <c r="AE825" t="s">
        <v>319</v>
      </c>
      <c r="AF825" t="s">
        <v>247</v>
      </c>
      <c r="AG825" s="2"/>
      <c r="AH825" s="35">
        <f>1-COS(RADIANS(TA[[#This Row],[Avg. Target Angle during Fault Time (Radians)]]-TA[[#This Row],[Angle of affected equipment ]]))</f>
        <v>0.11705240714107301</v>
      </c>
      <c r="AI825" s="27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43">
        <f t="shared" si="68"/>
        <v>2026</v>
      </c>
      <c r="C826" s="116">
        <f t="shared" si="69"/>
        <v>2025</v>
      </c>
      <c r="D826" s="2" t="s">
        <v>155</v>
      </c>
      <c r="E826" s="2" t="s">
        <v>155</v>
      </c>
      <c r="F826" s="30">
        <v>45778</v>
      </c>
      <c r="G826" s="2">
        <f>DAY(EOMONTH(TA[[#This Row],[Month Year]],0))</f>
        <v>31</v>
      </c>
      <c r="H826" s="21">
        <v>45801</v>
      </c>
      <c r="I826" s="32">
        <f>IFERROR(VLOOKUP(TA[[#This Row],[Date]],Raw_Data[[Date]:[Sunset Time (POA&lt;20 W/m2)]],3,0),"")</f>
        <v>0.25208333333333333</v>
      </c>
      <c r="J826" s="32">
        <f>IFERROR(VLOOKUP(TA[[#This Row],[Date]],Raw_Data[[Date]:[Sunset Time (POA&lt;20 W/m2)]],4,0),"")</f>
        <v>0.77777777777777779</v>
      </c>
      <c r="K826" s="27">
        <f>IFERROR((TA[[#This Row],[Sunset Time (POA&lt;20 W/m2)]]-TA[[#This Row],[Sunrise Time (POA&gt;20 W/m2)]])*24,"")</f>
        <v>12.616666666666667</v>
      </c>
      <c r="L826" s="2" t="s">
        <v>285</v>
      </c>
      <c r="M826" s="33">
        <f>IFERROR(VLOOKUP(TA[[#This Row],[Affected Equipment]],'Basic Data'!$I$2:$K$40,3,0),"")</f>
        <v>1.7241379310344799E-3</v>
      </c>
      <c r="N826">
        <v>-28</v>
      </c>
      <c r="O826" t="s">
        <v>135</v>
      </c>
      <c r="P826" s="114" t="s">
        <v>309</v>
      </c>
      <c r="Q826" s="113" t="s">
        <v>309</v>
      </c>
      <c r="R826">
        <v>131</v>
      </c>
      <c r="S826" s="2">
        <v>38</v>
      </c>
      <c r="T826" t="s">
        <v>286</v>
      </c>
      <c r="U826" t="s">
        <v>291</v>
      </c>
      <c r="V826" t="s">
        <v>289</v>
      </c>
      <c r="W826" s="32"/>
      <c r="X826" s="32"/>
      <c r="Y826" s="26"/>
      <c r="Z826" s="26"/>
      <c r="AA826" s="27">
        <f>IF(TA[[#This Row],[Work Start time on Fault]]="NA","",(TA[[#This Row],[Fault Acknowledgement Time ]]-TA[[#This Row],[Fault Time]])*24)</f>
        <v>0</v>
      </c>
      <c r="AB826" s="27">
        <f>(TA[[#This Row],[Work Start time on Fault]]-TA[[#This Row],[Fault Time]])*24</f>
        <v>0</v>
      </c>
      <c r="AC826" s="26">
        <f>(TA[[#This Row],[Work Completion time on fault]]-TA[[#This Row],[Fault Time]])*24</f>
        <v>0</v>
      </c>
      <c r="AD826" s="27">
        <f>IFERROR((TA[[#This Row],[Work Completion time on fault]]-TA[[#This Row],[Fault Time]])*24,"")</f>
        <v>0</v>
      </c>
      <c r="AE826" t="s">
        <v>319</v>
      </c>
      <c r="AF826" t="s">
        <v>247</v>
      </c>
      <c r="AG826" s="2"/>
      <c r="AH826" s="35">
        <f>1-COS(RADIANS(TA[[#This Row],[Avg. Target Angle during Fault Time (Radians)]]-TA[[#This Row],[Angle of affected equipment ]]))</f>
        <v>0.11705240714107301</v>
      </c>
      <c r="AI826" s="27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43">
        <f t="shared" si="68"/>
        <v>2026</v>
      </c>
      <c r="C827" s="116">
        <f t="shared" si="69"/>
        <v>2025</v>
      </c>
      <c r="D827" s="2" t="s">
        <v>155</v>
      </c>
      <c r="E827" s="2" t="s">
        <v>155</v>
      </c>
      <c r="F827" s="30">
        <v>45778</v>
      </c>
      <c r="G827" s="2">
        <f>DAY(EOMONTH(TA[[#This Row],[Month Year]],0))</f>
        <v>31</v>
      </c>
      <c r="H827" s="21">
        <v>45801</v>
      </c>
      <c r="I827" s="32">
        <f>IFERROR(VLOOKUP(TA[[#This Row],[Date]],Raw_Data[[Date]:[Sunset Time (POA&lt;20 W/m2)]],3,0),"")</f>
        <v>0.25208333333333333</v>
      </c>
      <c r="J827" s="32">
        <f>IFERROR(VLOOKUP(TA[[#This Row],[Date]],Raw_Data[[Date]:[Sunset Time (POA&lt;20 W/m2)]],4,0),"")</f>
        <v>0.77777777777777779</v>
      </c>
      <c r="K827" s="27">
        <f>IFERROR((TA[[#This Row],[Sunset Time (POA&lt;20 W/m2)]]-TA[[#This Row],[Sunrise Time (POA&gt;20 W/m2)]])*24,"")</f>
        <v>12.616666666666667</v>
      </c>
      <c r="L827" s="2" t="s">
        <v>285</v>
      </c>
      <c r="M827" s="33">
        <f>IFERROR(VLOOKUP(TA[[#This Row],[Affected Equipment]],'Basic Data'!$I$2:$K$40,3,0),"")</f>
        <v>1.7241379310344799E-3</v>
      </c>
      <c r="N827">
        <v>-28</v>
      </c>
      <c r="O827" t="s">
        <v>135</v>
      </c>
      <c r="P827" s="114" t="s">
        <v>309</v>
      </c>
      <c r="Q827" s="113" t="s">
        <v>309</v>
      </c>
      <c r="R827">
        <v>131</v>
      </c>
      <c r="S827" s="2">
        <v>39</v>
      </c>
      <c r="T827" t="s">
        <v>286</v>
      </c>
      <c r="U827" t="s">
        <v>291</v>
      </c>
      <c r="V827" t="s">
        <v>289</v>
      </c>
      <c r="W827" s="32"/>
      <c r="X827" s="32"/>
      <c r="Y827" s="26"/>
      <c r="Z827" s="26"/>
      <c r="AA827" s="27">
        <f>IF(TA[[#This Row],[Work Start time on Fault]]="NA","",(TA[[#This Row],[Fault Acknowledgement Time ]]-TA[[#This Row],[Fault Time]])*24)</f>
        <v>0</v>
      </c>
      <c r="AB827" s="27">
        <f>(TA[[#This Row],[Work Start time on Fault]]-TA[[#This Row],[Fault Time]])*24</f>
        <v>0</v>
      </c>
      <c r="AC827" s="26">
        <f>(TA[[#This Row],[Work Completion time on fault]]-TA[[#This Row],[Fault Time]])*24</f>
        <v>0</v>
      </c>
      <c r="AD827" s="27">
        <f>IFERROR((TA[[#This Row],[Work Completion time on fault]]-TA[[#This Row],[Fault Time]])*24,"")</f>
        <v>0</v>
      </c>
      <c r="AE827" t="s">
        <v>319</v>
      </c>
      <c r="AF827" t="s">
        <v>247</v>
      </c>
      <c r="AG827" s="2"/>
      <c r="AH827" s="35">
        <f>1-COS(RADIANS(TA[[#This Row],[Avg. Target Angle during Fault Time (Radians)]]-TA[[#This Row],[Angle of affected equipment ]]))</f>
        <v>0.11705240714107301</v>
      </c>
      <c r="AI827" s="27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43">
        <f t="shared" si="68"/>
        <v>2026</v>
      </c>
      <c r="C828" s="116">
        <f t="shared" si="69"/>
        <v>2025</v>
      </c>
      <c r="D828" s="2" t="s">
        <v>155</v>
      </c>
      <c r="E828" s="2" t="s">
        <v>155</v>
      </c>
      <c r="F828" s="30">
        <v>45778</v>
      </c>
      <c r="G828" s="2">
        <f>DAY(EOMONTH(TA[[#This Row],[Month Year]],0))</f>
        <v>31</v>
      </c>
      <c r="H828" s="21">
        <v>45801</v>
      </c>
      <c r="I828" s="32">
        <f>IFERROR(VLOOKUP(TA[[#This Row],[Date]],Raw_Data[[Date]:[Sunset Time (POA&lt;20 W/m2)]],3,0),"")</f>
        <v>0.25208333333333333</v>
      </c>
      <c r="J828" s="32">
        <f>IFERROR(VLOOKUP(TA[[#This Row],[Date]],Raw_Data[[Date]:[Sunset Time (POA&lt;20 W/m2)]],4,0),"")</f>
        <v>0.77777777777777779</v>
      </c>
      <c r="K828" s="27">
        <f>IFERROR((TA[[#This Row],[Sunset Time (POA&lt;20 W/m2)]]-TA[[#This Row],[Sunrise Time (POA&gt;20 W/m2)]])*24,"")</f>
        <v>12.616666666666667</v>
      </c>
      <c r="L828" s="2" t="s">
        <v>287</v>
      </c>
      <c r="M828" s="33">
        <f>IFERROR(VLOOKUP(TA[[#This Row],[Affected Equipment]],'Basic Data'!$I$2:$K$40,3,0),"")</f>
        <v>8.6206896551724102E-3</v>
      </c>
      <c r="N828">
        <v>-28</v>
      </c>
      <c r="O828" t="s">
        <v>135</v>
      </c>
      <c r="P828" s="114" t="s">
        <v>309</v>
      </c>
      <c r="Q828" s="2" t="s">
        <v>312</v>
      </c>
      <c r="R828">
        <v>133</v>
      </c>
      <c r="S828" s="2">
        <v>26</v>
      </c>
      <c r="T828" t="s">
        <v>288</v>
      </c>
      <c r="U828" t="s">
        <v>291</v>
      </c>
      <c r="V828" t="s">
        <v>305</v>
      </c>
      <c r="W828" s="32">
        <f>IFERROR(VLOOKUP(TA[[#This Row],[Date]],Raw_Data[[Date]:[Sunset Time (POA&lt;20 W/m2)]],3,0),"")</f>
        <v>0.25208333333333333</v>
      </c>
      <c r="X828" s="32">
        <f>IFERROR(VLOOKUP(TA[[#This Row],[Date]],Raw_Data[[Date]:[Sunset Time (POA&lt;20 W/m2)]],3,0),"")</f>
        <v>0.25208333333333333</v>
      </c>
      <c r="Y828" s="26"/>
      <c r="Z828" s="26">
        <v>0.76041666666666663</v>
      </c>
      <c r="AA828" s="27">
        <f>IF(TA[[#This Row],[Work Start time on Fault]]="NA","",(TA[[#This Row],[Fault Acknowledgement Time ]]-TA[[#This Row],[Fault Time]])*24)</f>
        <v>0</v>
      </c>
      <c r="AB828" s="27">
        <f>(TA[[#This Row],[Work Start time on Fault]]-TA[[#This Row],[Fault Time]])*24</f>
        <v>-6.05</v>
      </c>
      <c r="AC828" s="26">
        <f>(TA[[#This Row],[Work Completion time on fault]]-TA[[#This Row],[Fault Time]])*24</f>
        <v>12.2</v>
      </c>
      <c r="AD828" s="27">
        <f>IFERROR((TA[[#This Row],[Work Completion time on fault]]-TA[[#This Row],[Fault Time]])*24,"")</f>
        <v>12.2</v>
      </c>
      <c r="AE828" t="s">
        <v>319</v>
      </c>
      <c r="AF828" t="s">
        <v>247</v>
      </c>
      <c r="AG828" s="2"/>
      <c r="AH828" s="35">
        <f>1-COS(RADIANS(TA[[#This Row],[Avg. Target Angle during Fault Time (Radians)]]-TA[[#This Row],[Angle of affected equipment ]]))</f>
        <v>0.11705240714107301</v>
      </c>
      <c r="AI828" s="27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43">
        <f t="shared" si="68"/>
        <v>2026</v>
      </c>
      <c r="C829" s="116">
        <f t="shared" si="69"/>
        <v>2025</v>
      </c>
      <c r="D829" s="2" t="s">
        <v>155</v>
      </c>
      <c r="E829" s="2" t="s">
        <v>155</v>
      </c>
      <c r="F829" s="30">
        <v>45778</v>
      </c>
      <c r="G829" s="2">
        <f>DAY(EOMONTH(TA[[#This Row],[Month Year]],0))</f>
        <v>31</v>
      </c>
      <c r="H829" s="21">
        <v>45801</v>
      </c>
      <c r="I829" s="32">
        <f>IFERROR(VLOOKUP(TA[[#This Row],[Date]],Raw_Data[[Date]:[Sunset Time (POA&lt;20 W/m2)]],3,0),"")</f>
        <v>0.25208333333333333</v>
      </c>
      <c r="J829" s="32">
        <f>IFERROR(VLOOKUP(TA[[#This Row],[Date]],Raw_Data[[Date]:[Sunset Time (POA&lt;20 W/m2)]],4,0),"")</f>
        <v>0.77777777777777779</v>
      </c>
      <c r="K829" s="27">
        <f>IFERROR((TA[[#This Row],[Sunset Time (POA&lt;20 W/m2)]]-TA[[#This Row],[Sunrise Time (POA&gt;20 W/m2)]])*24,"")</f>
        <v>12.616666666666667</v>
      </c>
      <c r="L829" s="2" t="s">
        <v>285</v>
      </c>
      <c r="M829" s="33">
        <f>IFERROR(VLOOKUP(TA[[#This Row],[Affected Equipment]],'Basic Data'!$I$2:$K$40,3,0),"")</f>
        <v>1.7241379310344799E-3</v>
      </c>
      <c r="N829">
        <v>-28</v>
      </c>
      <c r="O829" t="s">
        <v>133</v>
      </c>
      <c r="P829" s="114" t="s">
        <v>307</v>
      </c>
      <c r="Q829" s="113" t="s">
        <v>308</v>
      </c>
      <c r="R829">
        <v>7</v>
      </c>
      <c r="S829" s="2">
        <v>32</v>
      </c>
      <c r="T829" t="s">
        <v>286</v>
      </c>
      <c r="U829" t="s">
        <v>291</v>
      </c>
      <c r="V829" t="s">
        <v>289</v>
      </c>
      <c r="W829" s="32"/>
      <c r="X829" s="32"/>
      <c r="Y829" s="26"/>
      <c r="Z829" s="26"/>
      <c r="AA829" s="27">
        <f>IF(TA[[#This Row],[Work Start time on Fault]]="NA","",(TA[[#This Row],[Fault Acknowledgement Time ]]-TA[[#This Row],[Fault Time]])*24)</f>
        <v>0</v>
      </c>
      <c r="AB829" s="27">
        <f>(TA[[#This Row],[Work Start time on Fault]]-TA[[#This Row],[Fault Time]])*24</f>
        <v>0</v>
      </c>
      <c r="AC829" s="26">
        <f>(TA[[#This Row],[Work Completion time on fault]]-TA[[#This Row],[Fault Time]])*24</f>
        <v>0</v>
      </c>
      <c r="AD829" s="27">
        <f>IFERROR((TA[[#This Row],[Work Completion time on fault]]-TA[[#This Row],[Fault Time]])*24,"")</f>
        <v>0</v>
      </c>
      <c r="AE829" t="s">
        <v>319</v>
      </c>
      <c r="AF829" t="s">
        <v>247</v>
      </c>
      <c r="AG829" s="2"/>
      <c r="AH829" s="35">
        <f>1-COS(RADIANS(TA[[#This Row],[Avg. Target Angle during Fault Time (Radians)]]-TA[[#This Row],[Angle of affected equipment ]]))</f>
        <v>0.11705240714107301</v>
      </c>
      <c r="AI829" s="27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43">
        <f t="shared" si="68"/>
        <v>2026</v>
      </c>
      <c r="C830" s="116">
        <f t="shared" si="69"/>
        <v>2025</v>
      </c>
      <c r="D830" s="2" t="s">
        <v>155</v>
      </c>
      <c r="E830" s="2" t="s">
        <v>155</v>
      </c>
      <c r="F830" s="30">
        <v>45778</v>
      </c>
      <c r="G830" s="2">
        <f>DAY(EOMONTH(TA[[#This Row],[Month Year]],0))</f>
        <v>31</v>
      </c>
      <c r="H830" s="21">
        <v>45801</v>
      </c>
      <c r="I830" s="32">
        <f>IFERROR(VLOOKUP(TA[[#This Row],[Date]],Raw_Data[[Date]:[Sunset Time (POA&lt;20 W/m2)]],3,0),"")</f>
        <v>0.25208333333333333</v>
      </c>
      <c r="J830" s="32">
        <f>IFERROR(VLOOKUP(TA[[#This Row],[Date]],Raw_Data[[Date]:[Sunset Time (POA&lt;20 W/m2)]],4,0),"")</f>
        <v>0.77777777777777779</v>
      </c>
      <c r="K830" s="27">
        <f>IFERROR((TA[[#This Row],[Sunset Time (POA&lt;20 W/m2)]]-TA[[#This Row],[Sunrise Time (POA&gt;20 W/m2)]])*24,"")</f>
        <v>12.616666666666667</v>
      </c>
      <c r="L830" s="2" t="s">
        <v>285</v>
      </c>
      <c r="M830" s="33">
        <f>IFERROR(VLOOKUP(TA[[#This Row],[Affected Equipment]],'Basic Data'!$I$2:$K$40,3,0),"")</f>
        <v>1.7241379310344799E-3</v>
      </c>
      <c r="N830">
        <v>-28</v>
      </c>
      <c r="O830" t="s">
        <v>137</v>
      </c>
      <c r="P830" s="114" t="s">
        <v>306</v>
      </c>
      <c r="Q830" s="113" t="s">
        <v>310</v>
      </c>
      <c r="R830">
        <v>166</v>
      </c>
      <c r="S830" s="2">
        <v>91</v>
      </c>
      <c r="T830" t="s">
        <v>286</v>
      </c>
      <c r="U830" t="s">
        <v>291</v>
      </c>
      <c r="V830" t="s">
        <v>289</v>
      </c>
      <c r="W830" s="32"/>
      <c r="X830" s="32"/>
      <c r="Y830" s="26"/>
      <c r="Z830" s="26"/>
      <c r="AA830" s="27">
        <f>IF(TA[[#This Row],[Work Start time on Fault]]="NA","",(TA[[#This Row],[Fault Acknowledgement Time ]]-TA[[#This Row],[Fault Time]])*24)</f>
        <v>0</v>
      </c>
      <c r="AB830" s="27">
        <f>(TA[[#This Row],[Work Start time on Fault]]-TA[[#This Row],[Fault Time]])*24</f>
        <v>0</v>
      </c>
      <c r="AC830" s="26">
        <f>(TA[[#This Row],[Work Completion time on fault]]-TA[[#This Row],[Fault Time]])*24</f>
        <v>0</v>
      </c>
      <c r="AD830" s="27">
        <f>IFERROR((TA[[#This Row],[Work Completion time on fault]]-TA[[#This Row],[Fault Time]])*24,"")</f>
        <v>0</v>
      </c>
      <c r="AE830" t="s">
        <v>319</v>
      </c>
      <c r="AF830" t="s">
        <v>247</v>
      </c>
      <c r="AG830" s="2"/>
      <c r="AH830" s="35">
        <f>1-COS(RADIANS(TA[[#This Row],[Avg. Target Angle during Fault Time (Radians)]]-TA[[#This Row],[Angle of affected equipment ]]))</f>
        <v>0.11705240714107301</v>
      </c>
      <c r="AI830" s="27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43">
        <f t="shared" si="68"/>
        <v>2026</v>
      </c>
      <c r="C831" s="116">
        <f t="shared" si="69"/>
        <v>2025</v>
      </c>
      <c r="D831" s="2" t="s">
        <v>155</v>
      </c>
      <c r="E831" s="2" t="s">
        <v>155</v>
      </c>
      <c r="F831" s="30">
        <v>45778</v>
      </c>
      <c r="G831" s="2">
        <f>DAY(EOMONTH(TA[[#This Row],[Month Year]],0))</f>
        <v>31</v>
      </c>
      <c r="H831" s="21">
        <v>45801</v>
      </c>
      <c r="I831" s="32">
        <f>IFERROR(VLOOKUP(TA[[#This Row],[Date]],Raw_Data[[Date]:[Sunset Time (POA&lt;20 W/m2)]],3,0),"")</f>
        <v>0.25208333333333333</v>
      </c>
      <c r="J831" s="32">
        <f>IFERROR(VLOOKUP(TA[[#This Row],[Date]],Raw_Data[[Date]:[Sunset Time (POA&lt;20 W/m2)]],4,0),"")</f>
        <v>0.77777777777777779</v>
      </c>
      <c r="K831" s="27">
        <f>IFERROR((TA[[#This Row],[Sunset Time (POA&lt;20 W/m2)]]-TA[[#This Row],[Sunrise Time (POA&gt;20 W/m2)]])*24,"")</f>
        <v>12.616666666666667</v>
      </c>
      <c r="L831" s="2" t="s">
        <v>285</v>
      </c>
      <c r="M831" s="33">
        <f>IFERROR(VLOOKUP(TA[[#This Row],[Affected Equipment]],'Basic Data'!$I$2:$K$40,3,0),"")</f>
        <v>1.7241379310344799E-3</v>
      </c>
      <c r="N831">
        <v>-28</v>
      </c>
      <c r="O831" t="s">
        <v>133</v>
      </c>
      <c r="P831" s="114" t="s">
        <v>307</v>
      </c>
      <c r="Q831" s="113" t="s">
        <v>307</v>
      </c>
      <c r="R831">
        <v>117</v>
      </c>
      <c r="S831" s="2">
        <v>20</v>
      </c>
      <c r="T831" t="s">
        <v>286</v>
      </c>
      <c r="U831" t="s">
        <v>291</v>
      </c>
      <c r="V831" t="s">
        <v>289</v>
      </c>
      <c r="W831" s="32"/>
      <c r="X831" s="32"/>
      <c r="Y831" s="26"/>
      <c r="Z831" s="26"/>
      <c r="AA831" s="27">
        <f>IF(TA[[#This Row],[Work Start time on Fault]]="NA","",(TA[[#This Row],[Fault Acknowledgement Time ]]-TA[[#This Row],[Fault Time]])*24)</f>
        <v>0</v>
      </c>
      <c r="AB831" s="27">
        <f>(TA[[#This Row],[Work Start time on Fault]]-TA[[#This Row],[Fault Time]])*24</f>
        <v>0</v>
      </c>
      <c r="AC831" s="26">
        <f>(TA[[#This Row],[Work Completion time on fault]]-TA[[#This Row],[Fault Time]])*24</f>
        <v>0</v>
      </c>
      <c r="AD831" s="27">
        <f>IFERROR((TA[[#This Row],[Work Completion time on fault]]-TA[[#This Row],[Fault Time]])*24,"")</f>
        <v>0</v>
      </c>
      <c r="AE831" t="s">
        <v>319</v>
      </c>
      <c r="AF831" t="s">
        <v>247</v>
      </c>
      <c r="AG831" s="2"/>
      <c r="AH831" s="35">
        <f>1-COS(RADIANS(TA[[#This Row],[Avg. Target Angle during Fault Time (Radians)]]-TA[[#This Row],[Angle of affected equipment ]]))</f>
        <v>0.11705240714107301</v>
      </c>
      <c r="AI831" s="27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43">
        <f t="shared" si="68"/>
        <v>2026</v>
      </c>
      <c r="C832" s="116">
        <f t="shared" si="69"/>
        <v>2025</v>
      </c>
      <c r="D832" s="2" t="s">
        <v>155</v>
      </c>
      <c r="E832" s="2" t="s">
        <v>155</v>
      </c>
      <c r="F832" s="30">
        <v>45778</v>
      </c>
      <c r="G832" s="2">
        <f>DAY(EOMONTH(TA[[#This Row],[Month Year]],0))</f>
        <v>31</v>
      </c>
      <c r="H832" s="21">
        <v>45801</v>
      </c>
      <c r="I832" s="32">
        <f>IFERROR(VLOOKUP(TA[[#This Row],[Date]],Raw_Data[[Date]:[Sunset Time (POA&lt;20 W/m2)]],3,0),"")</f>
        <v>0.25208333333333333</v>
      </c>
      <c r="J832" s="32">
        <f>IFERROR(VLOOKUP(TA[[#This Row],[Date]],Raw_Data[[Date]:[Sunset Time (POA&lt;20 W/m2)]],4,0),"")</f>
        <v>0.77777777777777779</v>
      </c>
      <c r="K832" s="27">
        <f>IFERROR((TA[[#This Row],[Sunset Time (POA&lt;20 W/m2)]]-TA[[#This Row],[Sunrise Time (POA&gt;20 W/m2)]])*24,"")</f>
        <v>12.616666666666667</v>
      </c>
      <c r="L832" s="2" t="s">
        <v>285</v>
      </c>
      <c r="M832" s="33">
        <f>IFERROR(VLOOKUP(TA[[#This Row],[Affected Equipment]],'Basic Data'!$I$2:$K$40,3,0),"")</f>
        <v>1.7241379310344799E-3</v>
      </c>
      <c r="N832">
        <v>-28</v>
      </c>
      <c r="O832" t="s">
        <v>133</v>
      </c>
      <c r="P832" s="114" t="s">
        <v>307</v>
      </c>
      <c r="Q832" s="113" t="s">
        <v>307</v>
      </c>
      <c r="R832">
        <v>118</v>
      </c>
      <c r="S832" s="2">
        <v>22</v>
      </c>
      <c r="T832" t="s">
        <v>286</v>
      </c>
      <c r="U832" t="s">
        <v>291</v>
      </c>
      <c r="V832" t="s">
        <v>289</v>
      </c>
      <c r="W832" s="32"/>
      <c r="X832" s="32"/>
      <c r="Y832" s="26"/>
      <c r="Z832" s="26"/>
      <c r="AA832" s="27">
        <f>IF(TA[[#This Row],[Work Start time on Fault]]="NA","",(TA[[#This Row],[Fault Acknowledgement Time ]]-TA[[#This Row],[Fault Time]])*24)</f>
        <v>0</v>
      </c>
      <c r="AB832" s="27">
        <f>(TA[[#This Row],[Work Start time on Fault]]-TA[[#This Row],[Fault Time]])*24</f>
        <v>0</v>
      </c>
      <c r="AC832" s="26">
        <f>(TA[[#This Row],[Work Completion time on fault]]-TA[[#This Row],[Fault Time]])*24</f>
        <v>0</v>
      </c>
      <c r="AD832" s="27">
        <f>IFERROR((TA[[#This Row],[Work Completion time on fault]]-TA[[#This Row],[Fault Time]])*24,"")</f>
        <v>0</v>
      </c>
      <c r="AE832" t="s">
        <v>319</v>
      </c>
      <c r="AF832" t="s">
        <v>247</v>
      </c>
      <c r="AG832" s="2"/>
      <c r="AH832" s="35">
        <f>1-COS(RADIANS(TA[[#This Row],[Avg. Target Angle during Fault Time (Radians)]]-TA[[#This Row],[Angle of affected equipment ]]))</f>
        <v>0.11705240714107301</v>
      </c>
      <c r="AI832" s="27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43">
        <f t="shared" si="68"/>
        <v>2026</v>
      </c>
      <c r="C833" s="116">
        <f t="shared" si="69"/>
        <v>2025</v>
      </c>
      <c r="D833" s="2" t="s">
        <v>155</v>
      </c>
      <c r="E833" s="2" t="s">
        <v>155</v>
      </c>
      <c r="F833" s="30">
        <v>45778</v>
      </c>
      <c r="G833" s="2">
        <f>DAY(EOMONTH(TA[[#This Row],[Month Year]],0))</f>
        <v>31</v>
      </c>
      <c r="H833" s="21">
        <v>45801</v>
      </c>
      <c r="I833" s="32">
        <f>IFERROR(VLOOKUP(TA[[#This Row],[Date]],Raw_Data[[Date]:[Sunset Time (POA&lt;20 W/m2)]],3,0),"")</f>
        <v>0.25208333333333333</v>
      </c>
      <c r="J833" s="32">
        <f>IFERROR(VLOOKUP(TA[[#This Row],[Date]],Raw_Data[[Date]:[Sunset Time (POA&lt;20 W/m2)]],4,0),"")</f>
        <v>0.77777777777777779</v>
      </c>
      <c r="K833" s="27">
        <f>IFERROR((TA[[#This Row],[Sunset Time (POA&lt;20 W/m2)]]-TA[[#This Row],[Sunrise Time (POA&gt;20 W/m2)]])*24,"")</f>
        <v>12.616666666666667</v>
      </c>
      <c r="L833" s="2" t="s">
        <v>287</v>
      </c>
      <c r="M833" s="33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314</v>
      </c>
      <c r="Q833" s="2" t="s">
        <v>320</v>
      </c>
      <c r="R833">
        <v>45</v>
      </c>
      <c r="S833" s="2">
        <v>8</v>
      </c>
      <c r="T833" t="s">
        <v>288</v>
      </c>
      <c r="U833" t="s">
        <v>291</v>
      </c>
      <c r="V833" t="s">
        <v>292</v>
      </c>
      <c r="W833" s="32"/>
      <c r="X833" s="32"/>
      <c r="Y833" s="26"/>
      <c r="Z833" s="26"/>
      <c r="AA833" s="27">
        <f>IF(TA[[#This Row],[Work Start time on Fault]]="NA","",(TA[[#This Row],[Fault Acknowledgement Time ]]-TA[[#This Row],[Fault Time]])*24)</f>
        <v>0</v>
      </c>
      <c r="AB833" s="27">
        <f>(TA[[#This Row],[Work Start time on Fault]]-TA[[#This Row],[Fault Time]])*24</f>
        <v>0</v>
      </c>
      <c r="AC833" s="26">
        <f>(TA[[#This Row],[Work Completion time on fault]]-TA[[#This Row],[Fault Time]])*24</f>
        <v>0</v>
      </c>
      <c r="AD833" s="27">
        <f>IFERROR((TA[[#This Row],[Work Completion time on fault]]-TA[[#This Row],[Fault Time]])*24,"")</f>
        <v>0</v>
      </c>
      <c r="AE833" t="s">
        <v>319</v>
      </c>
      <c r="AF833" t="s">
        <v>247</v>
      </c>
      <c r="AG833" s="2"/>
      <c r="AH833" s="35">
        <f>1-COS(RADIANS(TA[[#This Row],[Avg. Target Angle during Fault Time (Radians)]]-TA[[#This Row],[Angle of affected equipment ]]))</f>
        <v>0.11705240714107301</v>
      </c>
      <c r="AI833" s="27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43">
        <f t="shared" si="68"/>
        <v>2026</v>
      </c>
      <c r="C834" s="116">
        <f t="shared" si="69"/>
        <v>2025</v>
      </c>
      <c r="D834" s="2" t="s">
        <v>155</v>
      </c>
      <c r="E834" s="2" t="s">
        <v>155</v>
      </c>
      <c r="F834" s="30">
        <v>45778</v>
      </c>
      <c r="G834" s="2">
        <f>DAY(EOMONTH(TA[[#This Row],[Month Year]],0))</f>
        <v>31</v>
      </c>
      <c r="H834" s="21">
        <v>45801</v>
      </c>
      <c r="I834" s="32">
        <f>IFERROR(VLOOKUP(TA[[#This Row],[Date]],Raw_Data[[Date]:[Sunset Time (POA&lt;20 W/m2)]],3,0),"")</f>
        <v>0.25208333333333333</v>
      </c>
      <c r="J834" s="32">
        <f>IFERROR(VLOOKUP(TA[[#This Row],[Date]],Raw_Data[[Date]:[Sunset Time (POA&lt;20 W/m2)]],4,0),"")</f>
        <v>0.77777777777777779</v>
      </c>
      <c r="K834" s="27">
        <f>IFERROR((TA[[#This Row],[Sunset Time (POA&lt;20 W/m2)]]-TA[[#This Row],[Sunrise Time (POA&gt;20 W/m2)]])*24,"")</f>
        <v>12.616666666666667</v>
      </c>
      <c r="L834" s="2" t="s">
        <v>287</v>
      </c>
      <c r="M834" s="33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314</v>
      </c>
      <c r="Q834" s="2" t="s">
        <v>320</v>
      </c>
      <c r="R834">
        <v>47</v>
      </c>
      <c r="S834" s="2">
        <v>18</v>
      </c>
      <c r="T834" t="s">
        <v>288</v>
      </c>
      <c r="U834" t="s">
        <v>291</v>
      </c>
      <c r="V834" t="s">
        <v>292</v>
      </c>
      <c r="W834" s="32"/>
      <c r="X834" s="32"/>
      <c r="Y834" s="26"/>
      <c r="Z834" s="26"/>
      <c r="AA834" s="27">
        <f>IF(TA[[#This Row],[Work Start time on Fault]]="NA","",(TA[[#This Row],[Fault Acknowledgement Time ]]-TA[[#This Row],[Fault Time]])*24)</f>
        <v>0</v>
      </c>
      <c r="AB834" s="27">
        <f>(TA[[#This Row],[Work Start time on Fault]]-TA[[#This Row],[Fault Time]])*24</f>
        <v>0</v>
      </c>
      <c r="AC834" s="26">
        <f>(TA[[#This Row],[Work Completion time on fault]]-TA[[#This Row],[Fault Time]])*24</f>
        <v>0</v>
      </c>
      <c r="AD834" s="27">
        <f>IFERROR((TA[[#This Row],[Work Completion time on fault]]-TA[[#This Row],[Fault Time]])*24,"")</f>
        <v>0</v>
      </c>
      <c r="AE834" t="s">
        <v>319</v>
      </c>
      <c r="AF834" t="s">
        <v>247</v>
      </c>
      <c r="AG834" s="2"/>
      <c r="AH834" s="35">
        <f>1-COS(RADIANS(TA[[#This Row],[Avg. Target Angle during Fault Time (Radians)]]-TA[[#This Row],[Angle of affected equipment ]]))</f>
        <v>0.11705240714107301</v>
      </c>
      <c r="AI834" s="27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43">
        <f t="shared" si="68"/>
        <v>2026</v>
      </c>
      <c r="C835" s="116">
        <f t="shared" si="69"/>
        <v>2025</v>
      </c>
      <c r="D835" s="2" t="s">
        <v>155</v>
      </c>
      <c r="E835" s="2" t="s">
        <v>155</v>
      </c>
      <c r="F835" s="30">
        <v>45778</v>
      </c>
      <c r="G835" s="2">
        <f>DAY(EOMONTH(TA[[#This Row],[Month Year]],0))</f>
        <v>31</v>
      </c>
      <c r="H835" s="21">
        <v>45801</v>
      </c>
      <c r="I835" s="32">
        <f>IFERROR(VLOOKUP(TA[[#This Row],[Date]],Raw_Data[[Date]:[Sunset Time (POA&lt;20 W/m2)]],3,0),"")</f>
        <v>0.25208333333333333</v>
      </c>
      <c r="J835" s="32">
        <f>IFERROR(VLOOKUP(TA[[#This Row],[Date]],Raw_Data[[Date]:[Sunset Time (POA&lt;20 W/m2)]],4,0),"")</f>
        <v>0.77777777777777779</v>
      </c>
      <c r="K835" s="27">
        <f>IFERROR((TA[[#This Row],[Sunset Time (POA&lt;20 W/m2)]]-TA[[#This Row],[Sunrise Time (POA&gt;20 W/m2)]])*24,"")</f>
        <v>12.616666666666667</v>
      </c>
      <c r="L835" s="2" t="s">
        <v>287</v>
      </c>
      <c r="M835" s="33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321</v>
      </c>
      <c r="Q835" s="2" t="s">
        <v>314</v>
      </c>
      <c r="R835">
        <v>30</v>
      </c>
      <c r="S835" s="2">
        <v>57</v>
      </c>
      <c r="T835" t="s">
        <v>288</v>
      </c>
      <c r="U835" t="s">
        <v>291</v>
      </c>
      <c r="V835" t="s">
        <v>292</v>
      </c>
      <c r="W835" s="32"/>
      <c r="X835" s="32"/>
      <c r="Y835" s="26"/>
      <c r="Z835" s="26"/>
      <c r="AA835" s="27">
        <f>IF(TA[[#This Row],[Work Start time on Fault]]="NA","",(TA[[#This Row],[Fault Acknowledgement Time ]]-TA[[#This Row],[Fault Time]])*24)</f>
        <v>0</v>
      </c>
      <c r="AB835" s="27">
        <f>(TA[[#This Row],[Work Start time on Fault]]-TA[[#This Row],[Fault Time]])*24</f>
        <v>0</v>
      </c>
      <c r="AC835" s="26">
        <f>(TA[[#This Row],[Work Completion time on fault]]-TA[[#This Row],[Fault Time]])*24</f>
        <v>0</v>
      </c>
      <c r="AD835" s="27">
        <f>IFERROR((TA[[#This Row],[Work Completion time on fault]]-TA[[#This Row],[Fault Time]])*24,"")</f>
        <v>0</v>
      </c>
      <c r="AE835" t="s">
        <v>319</v>
      </c>
      <c r="AF835" t="s">
        <v>247</v>
      </c>
      <c r="AG835" s="2"/>
      <c r="AH835" s="35">
        <f>1-COS(RADIANS(TA[[#This Row],[Avg. Target Angle during Fault Time (Radians)]]-TA[[#This Row],[Angle of affected equipment ]]))</f>
        <v>0.11705240714107301</v>
      </c>
      <c r="AI835" s="27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43">
        <f t="shared" si="68"/>
        <v>2026</v>
      </c>
      <c r="C836" s="116">
        <f t="shared" si="69"/>
        <v>2025</v>
      </c>
      <c r="D836" s="2" t="s">
        <v>155</v>
      </c>
      <c r="E836" s="2" t="s">
        <v>155</v>
      </c>
      <c r="F836" s="30">
        <v>45778</v>
      </c>
      <c r="G836" s="2">
        <f>DAY(EOMONTH(TA[[#This Row],[Month Year]],0))</f>
        <v>31</v>
      </c>
      <c r="H836" s="21">
        <v>45801</v>
      </c>
      <c r="I836" s="32">
        <f>IFERROR(VLOOKUP(TA[[#This Row],[Date]],Raw_Data[[Date]:[Sunset Time (POA&lt;20 W/m2)]],3,0),"")</f>
        <v>0.25208333333333333</v>
      </c>
      <c r="J836" s="32">
        <f>IFERROR(VLOOKUP(TA[[#This Row],[Date]],Raw_Data[[Date]:[Sunset Time (POA&lt;20 W/m2)]],4,0),"")</f>
        <v>0.77777777777777779</v>
      </c>
      <c r="K836" s="27">
        <f>IFERROR((TA[[#This Row],[Sunset Time (POA&lt;20 W/m2)]]-TA[[#This Row],[Sunrise Time (POA&gt;20 W/m2)]])*24,"")</f>
        <v>12.616666666666667</v>
      </c>
      <c r="L836" s="2" t="s">
        <v>287</v>
      </c>
      <c r="M836" s="33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321</v>
      </c>
      <c r="Q836" s="2" t="s">
        <v>314</v>
      </c>
      <c r="R836">
        <v>31</v>
      </c>
      <c r="S836" s="2">
        <v>61</v>
      </c>
      <c r="T836" t="s">
        <v>288</v>
      </c>
      <c r="U836" t="s">
        <v>291</v>
      </c>
      <c r="V836" t="s">
        <v>292</v>
      </c>
      <c r="W836" s="32"/>
      <c r="X836" s="32"/>
      <c r="Y836" s="26"/>
      <c r="Z836" s="26"/>
      <c r="AA836" s="27">
        <f>IF(TA[[#This Row],[Work Start time on Fault]]="NA","",(TA[[#This Row],[Fault Acknowledgement Time ]]-TA[[#This Row],[Fault Time]])*24)</f>
        <v>0</v>
      </c>
      <c r="AB836" s="27">
        <f>(TA[[#This Row],[Work Start time on Fault]]-TA[[#This Row],[Fault Time]])*24</f>
        <v>0</v>
      </c>
      <c r="AC836" s="26">
        <f>(TA[[#This Row],[Work Completion time on fault]]-TA[[#This Row],[Fault Time]])*24</f>
        <v>0</v>
      </c>
      <c r="AD836" s="27">
        <f>IFERROR((TA[[#This Row],[Work Completion time on fault]]-TA[[#This Row],[Fault Time]])*24,"")</f>
        <v>0</v>
      </c>
      <c r="AE836" t="s">
        <v>319</v>
      </c>
      <c r="AF836" t="s">
        <v>247</v>
      </c>
      <c r="AG836" s="2"/>
      <c r="AH836" s="35">
        <f>1-COS(RADIANS(TA[[#This Row],[Avg. Target Angle during Fault Time (Radians)]]-TA[[#This Row],[Angle of affected equipment ]]))</f>
        <v>0.11705240714107301</v>
      </c>
      <c r="AI836" s="27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43">
        <f t="shared" si="68"/>
        <v>2026</v>
      </c>
      <c r="C837" s="116">
        <f t="shared" si="69"/>
        <v>2025</v>
      </c>
      <c r="D837" s="2" t="s">
        <v>155</v>
      </c>
      <c r="E837" s="2" t="s">
        <v>155</v>
      </c>
      <c r="F837" s="30">
        <v>45778</v>
      </c>
      <c r="G837" s="2">
        <f>DAY(EOMONTH(TA[[#This Row],[Month Year]],0))</f>
        <v>31</v>
      </c>
      <c r="H837" s="21">
        <v>45801</v>
      </c>
      <c r="I837" s="32">
        <f>IFERROR(VLOOKUP(TA[[#This Row],[Date]],Raw_Data[[Date]:[Sunset Time (POA&lt;20 W/m2)]],3,0),"")</f>
        <v>0.25208333333333333</v>
      </c>
      <c r="J837" s="32">
        <f>IFERROR(VLOOKUP(TA[[#This Row],[Date]],Raw_Data[[Date]:[Sunset Time (POA&lt;20 W/m2)]],4,0),"")</f>
        <v>0.77777777777777779</v>
      </c>
      <c r="K837" s="27">
        <f>IFERROR((TA[[#This Row],[Sunset Time (POA&lt;20 W/m2)]]-TA[[#This Row],[Sunrise Time (POA&gt;20 W/m2)]])*24,"")</f>
        <v>12.616666666666667</v>
      </c>
      <c r="L837" s="2" t="s">
        <v>303</v>
      </c>
      <c r="M837" s="33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321</v>
      </c>
      <c r="Q837" s="2" t="s">
        <v>314</v>
      </c>
      <c r="R837">
        <v>26</v>
      </c>
      <c r="S837" s="2">
        <v>37</v>
      </c>
      <c r="T837" t="s">
        <v>288</v>
      </c>
      <c r="U837" t="s">
        <v>291</v>
      </c>
      <c r="V837" t="s">
        <v>292</v>
      </c>
      <c r="W837" s="32"/>
      <c r="X837" s="32"/>
      <c r="Y837" s="26"/>
      <c r="Z837" s="26"/>
      <c r="AA837" s="27">
        <f>IF(TA[[#This Row],[Work Start time on Fault]]="NA","",(TA[[#This Row],[Fault Acknowledgement Time ]]-TA[[#This Row],[Fault Time]])*24)</f>
        <v>0</v>
      </c>
      <c r="AB837" s="27">
        <f>(TA[[#This Row],[Work Start time on Fault]]-TA[[#This Row],[Fault Time]])*24</f>
        <v>0</v>
      </c>
      <c r="AC837" s="26">
        <f>(TA[[#This Row],[Work Completion time on fault]]-TA[[#This Row],[Fault Time]])*24</f>
        <v>0</v>
      </c>
      <c r="AD837" s="27">
        <f>IFERROR((TA[[#This Row],[Work Completion time on fault]]-TA[[#This Row],[Fault Time]])*24,"")</f>
        <v>0</v>
      </c>
      <c r="AE837" t="s">
        <v>319</v>
      </c>
      <c r="AF837" t="s">
        <v>247</v>
      </c>
      <c r="AG837" s="2"/>
      <c r="AH837" s="35">
        <f>1-COS(RADIANS(TA[[#This Row],[Avg. Target Angle during Fault Time (Radians)]]-TA[[#This Row],[Angle of affected equipment ]]))</f>
        <v>0.11705240714107301</v>
      </c>
      <c r="AI837" s="27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43">
        <f t="shared" si="68"/>
        <v>2026</v>
      </c>
      <c r="C838" s="116">
        <f t="shared" si="69"/>
        <v>2025</v>
      </c>
      <c r="D838" s="2" t="s">
        <v>155</v>
      </c>
      <c r="E838" s="2" t="s">
        <v>155</v>
      </c>
      <c r="F838" s="30">
        <v>45778</v>
      </c>
      <c r="G838" s="2">
        <f>DAY(EOMONTH(TA[[#This Row],[Month Year]],0))</f>
        <v>31</v>
      </c>
      <c r="H838" s="21">
        <v>45801</v>
      </c>
      <c r="I838" s="32">
        <f>IFERROR(VLOOKUP(TA[[#This Row],[Date]],Raw_Data[[Date]:[Sunset Time (POA&lt;20 W/m2)]],3,0),"")</f>
        <v>0.25208333333333333</v>
      </c>
      <c r="J838" s="32">
        <f>IFERROR(VLOOKUP(TA[[#This Row],[Date]],Raw_Data[[Date]:[Sunset Time (POA&lt;20 W/m2)]],4,0),"")</f>
        <v>0.77777777777777779</v>
      </c>
      <c r="K838" s="27">
        <f>IFERROR((TA[[#This Row],[Sunset Time (POA&lt;20 W/m2)]]-TA[[#This Row],[Sunrise Time (POA&gt;20 W/m2)]])*24,"")</f>
        <v>12.616666666666667</v>
      </c>
      <c r="L838" s="2" t="s">
        <v>303</v>
      </c>
      <c r="M838" s="33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321</v>
      </c>
      <c r="Q838" s="2" t="s">
        <v>314</v>
      </c>
      <c r="R838">
        <v>27</v>
      </c>
      <c r="S838" s="2">
        <v>42</v>
      </c>
      <c r="T838" t="s">
        <v>288</v>
      </c>
      <c r="U838" t="s">
        <v>291</v>
      </c>
      <c r="V838" t="s">
        <v>292</v>
      </c>
      <c r="W838" s="32">
        <f>IFERROR(VLOOKUP(TA[[#This Row],[Date]],Raw_Data[[Date]:[Sunset Time (POA&lt;20 W/m2)]],3,0),"")</f>
        <v>0.25208333333333333</v>
      </c>
      <c r="X838" s="32">
        <f>IFERROR(VLOOKUP(TA[[#This Row],[Date]],Raw_Data[[Date]:[Sunset Time (POA&lt;20 W/m2)]],3,0),"")</f>
        <v>0.25208333333333333</v>
      </c>
      <c r="Y838" s="26"/>
      <c r="Z838" s="26">
        <v>0.76041666666666663</v>
      </c>
      <c r="AA838" s="27">
        <f>IF(TA[[#This Row],[Work Start time on Fault]]="NA","",(TA[[#This Row],[Fault Acknowledgement Time ]]-TA[[#This Row],[Fault Time]])*24)</f>
        <v>0</v>
      </c>
      <c r="AB838" s="27">
        <f>(TA[[#This Row],[Work Start time on Fault]]-TA[[#This Row],[Fault Time]])*24</f>
        <v>-6.05</v>
      </c>
      <c r="AC838" s="26">
        <f>(TA[[#This Row],[Work Completion time on fault]]-TA[[#This Row],[Fault Time]])*24</f>
        <v>12.2</v>
      </c>
      <c r="AD838" s="27">
        <f>IFERROR((TA[[#This Row],[Work Completion time on fault]]-TA[[#This Row],[Fault Time]])*24,"")</f>
        <v>12.2</v>
      </c>
      <c r="AE838" t="s">
        <v>300</v>
      </c>
      <c r="AF838" t="s">
        <v>247</v>
      </c>
      <c r="AG838" s="2"/>
      <c r="AH838" s="35">
        <f>1-COS(RADIANS(TA[[#This Row],[Avg. Target Angle during Fault Time (Radians)]]-TA[[#This Row],[Angle of affected equipment ]]))</f>
        <v>0.11705240714107301</v>
      </c>
      <c r="AI838" s="27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43">
        <f t="shared" ref="B839:B852" si="70">YEAR(H839)+IF(MONTH(H839)&gt;=4,1,0)</f>
        <v>2026</v>
      </c>
      <c r="C839" s="116">
        <f t="shared" ref="C839:C852" si="71">YEAR(H839)</f>
        <v>2025</v>
      </c>
      <c r="D839" s="2" t="s">
        <v>155</v>
      </c>
      <c r="E839" s="2" t="s">
        <v>155</v>
      </c>
      <c r="F839" s="30">
        <v>45778</v>
      </c>
      <c r="G839" s="2">
        <f>DAY(EOMONTH(TA[[#This Row],[Month Year]],0))</f>
        <v>31</v>
      </c>
      <c r="H839" s="21">
        <v>45802</v>
      </c>
      <c r="I839" s="32">
        <f>IFERROR(VLOOKUP(TA[[#This Row],[Date]],Raw_Data[[Date]:[Sunset Time (POA&lt;20 W/m2)]],3,0),"")</f>
        <v>0.24861111111111112</v>
      </c>
      <c r="J839" s="32">
        <f>IFERROR(VLOOKUP(TA[[#This Row],[Date]],Raw_Data[[Date]:[Sunset Time (POA&lt;20 W/m2)]],4,0),"")</f>
        <v>0.77708333333333335</v>
      </c>
      <c r="K839" s="27">
        <f>IFERROR((TA[[#This Row],[Sunset Time (POA&lt;20 W/m2)]]-TA[[#This Row],[Sunrise Time (POA&gt;20 W/m2)]])*24,"")</f>
        <v>12.683333333333334</v>
      </c>
      <c r="L839" s="2" t="s">
        <v>285</v>
      </c>
      <c r="M839" s="33">
        <f>IFERROR(VLOOKUP(TA[[#This Row],[Affected Equipment]],'Basic Data'!$I$2:$K$40,3,0),"")</f>
        <v>1.7241379310344799E-3</v>
      </c>
      <c r="N839">
        <v>-28</v>
      </c>
      <c r="O839" t="s">
        <v>135</v>
      </c>
      <c r="P839" s="114" t="s">
        <v>309</v>
      </c>
      <c r="Q839" s="113" t="s">
        <v>309</v>
      </c>
      <c r="R839">
        <v>130</v>
      </c>
      <c r="S839" s="2">
        <v>37</v>
      </c>
      <c r="T839" t="s">
        <v>286</v>
      </c>
      <c r="U839" t="s">
        <v>291</v>
      </c>
      <c r="V839" t="s">
        <v>289</v>
      </c>
      <c r="W839" s="32"/>
      <c r="X839" s="32"/>
      <c r="Y839" s="26"/>
      <c r="Z839" s="26"/>
      <c r="AA839" s="27">
        <f>IF(TA[[#This Row],[Work Start time on Fault]]="NA","",(TA[[#This Row],[Fault Acknowledgement Time ]]-TA[[#This Row],[Fault Time]])*24)</f>
        <v>0</v>
      </c>
      <c r="AB839" s="27">
        <f>(TA[[#This Row],[Work Start time on Fault]]-TA[[#This Row],[Fault Time]])*24</f>
        <v>0</v>
      </c>
      <c r="AC839" s="26">
        <f>(TA[[#This Row],[Work Completion time on fault]]-TA[[#This Row],[Fault Time]])*24</f>
        <v>0</v>
      </c>
      <c r="AD839" s="27">
        <f>IFERROR((TA[[#This Row],[Work Completion time on fault]]-TA[[#This Row],[Fault Time]])*24,"")</f>
        <v>0</v>
      </c>
      <c r="AE839" t="s">
        <v>319</v>
      </c>
      <c r="AF839" t="s">
        <v>247</v>
      </c>
      <c r="AG839" s="2"/>
      <c r="AH839" s="35">
        <f>1-COS(RADIANS(TA[[#This Row],[Avg. Target Angle during Fault Time (Radians)]]-TA[[#This Row],[Angle of affected equipment ]]))</f>
        <v>0.11705240714107301</v>
      </c>
      <c r="AI839" s="27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43">
        <f t="shared" si="70"/>
        <v>2026</v>
      </c>
      <c r="C840" s="116">
        <f t="shared" si="71"/>
        <v>2025</v>
      </c>
      <c r="D840" s="2" t="s">
        <v>155</v>
      </c>
      <c r="E840" s="2" t="s">
        <v>155</v>
      </c>
      <c r="F840" s="30">
        <v>45778</v>
      </c>
      <c r="G840" s="2">
        <f>DAY(EOMONTH(TA[[#This Row],[Month Year]],0))</f>
        <v>31</v>
      </c>
      <c r="H840" s="21">
        <v>45802</v>
      </c>
      <c r="I840" s="32">
        <f>IFERROR(VLOOKUP(TA[[#This Row],[Date]],Raw_Data[[Date]:[Sunset Time (POA&lt;20 W/m2)]],3,0),"")</f>
        <v>0.24861111111111112</v>
      </c>
      <c r="J840" s="32">
        <f>IFERROR(VLOOKUP(TA[[#This Row],[Date]],Raw_Data[[Date]:[Sunset Time (POA&lt;20 W/m2)]],4,0),"")</f>
        <v>0.77708333333333335</v>
      </c>
      <c r="K840" s="27">
        <f>IFERROR((TA[[#This Row],[Sunset Time (POA&lt;20 W/m2)]]-TA[[#This Row],[Sunrise Time (POA&gt;20 W/m2)]])*24,"")</f>
        <v>12.683333333333334</v>
      </c>
      <c r="L840" s="2" t="s">
        <v>285</v>
      </c>
      <c r="M840" s="33">
        <f>IFERROR(VLOOKUP(TA[[#This Row],[Affected Equipment]],'Basic Data'!$I$2:$K$40,3,0),"")</f>
        <v>1.7241379310344799E-3</v>
      </c>
      <c r="N840">
        <v>-28</v>
      </c>
      <c r="O840" t="s">
        <v>135</v>
      </c>
      <c r="P840" s="114" t="s">
        <v>309</v>
      </c>
      <c r="Q840" s="113" t="s">
        <v>309</v>
      </c>
      <c r="R840">
        <v>131</v>
      </c>
      <c r="S840" s="2">
        <v>38</v>
      </c>
      <c r="T840" t="s">
        <v>286</v>
      </c>
      <c r="U840" t="s">
        <v>291</v>
      </c>
      <c r="V840" t="s">
        <v>289</v>
      </c>
      <c r="W840" s="32"/>
      <c r="X840" s="32"/>
      <c r="Y840" s="26"/>
      <c r="Z840" s="26"/>
      <c r="AA840" s="27">
        <f>IF(TA[[#This Row],[Work Start time on Fault]]="NA","",(TA[[#This Row],[Fault Acknowledgement Time ]]-TA[[#This Row],[Fault Time]])*24)</f>
        <v>0</v>
      </c>
      <c r="AB840" s="27">
        <f>(TA[[#This Row],[Work Start time on Fault]]-TA[[#This Row],[Fault Time]])*24</f>
        <v>0</v>
      </c>
      <c r="AC840" s="26">
        <f>(TA[[#This Row],[Work Completion time on fault]]-TA[[#This Row],[Fault Time]])*24</f>
        <v>0</v>
      </c>
      <c r="AD840" s="27">
        <f>IFERROR((TA[[#This Row],[Work Completion time on fault]]-TA[[#This Row],[Fault Time]])*24,"")</f>
        <v>0</v>
      </c>
      <c r="AE840" t="s">
        <v>319</v>
      </c>
      <c r="AF840" t="s">
        <v>247</v>
      </c>
      <c r="AG840" s="2"/>
      <c r="AH840" s="35">
        <f>1-COS(RADIANS(TA[[#This Row],[Avg. Target Angle during Fault Time (Radians)]]-TA[[#This Row],[Angle of affected equipment ]]))</f>
        <v>0.11705240714107301</v>
      </c>
      <c r="AI840" s="27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43">
        <f t="shared" si="70"/>
        <v>2026</v>
      </c>
      <c r="C841" s="116">
        <f t="shared" si="71"/>
        <v>2025</v>
      </c>
      <c r="D841" s="2" t="s">
        <v>155</v>
      </c>
      <c r="E841" s="2" t="s">
        <v>155</v>
      </c>
      <c r="F841" s="30">
        <v>45778</v>
      </c>
      <c r="G841" s="2">
        <f>DAY(EOMONTH(TA[[#This Row],[Month Year]],0))</f>
        <v>31</v>
      </c>
      <c r="H841" s="21">
        <v>45802</v>
      </c>
      <c r="I841" s="32">
        <f>IFERROR(VLOOKUP(TA[[#This Row],[Date]],Raw_Data[[Date]:[Sunset Time (POA&lt;20 W/m2)]],3,0),"")</f>
        <v>0.24861111111111112</v>
      </c>
      <c r="J841" s="32">
        <f>IFERROR(VLOOKUP(TA[[#This Row],[Date]],Raw_Data[[Date]:[Sunset Time (POA&lt;20 W/m2)]],4,0),"")</f>
        <v>0.77708333333333335</v>
      </c>
      <c r="K841" s="27">
        <f>IFERROR((TA[[#This Row],[Sunset Time (POA&lt;20 W/m2)]]-TA[[#This Row],[Sunrise Time (POA&gt;20 W/m2)]])*24,"")</f>
        <v>12.683333333333334</v>
      </c>
      <c r="L841" s="2" t="s">
        <v>285</v>
      </c>
      <c r="M841" s="33">
        <f>IFERROR(VLOOKUP(TA[[#This Row],[Affected Equipment]],'Basic Data'!$I$2:$K$40,3,0),"")</f>
        <v>1.7241379310344799E-3</v>
      </c>
      <c r="N841">
        <v>-28</v>
      </c>
      <c r="O841" t="s">
        <v>135</v>
      </c>
      <c r="P841" s="114" t="s">
        <v>309</v>
      </c>
      <c r="Q841" s="113" t="s">
        <v>309</v>
      </c>
      <c r="R841">
        <v>131</v>
      </c>
      <c r="S841" s="2">
        <v>39</v>
      </c>
      <c r="T841" t="s">
        <v>286</v>
      </c>
      <c r="U841" t="s">
        <v>291</v>
      </c>
      <c r="V841" t="s">
        <v>289</v>
      </c>
      <c r="W841" s="32"/>
      <c r="X841" s="32"/>
      <c r="Y841" s="26"/>
      <c r="Z841" s="26"/>
      <c r="AA841" s="27">
        <f>IF(TA[[#This Row],[Work Start time on Fault]]="NA","",(TA[[#This Row],[Fault Acknowledgement Time ]]-TA[[#This Row],[Fault Time]])*24)</f>
        <v>0</v>
      </c>
      <c r="AB841" s="27">
        <f>(TA[[#This Row],[Work Start time on Fault]]-TA[[#This Row],[Fault Time]])*24</f>
        <v>0</v>
      </c>
      <c r="AC841" s="26">
        <f>(TA[[#This Row],[Work Completion time on fault]]-TA[[#This Row],[Fault Time]])*24</f>
        <v>0</v>
      </c>
      <c r="AD841" s="27">
        <f>IFERROR((TA[[#This Row],[Work Completion time on fault]]-TA[[#This Row],[Fault Time]])*24,"")</f>
        <v>0</v>
      </c>
      <c r="AE841" t="s">
        <v>319</v>
      </c>
      <c r="AF841" t="s">
        <v>247</v>
      </c>
      <c r="AG841" s="2"/>
      <c r="AH841" s="35">
        <f>1-COS(RADIANS(TA[[#This Row],[Avg. Target Angle during Fault Time (Radians)]]-TA[[#This Row],[Angle of affected equipment ]]))</f>
        <v>0.11705240714107301</v>
      </c>
      <c r="AI841" s="27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43">
        <f t="shared" si="70"/>
        <v>2026</v>
      </c>
      <c r="C842" s="116">
        <f t="shared" si="71"/>
        <v>2025</v>
      </c>
      <c r="D842" s="2" t="s">
        <v>155</v>
      </c>
      <c r="E842" s="2" t="s">
        <v>155</v>
      </c>
      <c r="F842" s="30">
        <v>45778</v>
      </c>
      <c r="G842" s="2">
        <f>DAY(EOMONTH(TA[[#This Row],[Month Year]],0))</f>
        <v>31</v>
      </c>
      <c r="H842" s="21">
        <v>45802</v>
      </c>
      <c r="I842" s="32">
        <f>IFERROR(VLOOKUP(TA[[#This Row],[Date]],Raw_Data[[Date]:[Sunset Time (POA&lt;20 W/m2)]],3,0),"")</f>
        <v>0.24861111111111112</v>
      </c>
      <c r="J842" s="32">
        <f>IFERROR(VLOOKUP(TA[[#This Row],[Date]],Raw_Data[[Date]:[Sunset Time (POA&lt;20 W/m2)]],4,0),"")</f>
        <v>0.77708333333333335</v>
      </c>
      <c r="K842" s="27">
        <f>IFERROR((TA[[#This Row],[Sunset Time (POA&lt;20 W/m2)]]-TA[[#This Row],[Sunrise Time (POA&gt;20 W/m2)]])*24,"")</f>
        <v>12.683333333333334</v>
      </c>
      <c r="L842" s="2" t="s">
        <v>287</v>
      </c>
      <c r="M842" s="33">
        <f>IFERROR(VLOOKUP(TA[[#This Row],[Affected Equipment]],'Basic Data'!$I$2:$K$40,3,0),"")</f>
        <v>8.6206896551724102E-3</v>
      </c>
      <c r="N842">
        <v>-28</v>
      </c>
      <c r="O842" t="s">
        <v>135</v>
      </c>
      <c r="P842" s="114" t="s">
        <v>309</v>
      </c>
      <c r="Q842" s="2" t="s">
        <v>312</v>
      </c>
      <c r="R842">
        <v>133</v>
      </c>
      <c r="S842" s="2">
        <v>26</v>
      </c>
      <c r="T842" t="s">
        <v>288</v>
      </c>
      <c r="U842" t="s">
        <v>291</v>
      </c>
      <c r="V842" t="s">
        <v>305</v>
      </c>
      <c r="W842" s="32">
        <f>IFERROR(VLOOKUP(TA[[#This Row],[Date]],Raw_Data[[Date]:[Sunset Time (POA&lt;20 W/m2)]],3,0),"")</f>
        <v>0.24861111111111112</v>
      </c>
      <c r="X842" s="32">
        <f>IFERROR(VLOOKUP(TA[[#This Row],[Date]],Raw_Data[[Date]:[Sunset Time (POA&lt;20 W/m2)]],3,0),"")</f>
        <v>0.24861111111111112</v>
      </c>
      <c r="Y842" s="26"/>
      <c r="Z842" s="26">
        <v>0.76041666666666663</v>
      </c>
      <c r="AA842" s="27">
        <f>IF(TA[[#This Row],[Work Start time on Fault]]="NA","",(TA[[#This Row],[Fault Acknowledgement Time ]]-TA[[#This Row],[Fault Time]])*24)</f>
        <v>0</v>
      </c>
      <c r="AB842" s="27">
        <f>(TA[[#This Row],[Work Start time on Fault]]-TA[[#This Row],[Fault Time]])*24</f>
        <v>-5.9666666666666668</v>
      </c>
      <c r="AC842" s="26">
        <f>(TA[[#This Row],[Work Completion time on fault]]-TA[[#This Row],[Fault Time]])*24</f>
        <v>12.283333333333331</v>
      </c>
      <c r="AD842" s="27">
        <f>IFERROR((TA[[#This Row],[Work Completion time on fault]]-TA[[#This Row],[Fault Time]])*24,"")</f>
        <v>12.283333333333331</v>
      </c>
      <c r="AE842" t="s">
        <v>319</v>
      </c>
      <c r="AF842" t="s">
        <v>247</v>
      </c>
      <c r="AG842" s="2"/>
      <c r="AH842" s="35">
        <f>1-COS(RADIANS(TA[[#This Row],[Avg. Target Angle during Fault Time (Radians)]]-TA[[#This Row],[Angle of affected equipment ]]))</f>
        <v>0.11705240714107301</v>
      </c>
      <c r="AI842" s="27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43">
        <f t="shared" si="70"/>
        <v>2026</v>
      </c>
      <c r="C843" s="116">
        <f t="shared" si="71"/>
        <v>2025</v>
      </c>
      <c r="D843" s="2" t="s">
        <v>155</v>
      </c>
      <c r="E843" s="2" t="s">
        <v>155</v>
      </c>
      <c r="F843" s="30">
        <v>45778</v>
      </c>
      <c r="G843" s="2">
        <f>DAY(EOMONTH(TA[[#This Row],[Month Year]],0))</f>
        <v>31</v>
      </c>
      <c r="H843" s="21">
        <v>45802</v>
      </c>
      <c r="I843" s="32">
        <f>IFERROR(VLOOKUP(TA[[#This Row],[Date]],Raw_Data[[Date]:[Sunset Time (POA&lt;20 W/m2)]],3,0),"")</f>
        <v>0.24861111111111112</v>
      </c>
      <c r="J843" s="32">
        <f>IFERROR(VLOOKUP(TA[[#This Row],[Date]],Raw_Data[[Date]:[Sunset Time (POA&lt;20 W/m2)]],4,0),"")</f>
        <v>0.77708333333333335</v>
      </c>
      <c r="K843" s="27">
        <f>IFERROR((TA[[#This Row],[Sunset Time (POA&lt;20 W/m2)]]-TA[[#This Row],[Sunrise Time (POA&gt;20 W/m2)]])*24,"")</f>
        <v>12.683333333333334</v>
      </c>
      <c r="L843" s="2" t="s">
        <v>285</v>
      </c>
      <c r="M843" s="33">
        <f>IFERROR(VLOOKUP(TA[[#This Row],[Affected Equipment]],'Basic Data'!$I$2:$K$40,3,0),"")</f>
        <v>1.7241379310344799E-3</v>
      </c>
      <c r="N843">
        <v>-28</v>
      </c>
      <c r="O843" t="s">
        <v>133</v>
      </c>
      <c r="P843" s="114" t="s">
        <v>307</v>
      </c>
      <c r="Q843" s="113" t="s">
        <v>308</v>
      </c>
      <c r="R843">
        <v>7</v>
      </c>
      <c r="S843" s="2">
        <v>32</v>
      </c>
      <c r="T843" t="s">
        <v>286</v>
      </c>
      <c r="U843" t="s">
        <v>291</v>
      </c>
      <c r="V843" t="s">
        <v>289</v>
      </c>
      <c r="W843" s="32"/>
      <c r="X843" s="32"/>
      <c r="Y843" s="26"/>
      <c r="Z843" s="26"/>
      <c r="AA843" s="27">
        <f>IF(TA[[#This Row],[Work Start time on Fault]]="NA","",(TA[[#This Row],[Fault Acknowledgement Time ]]-TA[[#This Row],[Fault Time]])*24)</f>
        <v>0</v>
      </c>
      <c r="AB843" s="27">
        <f>(TA[[#This Row],[Work Start time on Fault]]-TA[[#This Row],[Fault Time]])*24</f>
        <v>0</v>
      </c>
      <c r="AC843" s="26">
        <f>(TA[[#This Row],[Work Completion time on fault]]-TA[[#This Row],[Fault Time]])*24</f>
        <v>0</v>
      </c>
      <c r="AD843" s="27">
        <f>IFERROR((TA[[#This Row],[Work Completion time on fault]]-TA[[#This Row],[Fault Time]])*24,"")</f>
        <v>0</v>
      </c>
      <c r="AE843" t="s">
        <v>319</v>
      </c>
      <c r="AF843" t="s">
        <v>247</v>
      </c>
      <c r="AG843" s="2"/>
      <c r="AH843" s="35">
        <f>1-COS(RADIANS(TA[[#This Row],[Avg. Target Angle during Fault Time (Radians)]]-TA[[#This Row],[Angle of affected equipment ]]))</f>
        <v>0.11705240714107301</v>
      </c>
      <c r="AI843" s="27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43">
        <f t="shared" si="70"/>
        <v>2026</v>
      </c>
      <c r="C844" s="116">
        <f t="shared" si="71"/>
        <v>2025</v>
      </c>
      <c r="D844" s="2" t="s">
        <v>155</v>
      </c>
      <c r="E844" s="2" t="s">
        <v>155</v>
      </c>
      <c r="F844" s="30">
        <v>45778</v>
      </c>
      <c r="G844" s="2">
        <f>DAY(EOMONTH(TA[[#This Row],[Month Year]],0))</f>
        <v>31</v>
      </c>
      <c r="H844" s="21">
        <v>45802</v>
      </c>
      <c r="I844" s="32">
        <f>IFERROR(VLOOKUP(TA[[#This Row],[Date]],Raw_Data[[Date]:[Sunset Time (POA&lt;20 W/m2)]],3,0),"")</f>
        <v>0.24861111111111112</v>
      </c>
      <c r="J844" s="32">
        <f>IFERROR(VLOOKUP(TA[[#This Row],[Date]],Raw_Data[[Date]:[Sunset Time (POA&lt;20 W/m2)]],4,0),"")</f>
        <v>0.77708333333333335</v>
      </c>
      <c r="K844" s="27">
        <f>IFERROR((TA[[#This Row],[Sunset Time (POA&lt;20 W/m2)]]-TA[[#This Row],[Sunrise Time (POA&gt;20 W/m2)]])*24,"")</f>
        <v>12.683333333333334</v>
      </c>
      <c r="L844" s="2" t="s">
        <v>285</v>
      </c>
      <c r="M844" s="33">
        <f>IFERROR(VLOOKUP(TA[[#This Row],[Affected Equipment]],'Basic Data'!$I$2:$K$40,3,0),"")</f>
        <v>1.7241379310344799E-3</v>
      </c>
      <c r="N844">
        <v>-28</v>
      </c>
      <c r="O844" t="s">
        <v>137</v>
      </c>
      <c r="P844" s="114" t="s">
        <v>306</v>
      </c>
      <c r="Q844" s="113" t="s">
        <v>310</v>
      </c>
      <c r="R844">
        <v>166</v>
      </c>
      <c r="S844" s="2">
        <v>91</v>
      </c>
      <c r="T844" t="s">
        <v>286</v>
      </c>
      <c r="U844" t="s">
        <v>291</v>
      </c>
      <c r="V844" t="s">
        <v>289</v>
      </c>
      <c r="W844" s="32"/>
      <c r="X844" s="32"/>
      <c r="Y844" s="26"/>
      <c r="Z844" s="26"/>
      <c r="AA844" s="27">
        <f>IF(TA[[#This Row],[Work Start time on Fault]]="NA","",(TA[[#This Row],[Fault Acknowledgement Time ]]-TA[[#This Row],[Fault Time]])*24)</f>
        <v>0</v>
      </c>
      <c r="AB844" s="27">
        <f>(TA[[#This Row],[Work Start time on Fault]]-TA[[#This Row],[Fault Time]])*24</f>
        <v>0</v>
      </c>
      <c r="AC844" s="26">
        <f>(TA[[#This Row],[Work Completion time on fault]]-TA[[#This Row],[Fault Time]])*24</f>
        <v>0</v>
      </c>
      <c r="AD844" s="27">
        <f>IFERROR((TA[[#This Row],[Work Completion time on fault]]-TA[[#This Row],[Fault Time]])*24,"")</f>
        <v>0</v>
      </c>
      <c r="AE844" t="s">
        <v>319</v>
      </c>
      <c r="AF844" t="s">
        <v>247</v>
      </c>
      <c r="AG844" s="2"/>
      <c r="AH844" s="35">
        <f>1-COS(RADIANS(TA[[#This Row],[Avg. Target Angle during Fault Time (Radians)]]-TA[[#This Row],[Angle of affected equipment ]]))</f>
        <v>0.11705240714107301</v>
      </c>
      <c r="AI844" s="27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43">
        <f t="shared" si="70"/>
        <v>2026</v>
      </c>
      <c r="C845" s="116">
        <f t="shared" si="71"/>
        <v>2025</v>
      </c>
      <c r="D845" s="2" t="s">
        <v>155</v>
      </c>
      <c r="E845" s="2" t="s">
        <v>155</v>
      </c>
      <c r="F845" s="30">
        <v>45778</v>
      </c>
      <c r="G845" s="2">
        <f>DAY(EOMONTH(TA[[#This Row],[Month Year]],0))</f>
        <v>31</v>
      </c>
      <c r="H845" s="21">
        <v>45802</v>
      </c>
      <c r="I845" s="32">
        <f>IFERROR(VLOOKUP(TA[[#This Row],[Date]],Raw_Data[[Date]:[Sunset Time (POA&lt;20 W/m2)]],3,0),"")</f>
        <v>0.24861111111111112</v>
      </c>
      <c r="J845" s="32">
        <f>IFERROR(VLOOKUP(TA[[#This Row],[Date]],Raw_Data[[Date]:[Sunset Time (POA&lt;20 W/m2)]],4,0),"")</f>
        <v>0.77708333333333335</v>
      </c>
      <c r="K845" s="27">
        <f>IFERROR((TA[[#This Row],[Sunset Time (POA&lt;20 W/m2)]]-TA[[#This Row],[Sunrise Time (POA&gt;20 W/m2)]])*24,"")</f>
        <v>12.683333333333334</v>
      </c>
      <c r="L845" s="2" t="s">
        <v>285</v>
      </c>
      <c r="M845" s="33">
        <f>IFERROR(VLOOKUP(TA[[#This Row],[Affected Equipment]],'Basic Data'!$I$2:$K$40,3,0),"")</f>
        <v>1.7241379310344799E-3</v>
      </c>
      <c r="N845">
        <v>-28</v>
      </c>
      <c r="O845" t="s">
        <v>133</v>
      </c>
      <c r="P845" s="114" t="s">
        <v>307</v>
      </c>
      <c r="Q845" s="113" t="s">
        <v>307</v>
      </c>
      <c r="R845">
        <v>117</v>
      </c>
      <c r="S845" s="2">
        <v>20</v>
      </c>
      <c r="T845" t="s">
        <v>286</v>
      </c>
      <c r="U845" t="s">
        <v>291</v>
      </c>
      <c r="V845" t="s">
        <v>289</v>
      </c>
      <c r="W845" s="32"/>
      <c r="X845" s="32"/>
      <c r="Y845" s="26"/>
      <c r="Z845" s="26"/>
      <c r="AA845" s="27">
        <f>IF(TA[[#This Row],[Work Start time on Fault]]="NA","",(TA[[#This Row],[Fault Acknowledgement Time ]]-TA[[#This Row],[Fault Time]])*24)</f>
        <v>0</v>
      </c>
      <c r="AB845" s="27">
        <f>(TA[[#This Row],[Work Start time on Fault]]-TA[[#This Row],[Fault Time]])*24</f>
        <v>0</v>
      </c>
      <c r="AC845" s="26">
        <f>(TA[[#This Row],[Work Completion time on fault]]-TA[[#This Row],[Fault Time]])*24</f>
        <v>0</v>
      </c>
      <c r="AD845" s="27">
        <f>IFERROR((TA[[#This Row],[Work Completion time on fault]]-TA[[#This Row],[Fault Time]])*24,"")</f>
        <v>0</v>
      </c>
      <c r="AE845" t="s">
        <v>319</v>
      </c>
      <c r="AF845" t="s">
        <v>247</v>
      </c>
      <c r="AG845" s="2"/>
      <c r="AH845" s="35">
        <f>1-COS(RADIANS(TA[[#This Row],[Avg. Target Angle during Fault Time (Radians)]]-TA[[#This Row],[Angle of affected equipment ]]))</f>
        <v>0.11705240714107301</v>
      </c>
      <c r="AI845" s="27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43">
        <f t="shared" si="70"/>
        <v>2026</v>
      </c>
      <c r="C846" s="116">
        <f t="shared" si="71"/>
        <v>2025</v>
      </c>
      <c r="D846" s="2" t="s">
        <v>155</v>
      </c>
      <c r="E846" s="2" t="s">
        <v>155</v>
      </c>
      <c r="F846" s="30">
        <v>45778</v>
      </c>
      <c r="G846" s="2">
        <f>DAY(EOMONTH(TA[[#This Row],[Month Year]],0))</f>
        <v>31</v>
      </c>
      <c r="H846" s="21">
        <v>45802</v>
      </c>
      <c r="I846" s="32">
        <f>IFERROR(VLOOKUP(TA[[#This Row],[Date]],Raw_Data[[Date]:[Sunset Time (POA&lt;20 W/m2)]],3,0),"")</f>
        <v>0.24861111111111112</v>
      </c>
      <c r="J846" s="32">
        <f>IFERROR(VLOOKUP(TA[[#This Row],[Date]],Raw_Data[[Date]:[Sunset Time (POA&lt;20 W/m2)]],4,0),"")</f>
        <v>0.77708333333333335</v>
      </c>
      <c r="K846" s="27">
        <f>IFERROR((TA[[#This Row],[Sunset Time (POA&lt;20 W/m2)]]-TA[[#This Row],[Sunrise Time (POA&gt;20 W/m2)]])*24,"")</f>
        <v>12.683333333333334</v>
      </c>
      <c r="L846" s="2" t="s">
        <v>285</v>
      </c>
      <c r="M846" s="33">
        <f>IFERROR(VLOOKUP(TA[[#This Row],[Affected Equipment]],'Basic Data'!$I$2:$K$40,3,0),"")</f>
        <v>1.7241379310344799E-3</v>
      </c>
      <c r="N846">
        <v>-28</v>
      </c>
      <c r="O846" t="s">
        <v>133</v>
      </c>
      <c r="P846" s="114" t="s">
        <v>307</v>
      </c>
      <c r="Q846" s="113" t="s">
        <v>307</v>
      </c>
      <c r="R846">
        <v>118</v>
      </c>
      <c r="S846" s="2">
        <v>22</v>
      </c>
      <c r="T846" t="s">
        <v>286</v>
      </c>
      <c r="U846" t="s">
        <v>291</v>
      </c>
      <c r="V846" t="s">
        <v>289</v>
      </c>
      <c r="W846" s="32"/>
      <c r="X846" s="32"/>
      <c r="Y846" s="26"/>
      <c r="Z846" s="26"/>
      <c r="AA846" s="27">
        <f>IF(TA[[#This Row],[Work Start time on Fault]]="NA","",(TA[[#This Row],[Fault Acknowledgement Time ]]-TA[[#This Row],[Fault Time]])*24)</f>
        <v>0</v>
      </c>
      <c r="AB846" s="27">
        <f>(TA[[#This Row],[Work Start time on Fault]]-TA[[#This Row],[Fault Time]])*24</f>
        <v>0</v>
      </c>
      <c r="AC846" s="26">
        <f>(TA[[#This Row],[Work Completion time on fault]]-TA[[#This Row],[Fault Time]])*24</f>
        <v>0</v>
      </c>
      <c r="AD846" s="27">
        <f>IFERROR((TA[[#This Row],[Work Completion time on fault]]-TA[[#This Row],[Fault Time]])*24,"")</f>
        <v>0</v>
      </c>
      <c r="AE846" t="s">
        <v>319</v>
      </c>
      <c r="AF846" t="s">
        <v>247</v>
      </c>
      <c r="AG846" s="2"/>
      <c r="AH846" s="35">
        <f>1-COS(RADIANS(TA[[#This Row],[Avg. Target Angle during Fault Time (Radians)]]-TA[[#This Row],[Angle of affected equipment ]]))</f>
        <v>0.11705240714107301</v>
      </c>
      <c r="AI846" s="27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43">
        <f t="shared" si="70"/>
        <v>2026</v>
      </c>
      <c r="C847" s="116">
        <f t="shared" si="71"/>
        <v>2025</v>
      </c>
      <c r="D847" s="2" t="s">
        <v>155</v>
      </c>
      <c r="E847" s="2" t="s">
        <v>155</v>
      </c>
      <c r="F847" s="30">
        <v>45778</v>
      </c>
      <c r="G847" s="2">
        <f>DAY(EOMONTH(TA[[#This Row],[Month Year]],0))</f>
        <v>31</v>
      </c>
      <c r="H847" s="21">
        <v>45802</v>
      </c>
      <c r="I847" s="32">
        <f>IFERROR(VLOOKUP(TA[[#This Row],[Date]],Raw_Data[[Date]:[Sunset Time (POA&lt;20 W/m2)]],3,0),"")</f>
        <v>0.24861111111111112</v>
      </c>
      <c r="J847" s="32">
        <f>IFERROR(VLOOKUP(TA[[#This Row],[Date]],Raw_Data[[Date]:[Sunset Time (POA&lt;20 W/m2)]],4,0),"")</f>
        <v>0.77708333333333335</v>
      </c>
      <c r="K847" s="27">
        <f>IFERROR((TA[[#This Row],[Sunset Time (POA&lt;20 W/m2)]]-TA[[#This Row],[Sunrise Time (POA&gt;20 W/m2)]])*24,"")</f>
        <v>12.683333333333334</v>
      </c>
      <c r="L847" s="2" t="s">
        <v>287</v>
      </c>
      <c r="M847" s="33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314</v>
      </c>
      <c r="Q847" s="2" t="s">
        <v>320</v>
      </c>
      <c r="R847">
        <v>45</v>
      </c>
      <c r="S847" s="2">
        <v>8</v>
      </c>
      <c r="T847" t="s">
        <v>288</v>
      </c>
      <c r="U847" t="s">
        <v>291</v>
      </c>
      <c r="V847" t="s">
        <v>292</v>
      </c>
      <c r="W847" s="32"/>
      <c r="X847" s="32"/>
      <c r="Y847" s="26"/>
      <c r="Z847" s="26"/>
      <c r="AA847" s="27">
        <f>IF(TA[[#This Row],[Work Start time on Fault]]="NA","",(TA[[#This Row],[Fault Acknowledgement Time ]]-TA[[#This Row],[Fault Time]])*24)</f>
        <v>0</v>
      </c>
      <c r="AB847" s="27">
        <f>(TA[[#This Row],[Work Start time on Fault]]-TA[[#This Row],[Fault Time]])*24</f>
        <v>0</v>
      </c>
      <c r="AC847" s="26">
        <f>(TA[[#This Row],[Work Completion time on fault]]-TA[[#This Row],[Fault Time]])*24</f>
        <v>0</v>
      </c>
      <c r="AD847" s="27">
        <f>IFERROR((TA[[#This Row],[Work Completion time on fault]]-TA[[#This Row],[Fault Time]])*24,"")</f>
        <v>0</v>
      </c>
      <c r="AE847" t="s">
        <v>319</v>
      </c>
      <c r="AF847" t="s">
        <v>247</v>
      </c>
      <c r="AG847" s="2"/>
      <c r="AH847" s="35">
        <f>1-COS(RADIANS(TA[[#This Row],[Avg. Target Angle during Fault Time (Radians)]]-TA[[#This Row],[Angle of affected equipment ]]))</f>
        <v>0.11705240714107301</v>
      </c>
      <c r="AI847" s="27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43">
        <f t="shared" si="70"/>
        <v>2026</v>
      </c>
      <c r="C848" s="116">
        <f t="shared" si="71"/>
        <v>2025</v>
      </c>
      <c r="D848" s="2" t="s">
        <v>155</v>
      </c>
      <c r="E848" s="2" t="s">
        <v>155</v>
      </c>
      <c r="F848" s="30">
        <v>45778</v>
      </c>
      <c r="G848" s="2">
        <f>DAY(EOMONTH(TA[[#This Row],[Month Year]],0))</f>
        <v>31</v>
      </c>
      <c r="H848" s="21">
        <v>45802</v>
      </c>
      <c r="I848" s="32">
        <f>IFERROR(VLOOKUP(TA[[#This Row],[Date]],Raw_Data[[Date]:[Sunset Time (POA&lt;20 W/m2)]],3,0),"")</f>
        <v>0.24861111111111112</v>
      </c>
      <c r="J848" s="32">
        <f>IFERROR(VLOOKUP(TA[[#This Row],[Date]],Raw_Data[[Date]:[Sunset Time (POA&lt;20 W/m2)]],4,0),"")</f>
        <v>0.77708333333333335</v>
      </c>
      <c r="K848" s="27">
        <f>IFERROR((TA[[#This Row],[Sunset Time (POA&lt;20 W/m2)]]-TA[[#This Row],[Sunrise Time (POA&gt;20 W/m2)]])*24,"")</f>
        <v>12.683333333333334</v>
      </c>
      <c r="L848" s="2" t="s">
        <v>287</v>
      </c>
      <c r="M848" s="33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314</v>
      </c>
      <c r="Q848" s="2" t="s">
        <v>320</v>
      </c>
      <c r="R848">
        <v>47</v>
      </c>
      <c r="S848" s="2">
        <v>18</v>
      </c>
      <c r="T848" t="s">
        <v>288</v>
      </c>
      <c r="U848" t="s">
        <v>291</v>
      </c>
      <c r="V848" t="s">
        <v>292</v>
      </c>
      <c r="W848" s="32"/>
      <c r="X848" s="32"/>
      <c r="Y848" s="26"/>
      <c r="Z848" s="26"/>
      <c r="AA848" s="27">
        <f>IF(TA[[#This Row],[Work Start time on Fault]]="NA","",(TA[[#This Row],[Fault Acknowledgement Time ]]-TA[[#This Row],[Fault Time]])*24)</f>
        <v>0</v>
      </c>
      <c r="AB848" s="27">
        <f>(TA[[#This Row],[Work Start time on Fault]]-TA[[#This Row],[Fault Time]])*24</f>
        <v>0</v>
      </c>
      <c r="AC848" s="26">
        <f>(TA[[#This Row],[Work Completion time on fault]]-TA[[#This Row],[Fault Time]])*24</f>
        <v>0</v>
      </c>
      <c r="AD848" s="27">
        <f>IFERROR((TA[[#This Row],[Work Completion time on fault]]-TA[[#This Row],[Fault Time]])*24,"")</f>
        <v>0</v>
      </c>
      <c r="AE848" t="s">
        <v>319</v>
      </c>
      <c r="AF848" t="s">
        <v>247</v>
      </c>
      <c r="AG848" s="2"/>
      <c r="AH848" s="35">
        <f>1-COS(RADIANS(TA[[#This Row],[Avg. Target Angle during Fault Time (Radians)]]-TA[[#This Row],[Angle of affected equipment ]]))</f>
        <v>0.11705240714107301</v>
      </c>
      <c r="AI848" s="27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43">
        <f t="shared" si="70"/>
        <v>2026</v>
      </c>
      <c r="C849" s="116">
        <f t="shared" si="71"/>
        <v>2025</v>
      </c>
      <c r="D849" s="2" t="s">
        <v>155</v>
      </c>
      <c r="E849" s="2" t="s">
        <v>155</v>
      </c>
      <c r="F849" s="30">
        <v>45778</v>
      </c>
      <c r="G849" s="2">
        <f>DAY(EOMONTH(TA[[#This Row],[Month Year]],0))</f>
        <v>31</v>
      </c>
      <c r="H849" s="21">
        <v>45802</v>
      </c>
      <c r="I849" s="32">
        <f>IFERROR(VLOOKUP(TA[[#This Row],[Date]],Raw_Data[[Date]:[Sunset Time (POA&lt;20 W/m2)]],3,0),"")</f>
        <v>0.24861111111111112</v>
      </c>
      <c r="J849" s="32">
        <f>IFERROR(VLOOKUP(TA[[#This Row],[Date]],Raw_Data[[Date]:[Sunset Time (POA&lt;20 W/m2)]],4,0),"")</f>
        <v>0.77708333333333335</v>
      </c>
      <c r="K849" s="27">
        <f>IFERROR((TA[[#This Row],[Sunset Time (POA&lt;20 W/m2)]]-TA[[#This Row],[Sunrise Time (POA&gt;20 W/m2)]])*24,"")</f>
        <v>12.683333333333334</v>
      </c>
      <c r="L849" s="2" t="s">
        <v>287</v>
      </c>
      <c r="M849" s="33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321</v>
      </c>
      <c r="Q849" s="2" t="s">
        <v>314</v>
      </c>
      <c r="R849">
        <v>30</v>
      </c>
      <c r="S849" s="2">
        <v>57</v>
      </c>
      <c r="T849" t="s">
        <v>288</v>
      </c>
      <c r="U849" t="s">
        <v>291</v>
      </c>
      <c r="V849" t="s">
        <v>292</v>
      </c>
      <c r="W849" s="32"/>
      <c r="X849" s="32"/>
      <c r="Y849" s="26"/>
      <c r="Z849" s="26"/>
      <c r="AA849" s="27">
        <f>IF(TA[[#This Row],[Work Start time on Fault]]="NA","",(TA[[#This Row],[Fault Acknowledgement Time ]]-TA[[#This Row],[Fault Time]])*24)</f>
        <v>0</v>
      </c>
      <c r="AB849" s="27">
        <f>(TA[[#This Row],[Work Start time on Fault]]-TA[[#This Row],[Fault Time]])*24</f>
        <v>0</v>
      </c>
      <c r="AC849" s="26">
        <f>(TA[[#This Row],[Work Completion time on fault]]-TA[[#This Row],[Fault Time]])*24</f>
        <v>0</v>
      </c>
      <c r="AD849" s="27">
        <f>IFERROR((TA[[#This Row],[Work Completion time on fault]]-TA[[#This Row],[Fault Time]])*24,"")</f>
        <v>0</v>
      </c>
      <c r="AE849" t="s">
        <v>319</v>
      </c>
      <c r="AF849" t="s">
        <v>247</v>
      </c>
      <c r="AG849" s="2"/>
      <c r="AH849" s="35">
        <f>1-COS(RADIANS(TA[[#This Row],[Avg. Target Angle during Fault Time (Radians)]]-TA[[#This Row],[Angle of affected equipment ]]))</f>
        <v>0.11705240714107301</v>
      </c>
      <c r="AI849" s="27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43">
        <f t="shared" si="70"/>
        <v>2026</v>
      </c>
      <c r="C850" s="116">
        <f t="shared" si="71"/>
        <v>2025</v>
      </c>
      <c r="D850" s="2" t="s">
        <v>155</v>
      </c>
      <c r="E850" s="2" t="s">
        <v>155</v>
      </c>
      <c r="F850" s="30">
        <v>45778</v>
      </c>
      <c r="G850" s="2">
        <f>DAY(EOMONTH(TA[[#This Row],[Month Year]],0))</f>
        <v>31</v>
      </c>
      <c r="H850" s="21">
        <v>45802</v>
      </c>
      <c r="I850" s="32">
        <f>IFERROR(VLOOKUP(TA[[#This Row],[Date]],Raw_Data[[Date]:[Sunset Time (POA&lt;20 W/m2)]],3,0),"")</f>
        <v>0.24861111111111112</v>
      </c>
      <c r="J850" s="32">
        <f>IFERROR(VLOOKUP(TA[[#This Row],[Date]],Raw_Data[[Date]:[Sunset Time (POA&lt;20 W/m2)]],4,0),"")</f>
        <v>0.77708333333333335</v>
      </c>
      <c r="K850" s="27">
        <f>IFERROR((TA[[#This Row],[Sunset Time (POA&lt;20 W/m2)]]-TA[[#This Row],[Sunrise Time (POA&gt;20 W/m2)]])*24,"")</f>
        <v>12.683333333333334</v>
      </c>
      <c r="L850" s="2" t="s">
        <v>287</v>
      </c>
      <c r="M850" s="33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321</v>
      </c>
      <c r="Q850" s="2" t="s">
        <v>314</v>
      </c>
      <c r="R850">
        <v>31</v>
      </c>
      <c r="S850" s="2">
        <v>61</v>
      </c>
      <c r="T850" t="s">
        <v>288</v>
      </c>
      <c r="U850" t="s">
        <v>291</v>
      </c>
      <c r="V850" t="s">
        <v>292</v>
      </c>
      <c r="W850" s="32"/>
      <c r="X850" s="32"/>
      <c r="Y850" s="26"/>
      <c r="Z850" s="26"/>
      <c r="AA850" s="27">
        <f>IF(TA[[#This Row],[Work Start time on Fault]]="NA","",(TA[[#This Row],[Fault Acknowledgement Time ]]-TA[[#This Row],[Fault Time]])*24)</f>
        <v>0</v>
      </c>
      <c r="AB850" s="27">
        <f>(TA[[#This Row],[Work Start time on Fault]]-TA[[#This Row],[Fault Time]])*24</f>
        <v>0</v>
      </c>
      <c r="AC850" s="26">
        <f>(TA[[#This Row],[Work Completion time on fault]]-TA[[#This Row],[Fault Time]])*24</f>
        <v>0</v>
      </c>
      <c r="AD850" s="27">
        <f>IFERROR((TA[[#This Row],[Work Completion time on fault]]-TA[[#This Row],[Fault Time]])*24,"")</f>
        <v>0</v>
      </c>
      <c r="AE850" t="s">
        <v>319</v>
      </c>
      <c r="AF850" t="s">
        <v>247</v>
      </c>
      <c r="AG850" s="2"/>
      <c r="AH850" s="35">
        <f>1-COS(RADIANS(TA[[#This Row],[Avg. Target Angle during Fault Time (Radians)]]-TA[[#This Row],[Angle of affected equipment ]]))</f>
        <v>0.11705240714107301</v>
      </c>
      <c r="AI850" s="27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43">
        <f t="shared" si="70"/>
        <v>2026</v>
      </c>
      <c r="C851" s="116">
        <f t="shared" si="71"/>
        <v>2025</v>
      </c>
      <c r="D851" s="2" t="s">
        <v>155</v>
      </c>
      <c r="E851" s="2" t="s">
        <v>155</v>
      </c>
      <c r="F851" s="30">
        <v>45778</v>
      </c>
      <c r="G851" s="2">
        <f>DAY(EOMONTH(TA[[#This Row],[Month Year]],0))</f>
        <v>31</v>
      </c>
      <c r="H851" s="21">
        <v>45802</v>
      </c>
      <c r="I851" s="32">
        <f>IFERROR(VLOOKUP(TA[[#This Row],[Date]],Raw_Data[[Date]:[Sunset Time (POA&lt;20 W/m2)]],3,0),"")</f>
        <v>0.24861111111111112</v>
      </c>
      <c r="J851" s="32">
        <f>IFERROR(VLOOKUP(TA[[#This Row],[Date]],Raw_Data[[Date]:[Sunset Time (POA&lt;20 W/m2)]],4,0),"")</f>
        <v>0.77708333333333335</v>
      </c>
      <c r="K851" s="27">
        <f>IFERROR((TA[[#This Row],[Sunset Time (POA&lt;20 W/m2)]]-TA[[#This Row],[Sunrise Time (POA&gt;20 W/m2)]])*24,"")</f>
        <v>12.683333333333334</v>
      </c>
      <c r="L851" s="2" t="s">
        <v>303</v>
      </c>
      <c r="M851" s="33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321</v>
      </c>
      <c r="Q851" s="2" t="s">
        <v>314</v>
      </c>
      <c r="R851">
        <v>26</v>
      </c>
      <c r="S851" s="2">
        <v>37</v>
      </c>
      <c r="T851" t="s">
        <v>288</v>
      </c>
      <c r="U851" t="s">
        <v>291</v>
      </c>
      <c r="V851" t="s">
        <v>292</v>
      </c>
      <c r="W851" s="32"/>
      <c r="X851" s="32"/>
      <c r="Y851" s="26"/>
      <c r="Z851" s="26"/>
      <c r="AA851" s="27">
        <f>IF(TA[[#This Row],[Work Start time on Fault]]="NA","",(TA[[#This Row],[Fault Acknowledgement Time ]]-TA[[#This Row],[Fault Time]])*24)</f>
        <v>0</v>
      </c>
      <c r="AB851" s="27">
        <f>(TA[[#This Row],[Work Start time on Fault]]-TA[[#This Row],[Fault Time]])*24</f>
        <v>0</v>
      </c>
      <c r="AC851" s="26">
        <f>(TA[[#This Row],[Work Completion time on fault]]-TA[[#This Row],[Fault Time]])*24</f>
        <v>0</v>
      </c>
      <c r="AD851" s="27">
        <f>IFERROR((TA[[#This Row],[Work Completion time on fault]]-TA[[#This Row],[Fault Time]])*24,"")</f>
        <v>0</v>
      </c>
      <c r="AE851" t="s">
        <v>319</v>
      </c>
      <c r="AF851" t="s">
        <v>247</v>
      </c>
      <c r="AG851" s="2"/>
      <c r="AH851" s="35">
        <f>1-COS(RADIANS(TA[[#This Row],[Avg. Target Angle during Fault Time (Radians)]]-TA[[#This Row],[Angle of affected equipment ]]))</f>
        <v>0.11705240714107301</v>
      </c>
      <c r="AI851" s="27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43">
        <f t="shared" si="70"/>
        <v>2026</v>
      </c>
      <c r="C852" s="116">
        <f t="shared" si="71"/>
        <v>2025</v>
      </c>
      <c r="D852" s="2" t="s">
        <v>155</v>
      </c>
      <c r="E852" s="2" t="s">
        <v>155</v>
      </c>
      <c r="F852" s="30">
        <v>45778</v>
      </c>
      <c r="G852" s="2">
        <f>DAY(EOMONTH(TA[[#This Row],[Month Year]],0))</f>
        <v>31</v>
      </c>
      <c r="H852" s="21">
        <v>45802</v>
      </c>
      <c r="I852" s="32">
        <f>IFERROR(VLOOKUP(TA[[#This Row],[Date]],Raw_Data[[Date]:[Sunset Time (POA&lt;20 W/m2)]],3,0),"")</f>
        <v>0.24861111111111112</v>
      </c>
      <c r="J852" s="32">
        <f>IFERROR(VLOOKUP(TA[[#This Row],[Date]],Raw_Data[[Date]:[Sunset Time (POA&lt;20 W/m2)]],4,0),"")</f>
        <v>0.77708333333333335</v>
      </c>
      <c r="K852" s="27">
        <f>IFERROR((TA[[#This Row],[Sunset Time (POA&lt;20 W/m2)]]-TA[[#This Row],[Sunrise Time (POA&gt;20 W/m2)]])*24,"")</f>
        <v>12.683333333333334</v>
      </c>
      <c r="L852" s="2" t="s">
        <v>303</v>
      </c>
      <c r="M852" s="33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321</v>
      </c>
      <c r="Q852" s="2" t="s">
        <v>314</v>
      </c>
      <c r="R852">
        <v>27</v>
      </c>
      <c r="S852" s="2">
        <v>42</v>
      </c>
      <c r="T852" t="s">
        <v>288</v>
      </c>
      <c r="U852" t="s">
        <v>291</v>
      </c>
      <c r="V852" t="s">
        <v>292</v>
      </c>
      <c r="W852" s="32">
        <f>IFERROR(VLOOKUP(TA[[#This Row],[Date]],Raw_Data[[Date]:[Sunset Time (POA&lt;20 W/m2)]],3,0),"")</f>
        <v>0.24861111111111112</v>
      </c>
      <c r="X852" s="32">
        <f>IFERROR(VLOOKUP(TA[[#This Row],[Date]],Raw_Data[[Date]:[Sunset Time (POA&lt;20 W/m2)]],3,0),"")</f>
        <v>0.24861111111111112</v>
      </c>
      <c r="Y852" s="26"/>
      <c r="Z852" s="26">
        <v>0.76041666666666663</v>
      </c>
      <c r="AA852" s="27">
        <f>IF(TA[[#This Row],[Work Start time on Fault]]="NA","",(TA[[#This Row],[Fault Acknowledgement Time ]]-TA[[#This Row],[Fault Time]])*24)</f>
        <v>0</v>
      </c>
      <c r="AB852" s="27">
        <f>(TA[[#This Row],[Work Start time on Fault]]-TA[[#This Row],[Fault Time]])*24</f>
        <v>-5.9666666666666668</v>
      </c>
      <c r="AC852" s="26">
        <f>(TA[[#This Row],[Work Completion time on fault]]-TA[[#This Row],[Fault Time]])*24</f>
        <v>12.283333333333331</v>
      </c>
      <c r="AD852" s="27">
        <f>IFERROR((TA[[#This Row],[Work Completion time on fault]]-TA[[#This Row],[Fault Time]])*24,"")</f>
        <v>12.283333333333331</v>
      </c>
      <c r="AE852" t="s">
        <v>300</v>
      </c>
      <c r="AF852" t="s">
        <v>247</v>
      </c>
      <c r="AG852" s="2"/>
      <c r="AH852" s="35">
        <f>1-COS(RADIANS(TA[[#This Row],[Avg. Target Angle during Fault Time (Radians)]]-TA[[#This Row],[Angle of affected equipment ]]))</f>
        <v>0.11705240714107301</v>
      </c>
      <c r="AI852" s="27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43">
        <f t="shared" ref="B853:B866" si="72">YEAR(H853)+IF(MONTH(H853)&gt;=4,1,0)</f>
        <v>2026</v>
      </c>
      <c r="C853" s="116">
        <f t="shared" ref="C853:C866" si="73">YEAR(H853)</f>
        <v>2025</v>
      </c>
      <c r="D853" s="2" t="s">
        <v>155</v>
      </c>
      <c r="E853" s="2" t="s">
        <v>155</v>
      </c>
      <c r="F853" s="30">
        <v>45778</v>
      </c>
      <c r="G853" s="2">
        <f>DAY(EOMONTH(TA[[#This Row],[Month Year]],0))</f>
        <v>31</v>
      </c>
      <c r="H853" s="21">
        <v>45803</v>
      </c>
      <c r="I853" s="32">
        <f>IFERROR(VLOOKUP(TA[[#This Row],[Date]],Raw_Data[[Date]:[Sunset Time (POA&lt;20 W/m2)]],3,0),"")</f>
        <v>0.25</v>
      </c>
      <c r="J853" s="32">
        <f>IFERROR(VLOOKUP(TA[[#This Row],[Date]],Raw_Data[[Date]:[Sunset Time (POA&lt;20 W/m2)]],4,0),"")</f>
        <v>0.76736111111111116</v>
      </c>
      <c r="K853" s="27">
        <f>IFERROR((TA[[#This Row],[Sunset Time (POA&lt;20 W/m2)]]-TA[[#This Row],[Sunrise Time (POA&gt;20 W/m2)]])*24,"")</f>
        <v>12.416666666666668</v>
      </c>
      <c r="L853" s="2" t="s">
        <v>285</v>
      </c>
      <c r="M853" s="33">
        <f>IFERROR(VLOOKUP(TA[[#This Row],[Affected Equipment]],'Basic Data'!$I$2:$K$40,3,0),"")</f>
        <v>1.7241379310344799E-3</v>
      </c>
      <c r="N853">
        <v>-28</v>
      </c>
      <c r="O853" t="s">
        <v>135</v>
      </c>
      <c r="P853" s="114" t="s">
        <v>309</v>
      </c>
      <c r="Q853" s="113" t="s">
        <v>309</v>
      </c>
      <c r="R853">
        <v>130</v>
      </c>
      <c r="S853" s="2">
        <v>37</v>
      </c>
      <c r="T853" t="s">
        <v>286</v>
      </c>
      <c r="U853" t="s">
        <v>291</v>
      </c>
      <c r="V853" t="s">
        <v>289</v>
      </c>
      <c r="W853" s="32"/>
      <c r="X853" s="32"/>
      <c r="Y853" s="26"/>
      <c r="Z853" s="26"/>
      <c r="AA853" s="27">
        <f>IF(TA[[#This Row],[Work Start time on Fault]]="NA","",(TA[[#This Row],[Fault Acknowledgement Time ]]-TA[[#This Row],[Fault Time]])*24)</f>
        <v>0</v>
      </c>
      <c r="AB853" s="27">
        <f>(TA[[#This Row],[Work Start time on Fault]]-TA[[#This Row],[Fault Time]])*24</f>
        <v>0</v>
      </c>
      <c r="AC853" s="26">
        <f>(TA[[#This Row],[Work Completion time on fault]]-TA[[#This Row],[Fault Time]])*24</f>
        <v>0</v>
      </c>
      <c r="AD853" s="27">
        <f>IFERROR((TA[[#This Row],[Work Completion time on fault]]-TA[[#This Row],[Fault Time]])*24,"")</f>
        <v>0</v>
      </c>
      <c r="AE853" t="s">
        <v>319</v>
      </c>
      <c r="AF853" t="s">
        <v>247</v>
      </c>
      <c r="AG853" s="2"/>
      <c r="AH853" s="35">
        <f>1-COS(RADIANS(TA[[#This Row],[Avg. Target Angle during Fault Time (Radians)]]-TA[[#This Row],[Angle of affected equipment ]]))</f>
        <v>0.11705240714107301</v>
      </c>
      <c r="AI853" s="27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43">
        <f t="shared" si="72"/>
        <v>2026</v>
      </c>
      <c r="C854" s="116">
        <f t="shared" si="73"/>
        <v>2025</v>
      </c>
      <c r="D854" s="2" t="s">
        <v>155</v>
      </c>
      <c r="E854" s="2" t="s">
        <v>155</v>
      </c>
      <c r="F854" s="30">
        <v>45778</v>
      </c>
      <c r="G854" s="2">
        <f>DAY(EOMONTH(TA[[#This Row],[Month Year]],0))</f>
        <v>31</v>
      </c>
      <c r="H854" s="21">
        <v>45803</v>
      </c>
      <c r="I854" s="32">
        <f>IFERROR(VLOOKUP(TA[[#This Row],[Date]],Raw_Data[[Date]:[Sunset Time (POA&lt;20 W/m2)]],3,0),"")</f>
        <v>0.25</v>
      </c>
      <c r="J854" s="32">
        <f>IFERROR(VLOOKUP(TA[[#This Row],[Date]],Raw_Data[[Date]:[Sunset Time (POA&lt;20 W/m2)]],4,0),"")</f>
        <v>0.76736111111111116</v>
      </c>
      <c r="K854" s="27">
        <f>IFERROR((TA[[#This Row],[Sunset Time (POA&lt;20 W/m2)]]-TA[[#This Row],[Sunrise Time (POA&gt;20 W/m2)]])*24,"")</f>
        <v>12.416666666666668</v>
      </c>
      <c r="L854" s="2" t="s">
        <v>285</v>
      </c>
      <c r="M854" s="33">
        <f>IFERROR(VLOOKUP(TA[[#This Row],[Affected Equipment]],'Basic Data'!$I$2:$K$40,3,0),"")</f>
        <v>1.7241379310344799E-3</v>
      </c>
      <c r="N854">
        <v>-28</v>
      </c>
      <c r="O854" t="s">
        <v>135</v>
      </c>
      <c r="P854" s="114" t="s">
        <v>309</v>
      </c>
      <c r="Q854" s="113" t="s">
        <v>309</v>
      </c>
      <c r="R854">
        <v>131</v>
      </c>
      <c r="S854" s="2">
        <v>38</v>
      </c>
      <c r="T854" t="s">
        <v>286</v>
      </c>
      <c r="U854" t="s">
        <v>291</v>
      </c>
      <c r="V854" t="s">
        <v>289</v>
      </c>
      <c r="W854" s="32"/>
      <c r="X854" s="32"/>
      <c r="Y854" s="26"/>
      <c r="Z854" s="26"/>
      <c r="AA854" s="27">
        <f>IF(TA[[#This Row],[Work Start time on Fault]]="NA","",(TA[[#This Row],[Fault Acknowledgement Time ]]-TA[[#This Row],[Fault Time]])*24)</f>
        <v>0</v>
      </c>
      <c r="AB854" s="27">
        <f>(TA[[#This Row],[Work Start time on Fault]]-TA[[#This Row],[Fault Time]])*24</f>
        <v>0</v>
      </c>
      <c r="AC854" s="26">
        <f>(TA[[#This Row],[Work Completion time on fault]]-TA[[#This Row],[Fault Time]])*24</f>
        <v>0</v>
      </c>
      <c r="AD854" s="27">
        <f>IFERROR((TA[[#This Row],[Work Completion time on fault]]-TA[[#This Row],[Fault Time]])*24,"")</f>
        <v>0</v>
      </c>
      <c r="AE854" t="s">
        <v>319</v>
      </c>
      <c r="AF854" t="s">
        <v>247</v>
      </c>
      <c r="AG854" s="2"/>
      <c r="AH854" s="35">
        <f>1-COS(RADIANS(TA[[#This Row],[Avg. Target Angle during Fault Time (Radians)]]-TA[[#This Row],[Angle of affected equipment ]]))</f>
        <v>0.11705240714107301</v>
      </c>
      <c r="AI854" s="27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43">
        <f t="shared" si="72"/>
        <v>2026</v>
      </c>
      <c r="C855" s="116">
        <f t="shared" si="73"/>
        <v>2025</v>
      </c>
      <c r="D855" s="2" t="s">
        <v>155</v>
      </c>
      <c r="E855" s="2" t="s">
        <v>155</v>
      </c>
      <c r="F855" s="30">
        <v>45778</v>
      </c>
      <c r="G855" s="2">
        <f>DAY(EOMONTH(TA[[#This Row],[Month Year]],0))</f>
        <v>31</v>
      </c>
      <c r="H855" s="21">
        <v>45803</v>
      </c>
      <c r="I855" s="32">
        <f>IFERROR(VLOOKUP(TA[[#This Row],[Date]],Raw_Data[[Date]:[Sunset Time (POA&lt;20 W/m2)]],3,0),"")</f>
        <v>0.25</v>
      </c>
      <c r="J855" s="32">
        <f>IFERROR(VLOOKUP(TA[[#This Row],[Date]],Raw_Data[[Date]:[Sunset Time (POA&lt;20 W/m2)]],4,0),"")</f>
        <v>0.76736111111111116</v>
      </c>
      <c r="K855" s="27">
        <f>IFERROR((TA[[#This Row],[Sunset Time (POA&lt;20 W/m2)]]-TA[[#This Row],[Sunrise Time (POA&gt;20 W/m2)]])*24,"")</f>
        <v>12.416666666666668</v>
      </c>
      <c r="L855" s="2" t="s">
        <v>285</v>
      </c>
      <c r="M855" s="33">
        <f>IFERROR(VLOOKUP(TA[[#This Row],[Affected Equipment]],'Basic Data'!$I$2:$K$40,3,0),"")</f>
        <v>1.7241379310344799E-3</v>
      </c>
      <c r="N855">
        <v>-28</v>
      </c>
      <c r="O855" t="s">
        <v>135</v>
      </c>
      <c r="P855" s="114" t="s">
        <v>309</v>
      </c>
      <c r="Q855" s="113" t="s">
        <v>309</v>
      </c>
      <c r="R855">
        <v>131</v>
      </c>
      <c r="S855" s="2">
        <v>39</v>
      </c>
      <c r="T855" t="s">
        <v>286</v>
      </c>
      <c r="U855" t="s">
        <v>291</v>
      </c>
      <c r="V855" t="s">
        <v>289</v>
      </c>
      <c r="W855" s="32"/>
      <c r="X855" s="32"/>
      <c r="Y855" s="26"/>
      <c r="Z855" s="26"/>
      <c r="AA855" s="27">
        <f>IF(TA[[#This Row],[Work Start time on Fault]]="NA","",(TA[[#This Row],[Fault Acknowledgement Time ]]-TA[[#This Row],[Fault Time]])*24)</f>
        <v>0</v>
      </c>
      <c r="AB855" s="27">
        <f>(TA[[#This Row],[Work Start time on Fault]]-TA[[#This Row],[Fault Time]])*24</f>
        <v>0</v>
      </c>
      <c r="AC855" s="26">
        <f>(TA[[#This Row],[Work Completion time on fault]]-TA[[#This Row],[Fault Time]])*24</f>
        <v>0</v>
      </c>
      <c r="AD855" s="27">
        <f>IFERROR((TA[[#This Row],[Work Completion time on fault]]-TA[[#This Row],[Fault Time]])*24,"")</f>
        <v>0</v>
      </c>
      <c r="AE855" t="s">
        <v>319</v>
      </c>
      <c r="AF855" t="s">
        <v>247</v>
      </c>
      <c r="AG855" s="2"/>
      <c r="AH855" s="35">
        <f>1-COS(RADIANS(TA[[#This Row],[Avg. Target Angle during Fault Time (Radians)]]-TA[[#This Row],[Angle of affected equipment ]]))</f>
        <v>0.11705240714107301</v>
      </c>
      <c r="AI855" s="27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43">
        <f t="shared" si="72"/>
        <v>2026</v>
      </c>
      <c r="C856" s="116">
        <f t="shared" si="73"/>
        <v>2025</v>
      </c>
      <c r="D856" s="2" t="s">
        <v>155</v>
      </c>
      <c r="E856" s="2" t="s">
        <v>155</v>
      </c>
      <c r="F856" s="30">
        <v>45778</v>
      </c>
      <c r="G856" s="2">
        <f>DAY(EOMONTH(TA[[#This Row],[Month Year]],0))</f>
        <v>31</v>
      </c>
      <c r="H856" s="21">
        <v>45803</v>
      </c>
      <c r="I856" s="32">
        <f>IFERROR(VLOOKUP(TA[[#This Row],[Date]],Raw_Data[[Date]:[Sunset Time (POA&lt;20 W/m2)]],3,0),"")</f>
        <v>0.25</v>
      </c>
      <c r="J856" s="32">
        <f>IFERROR(VLOOKUP(TA[[#This Row],[Date]],Raw_Data[[Date]:[Sunset Time (POA&lt;20 W/m2)]],4,0),"")</f>
        <v>0.76736111111111116</v>
      </c>
      <c r="K856" s="27">
        <f>IFERROR((TA[[#This Row],[Sunset Time (POA&lt;20 W/m2)]]-TA[[#This Row],[Sunrise Time (POA&gt;20 W/m2)]])*24,"")</f>
        <v>12.416666666666668</v>
      </c>
      <c r="L856" s="2" t="s">
        <v>287</v>
      </c>
      <c r="M856" s="33">
        <f>IFERROR(VLOOKUP(TA[[#This Row],[Affected Equipment]],'Basic Data'!$I$2:$K$40,3,0),"")</f>
        <v>8.6206896551724102E-3</v>
      </c>
      <c r="N856">
        <v>-28</v>
      </c>
      <c r="O856" t="s">
        <v>135</v>
      </c>
      <c r="P856" s="114" t="s">
        <v>309</v>
      </c>
      <c r="Q856" s="2" t="s">
        <v>312</v>
      </c>
      <c r="R856">
        <v>133</v>
      </c>
      <c r="S856" s="2">
        <v>26</v>
      </c>
      <c r="T856" t="s">
        <v>288</v>
      </c>
      <c r="U856" t="s">
        <v>291</v>
      </c>
      <c r="V856" t="s">
        <v>305</v>
      </c>
      <c r="W856" s="32">
        <f>IFERROR(VLOOKUP(TA[[#This Row],[Date]],Raw_Data[[Date]:[Sunset Time (POA&lt;20 W/m2)]],3,0),"")</f>
        <v>0.25</v>
      </c>
      <c r="X856" s="32">
        <f>IFERROR(VLOOKUP(TA[[#This Row],[Date]],Raw_Data[[Date]:[Sunset Time (POA&lt;20 W/m2)]],3,0),"")</f>
        <v>0.25</v>
      </c>
      <c r="Y856" s="26"/>
      <c r="Z856" s="26">
        <v>0.76041666666666663</v>
      </c>
      <c r="AA856" s="27">
        <f>IF(TA[[#This Row],[Work Start time on Fault]]="NA","",(TA[[#This Row],[Fault Acknowledgement Time ]]-TA[[#This Row],[Fault Time]])*24)</f>
        <v>0</v>
      </c>
      <c r="AB856" s="27">
        <f>(TA[[#This Row],[Work Start time on Fault]]-TA[[#This Row],[Fault Time]])*24</f>
        <v>-6</v>
      </c>
      <c r="AC856" s="26">
        <f>(TA[[#This Row],[Work Completion time on fault]]-TA[[#This Row],[Fault Time]])*24</f>
        <v>12.25</v>
      </c>
      <c r="AD856" s="27">
        <f>IFERROR((TA[[#This Row],[Work Completion time on fault]]-TA[[#This Row],[Fault Time]])*24,"")</f>
        <v>12.25</v>
      </c>
      <c r="AE856" t="s">
        <v>319</v>
      </c>
      <c r="AF856" t="s">
        <v>247</v>
      </c>
      <c r="AG856" s="2"/>
      <c r="AH856" s="35">
        <f>1-COS(RADIANS(TA[[#This Row],[Avg. Target Angle during Fault Time (Radians)]]-TA[[#This Row],[Angle of affected equipment ]]))</f>
        <v>0.11705240714107301</v>
      </c>
      <c r="AI856" s="27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43">
        <f t="shared" si="72"/>
        <v>2026</v>
      </c>
      <c r="C857" s="116">
        <f t="shared" si="73"/>
        <v>2025</v>
      </c>
      <c r="D857" s="2" t="s">
        <v>155</v>
      </c>
      <c r="E857" s="2" t="s">
        <v>155</v>
      </c>
      <c r="F857" s="30">
        <v>45778</v>
      </c>
      <c r="G857" s="2">
        <f>DAY(EOMONTH(TA[[#This Row],[Month Year]],0))</f>
        <v>31</v>
      </c>
      <c r="H857" s="21">
        <v>45803</v>
      </c>
      <c r="I857" s="32">
        <f>IFERROR(VLOOKUP(TA[[#This Row],[Date]],Raw_Data[[Date]:[Sunset Time (POA&lt;20 W/m2)]],3,0),"")</f>
        <v>0.25</v>
      </c>
      <c r="J857" s="32">
        <f>IFERROR(VLOOKUP(TA[[#This Row],[Date]],Raw_Data[[Date]:[Sunset Time (POA&lt;20 W/m2)]],4,0),"")</f>
        <v>0.76736111111111116</v>
      </c>
      <c r="K857" s="27">
        <f>IFERROR((TA[[#This Row],[Sunset Time (POA&lt;20 W/m2)]]-TA[[#This Row],[Sunrise Time (POA&gt;20 W/m2)]])*24,"")</f>
        <v>12.416666666666668</v>
      </c>
      <c r="L857" s="2" t="s">
        <v>285</v>
      </c>
      <c r="M857" s="33">
        <f>IFERROR(VLOOKUP(TA[[#This Row],[Affected Equipment]],'Basic Data'!$I$2:$K$40,3,0),"")</f>
        <v>1.7241379310344799E-3</v>
      </c>
      <c r="N857">
        <v>-28</v>
      </c>
      <c r="O857" t="s">
        <v>133</v>
      </c>
      <c r="P857" s="114" t="s">
        <v>307</v>
      </c>
      <c r="Q857" s="113" t="s">
        <v>308</v>
      </c>
      <c r="R857">
        <v>7</v>
      </c>
      <c r="S857" s="2">
        <v>32</v>
      </c>
      <c r="T857" t="s">
        <v>286</v>
      </c>
      <c r="U857" t="s">
        <v>291</v>
      </c>
      <c r="V857" t="s">
        <v>289</v>
      </c>
      <c r="W857" s="32"/>
      <c r="X857" s="32"/>
      <c r="Y857" s="26"/>
      <c r="Z857" s="26"/>
      <c r="AA857" s="27">
        <f>IF(TA[[#This Row],[Work Start time on Fault]]="NA","",(TA[[#This Row],[Fault Acknowledgement Time ]]-TA[[#This Row],[Fault Time]])*24)</f>
        <v>0</v>
      </c>
      <c r="AB857" s="27">
        <f>(TA[[#This Row],[Work Start time on Fault]]-TA[[#This Row],[Fault Time]])*24</f>
        <v>0</v>
      </c>
      <c r="AC857" s="26">
        <f>(TA[[#This Row],[Work Completion time on fault]]-TA[[#This Row],[Fault Time]])*24</f>
        <v>0</v>
      </c>
      <c r="AD857" s="27">
        <f>IFERROR((TA[[#This Row],[Work Completion time on fault]]-TA[[#This Row],[Fault Time]])*24,"")</f>
        <v>0</v>
      </c>
      <c r="AE857" t="s">
        <v>319</v>
      </c>
      <c r="AF857" t="s">
        <v>247</v>
      </c>
      <c r="AG857" s="2"/>
      <c r="AH857" s="35">
        <f>1-COS(RADIANS(TA[[#This Row],[Avg. Target Angle during Fault Time (Radians)]]-TA[[#This Row],[Angle of affected equipment ]]))</f>
        <v>0.11705240714107301</v>
      </c>
      <c r="AI857" s="27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43">
        <f t="shared" si="72"/>
        <v>2026</v>
      </c>
      <c r="C858" s="116">
        <f t="shared" si="73"/>
        <v>2025</v>
      </c>
      <c r="D858" s="2" t="s">
        <v>155</v>
      </c>
      <c r="E858" s="2" t="s">
        <v>155</v>
      </c>
      <c r="F858" s="30">
        <v>45778</v>
      </c>
      <c r="G858" s="2">
        <f>DAY(EOMONTH(TA[[#This Row],[Month Year]],0))</f>
        <v>31</v>
      </c>
      <c r="H858" s="21">
        <v>45803</v>
      </c>
      <c r="I858" s="32">
        <f>IFERROR(VLOOKUP(TA[[#This Row],[Date]],Raw_Data[[Date]:[Sunset Time (POA&lt;20 W/m2)]],3,0),"")</f>
        <v>0.25</v>
      </c>
      <c r="J858" s="32">
        <f>IFERROR(VLOOKUP(TA[[#This Row],[Date]],Raw_Data[[Date]:[Sunset Time (POA&lt;20 W/m2)]],4,0),"")</f>
        <v>0.76736111111111116</v>
      </c>
      <c r="K858" s="27">
        <f>IFERROR((TA[[#This Row],[Sunset Time (POA&lt;20 W/m2)]]-TA[[#This Row],[Sunrise Time (POA&gt;20 W/m2)]])*24,"")</f>
        <v>12.416666666666668</v>
      </c>
      <c r="L858" s="2" t="s">
        <v>285</v>
      </c>
      <c r="M858" s="33">
        <f>IFERROR(VLOOKUP(TA[[#This Row],[Affected Equipment]],'Basic Data'!$I$2:$K$40,3,0),"")</f>
        <v>1.7241379310344799E-3</v>
      </c>
      <c r="N858">
        <v>-28</v>
      </c>
      <c r="O858" t="s">
        <v>137</v>
      </c>
      <c r="P858" s="114" t="s">
        <v>306</v>
      </c>
      <c r="Q858" s="113" t="s">
        <v>310</v>
      </c>
      <c r="R858">
        <v>166</v>
      </c>
      <c r="S858" s="2">
        <v>91</v>
      </c>
      <c r="T858" t="s">
        <v>286</v>
      </c>
      <c r="U858" t="s">
        <v>291</v>
      </c>
      <c r="V858" t="s">
        <v>289</v>
      </c>
      <c r="W858" s="32"/>
      <c r="X858" s="32"/>
      <c r="Y858" s="26"/>
      <c r="Z858" s="26"/>
      <c r="AA858" s="27">
        <f>IF(TA[[#This Row],[Work Start time on Fault]]="NA","",(TA[[#This Row],[Fault Acknowledgement Time ]]-TA[[#This Row],[Fault Time]])*24)</f>
        <v>0</v>
      </c>
      <c r="AB858" s="27">
        <f>(TA[[#This Row],[Work Start time on Fault]]-TA[[#This Row],[Fault Time]])*24</f>
        <v>0</v>
      </c>
      <c r="AC858" s="26">
        <f>(TA[[#This Row],[Work Completion time on fault]]-TA[[#This Row],[Fault Time]])*24</f>
        <v>0</v>
      </c>
      <c r="AD858" s="27">
        <f>IFERROR((TA[[#This Row],[Work Completion time on fault]]-TA[[#This Row],[Fault Time]])*24,"")</f>
        <v>0</v>
      </c>
      <c r="AE858" t="s">
        <v>319</v>
      </c>
      <c r="AF858" t="s">
        <v>247</v>
      </c>
      <c r="AG858" s="2"/>
      <c r="AH858" s="35">
        <f>1-COS(RADIANS(TA[[#This Row],[Avg. Target Angle during Fault Time (Radians)]]-TA[[#This Row],[Angle of affected equipment ]]))</f>
        <v>0.11705240714107301</v>
      </c>
      <c r="AI858" s="27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43">
        <f t="shared" si="72"/>
        <v>2026</v>
      </c>
      <c r="C859" s="116">
        <f t="shared" si="73"/>
        <v>2025</v>
      </c>
      <c r="D859" s="2" t="s">
        <v>155</v>
      </c>
      <c r="E859" s="2" t="s">
        <v>155</v>
      </c>
      <c r="F859" s="30">
        <v>45778</v>
      </c>
      <c r="G859" s="2">
        <f>DAY(EOMONTH(TA[[#This Row],[Month Year]],0))</f>
        <v>31</v>
      </c>
      <c r="H859" s="21">
        <v>45803</v>
      </c>
      <c r="I859" s="32">
        <f>IFERROR(VLOOKUP(TA[[#This Row],[Date]],Raw_Data[[Date]:[Sunset Time (POA&lt;20 W/m2)]],3,0),"")</f>
        <v>0.25</v>
      </c>
      <c r="J859" s="32">
        <f>IFERROR(VLOOKUP(TA[[#This Row],[Date]],Raw_Data[[Date]:[Sunset Time (POA&lt;20 W/m2)]],4,0),"")</f>
        <v>0.76736111111111116</v>
      </c>
      <c r="K859" s="27">
        <f>IFERROR((TA[[#This Row],[Sunset Time (POA&lt;20 W/m2)]]-TA[[#This Row],[Sunrise Time (POA&gt;20 W/m2)]])*24,"")</f>
        <v>12.416666666666668</v>
      </c>
      <c r="L859" s="2" t="s">
        <v>285</v>
      </c>
      <c r="M859" s="33">
        <f>IFERROR(VLOOKUP(TA[[#This Row],[Affected Equipment]],'Basic Data'!$I$2:$K$40,3,0),"")</f>
        <v>1.7241379310344799E-3</v>
      </c>
      <c r="N859">
        <v>-28</v>
      </c>
      <c r="O859" t="s">
        <v>133</v>
      </c>
      <c r="P859" s="114" t="s">
        <v>307</v>
      </c>
      <c r="Q859" s="113" t="s">
        <v>307</v>
      </c>
      <c r="R859">
        <v>117</v>
      </c>
      <c r="S859" s="2">
        <v>20</v>
      </c>
      <c r="T859" t="s">
        <v>286</v>
      </c>
      <c r="U859" t="s">
        <v>291</v>
      </c>
      <c r="V859" t="s">
        <v>289</v>
      </c>
      <c r="W859" s="32"/>
      <c r="X859" s="32"/>
      <c r="Y859" s="26"/>
      <c r="Z859" s="26"/>
      <c r="AA859" s="27">
        <f>IF(TA[[#This Row],[Work Start time on Fault]]="NA","",(TA[[#This Row],[Fault Acknowledgement Time ]]-TA[[#This Row],[Fault Time]])*24)</f>
        <v>0</v>
      </c>
      <c r="AB859" s="27">
        <f>(TA[[#This Row],[Work Start time on Fault]]-TA[[#This Row],[Fault Time]])*24</f>
        <v>0</v>
      </c>
      <c r="AC859" s="26">
        <f>(TA[[#This Row],[Work Completion time on fault]]-TA[[#This Row],[Fault Time]])*24</f>
        <v>0</v>
      </c>
      <c r="AD859" s="27">
        <f>IFERROR((TA[[#This Row],[Work Completion time on fault]]-TA[[#This Row],[Fault Time]])*24,"")</f>
        <v>0</v>
      </c>
      <c r="AE859" t="s">
        <v>319</v>
      </c>
      <c r="AF859" t="s">
        <v>247</v>
      </c>
      <c r="AG859" s="2"/>
      <c r="AH859" s="35">
        <f>1-COS(RADIANS(TA[[#This Row],[Avg. Target Angle during Fault Time (Radians)]]-TA[[#This Row],[Angle of affected equipment ]]))</f>
        <v>0.11705240714107301</v>
      </c>
      <c r="AI859" s="27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43">
        <f t="shared" si="72"/>
        <v>2026</v>
      </c>
      <c r="C860" s="116">
        <f t="shared" si="73"/>
        <v>2025</v>
      </c>
      <c r="D860" s="2" t="s">
        <v>155</v>
      </c>
      <c r="E860" s="2" t="s">
        <v>155</v>
      </c>
      <c r="F860" s="30">
        <v>45778</v>
      </c>
      <c r="G860" s="2">
        <f>DAY(EOMONTH(TA[[#This Row],[Month Year]],0))</f>
        <v>31</v>
      </c>
      <c r="H860" s="21">
        <v>45803</v>
      </c>
      <c r="I860" s="32">
        <f>IFERROR(VLOOKUP(TA[[#This Row],[Date]],Raw_Data[[Date]:[Sunset Time (POA&lt;20 W/m2)]],3,0),"")</f>
        <v>0.25</v>
      </c>
      <c r="J860" s="32">
        <f>IFERROR(VLOOKUP(TA[[#This Row],[Date]],Raw_Data[[Date]:[Sunset Time (POA&lt;20 W/m2)]],4,0),"")</f>
        <v>0.76736111111111116</v>
      </c>
      <c r="K860" s="27">
        <f>IFERROR((TA[[#This Row],[Sunset Time (POA&lt;20 W/m2)]]-TA[[#This Row],[Sunrise Time (POA&gt;20 W/m2)]])*24,"")</f>
        <v>12.416666666666668</v>
      </c>
      <c r="L860" s="2" t="s">
        <v>285</v>
      </c>
      <c r="M860" s="33">
        <f>IFERROR(VLOOKUP(TA[[#This Row],[Affected Equipment]],'Basic Data'!$I$2:$K$40,3,0),"")</f>
        <v>1.7241379310344799E-3</v>
      </c>
      <c r="N860">
        <v>-28</v>
      </c>
      <c r="O860" t="s">
        <v>133</v>
      </c>
      <c r="P860" s="114" t="s">
        <v>307</v>
      </c>
      <c r="Q860" s="113" t="s">
        <v>307</v>
      </c>
      <c r="R860">
        <v>118</v>
      </c>
      <c r="S860" s="2">
        <v>22</v>
      </c>
      <c r="T860" t="s">
        <v>286</v>
      </c>
      <c r="U860" t="s">
        <v>291</v>
      </c>
      <c r="V860" t="s">
        <v>289</v>
      </c>
      <c r="W860" s="32"/>
      <c r="X860" s="32"/>
      <c r="Y860" s="26"/>
      <c r="Z860" s="26"/>
      <c r="AA860" s="27">
        <f>IF(TA[[#This Row],[Work Start time on Fault]]="NA","",(TA[[#This Row],[Fault Acknowledgement Time ]]-TA[[#This Row],[Fault Time]])*24)</f>
        <v>0</v>
      </c>
      <c r="AB860" s="27">
        <f>(TA[[#This Row],[Work Start time on Fault]]-TA[[#This Row],[Fault Time]])*24</f>
        <v>0</v>
      </c>
      <c r="AC860" s="26">
        <f>(TA[[#This Row],[Work Completion time on fault]]-TA[[#This Row],[Fault Time]])*24</f>
        <v>0</v>
      </c>
      <c r="AD860" s="27">
        <f>IFERROR((TA[[#This Row],[Work Completion time on fault]]-TA[[#This Row],[Fault Time]])*24,"")</f>
        <v>0</v>
      </c>
      <c r="AE860" t="s">
        <v>319</v>
      </c>
      <c r="AF860" t="s">
        <v>247</v>
      </c>
      <c r="AG860" s="2"/>
      <c r="AH860" s="35">
        <f>1-COS(RADIANS(TA[[#This Row],[Avg. Target Angle during Fault Time (Radians)]]-TA[[#This Row],[Angle of affected equipment ]]))</f>
        <v>0.11705240714107301</v>
      </c>
      <c r="AI860" s="27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43">
        <f t="shared" si="72"/>
        <v>2026</v>
      </c>
      <c r="C861" s="116">
        <f t="shared" si="73"/>
        <v>2025</v>
      </c>
      <c r="D861" s="2" t="s">
        <v>155</v>
      </c>
      <c r="E861" s="2" t="s">
        <v>155</v>
      </c>
      <c r="F861" s="30">
        <v>45778</v>
      </c>
      <c r="G861" s="2">
        <f>DAY(EOMONTH(TA[[#This Row],[Month Year]],0))</f>
        <v>31</v>
      </c>
      <c r="H861" s="21">
        <v>45803</v>
      </c>
      <c r="I861" s="32">
        <f>IFERROR(VLOOKUP(TA[[#This Row],[Date]],Raw_Data[[Date]:[Sunset Time (POA&lt;20 W/m2)]],3,0),"")</f>
        <v>0.25</v>
      </c>
      <c r="J861" s="32">
        <f>IFERROR(VLOOKUP(TA[[#This Row],[Date]],Raw_Data[[Date]:[Sunset Time (POA&lt;20 W/m2)]],4,0),"")</f>
        <v>0.76736111111111116</v>
      </c>
      <c r="K861" s="27">
        <f>IFERROR((TA[[#This Row],[Sunset Time (POA&lt;20 W/m2)]]-TA[[#This Row],[Sunrise Time (POA&gt;20 W/m2)]])*24,"")</f>
        <v>12.416666666666668</v>
      </c>
      <c r="L861" s="2" t="s">
        <v>287</v>
      </c>
      <c r="M861" s="33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314</v>
      </c>
      <c r="Q861" s="2" t="s">
        <v>320</v>
      </c>
      <c r="R861">
        <v>45</v>
      </c>
      <c r="S861" s="2">
        <v>8</v>
      </c>
      <c r="T861" t="s">
        <v>288</v>
      </c>
      <c r="U861" t="s">
        <v>291</v>
      </c>
      <c r="V861" t="s">
        <v>292</v>
      </c>
      <c r="W861" s="32"/>
      <c r="X861" s="32"/>
      <c r="Y861" s="26"/>
      <c r="Z861" s="26"/>
      <c r="AA861" s="27">
        <f>IF(TA[[#This Row],[Work Start time on Fault]]="NA","",(TA[[#This Row],[Fault Acknowledgement Time ]]-TA[[#This Row],[Fault Time]])*24)</f>
        <v>0</v>
      </c>
      <c r="AB861" s="27">
        <f>(TA[[#This Row],[Work Start time on Fault]]-TA[[#This Row],[Fault Time]])*24</f>
        <v>0</v>
      </c>
      <c r="AC861" s="26">
        <f>(TA[[#This Row],[Work Completion time on fault]]-TA[[#This Row],[Fault Time]])*24</f>
        <v>0</v>
      </c>
      <c r="AD861" s="27">
        <f>IFERROR((TA[[#This Row],[Work Completion time on fault]]-TA[[#This Row],[Fault Time]])*24,"")</f>
        <v>0</v>
      </c>
      <c r="AE861" t="s">
        <v>319</v>
      </c>
      <c r="AF861" t="s">
        <v>247</v>
      </c>
      <c r="AG861" s="2"/>
      <c r="AH861" s="35">
        <f>1-COS(RADIANS(TA[[#This Row],[Avg. Target Angle during Fault Time (Radians)]]-TA[[#This Row],[Angle of affected equipment ]]))</f>
        <v>0.11705240714107301</v>
      </c>
      <c r="AI861" s="27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43">
        <f t="shared" si="72"/>
        <v>2026</v>
      </c>
      <c r="C862" s="116">
        <f t="shared" si="73"/>
        <v>2025</v>
      </c>
      <c r="D862" s="2" t="s">
        <v>155</v>
      </c>
      <c r="E862" s="2" t="s">
        <v>155</v>
      </c>
      <c r="F862" s="30">
        <v>45778</v>
      </c>
      <c r="G862" s="2">
        <f>DAY(EOMONTH(TA[[#This Row],[Month Year]],0))</f>
        <v>31</v>
      </c>
      <c r="H862" s="21">
        <v>45803</v>
      </c>
      <c r="I862" s="32">
        <f>IFERROR(VLOOKUP(TA[[#This Row],[Date]],Raw_Data[[Date]:[Sunset Time (POA&lt;20 W/m2)]],3,0),"")</f>
        <v>0.25</v>
      </c>
      <c r="J862" s="32">
        <f>IFERROR(VLOOKUP(TA[[#This Row],[Date]],Raw_Data[[Date]:[Sunset Time (POA&lt;20 W/m2)]],4,0),"")</f>
        <v>0.76736111111111116</v>
      </c>
      <c r="K862" s="27">
        <f>IFERROR((TA[[#This Row],[Sunset Time (POA&lt;20 W/m2)]]-TA[[#This Row],[Sunrise Time (POA&gt;20 W/m2)]])*24,"")</f>
        <v>12.416666666666668</v>
      </c>
      <c r="L862" s="2" t="s">
        <v>287</v>
      </c>
      <c r="M862" s="33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314</v>
      </c>
      <c r="Q862" s="2" t="s">
        <v>320</v>
      </c>
      <c r="R862">
        <v>47</v>
      </c>
      <c r="S862" s="2">
        <v>18</v>
      </c>
      <c r="T862" t="s">
        <v>288</v>
      </c>
      <c r="U862" t="s">
        <v>291</v>
      </c>
      <c r="V862" t="s">
        <v>292</v>
      </c>
      <c r="W862" s="32"/>
      <c r="X862" s="32"/>
      <c r="Y862" s="26"/>
      <c r="Z862" s="26"/>
      <c r="AA862" s="27">
        <f>IF(TA[[#This Row],[Work Start time on Fault]]="NA","",(TA[[#This Row],[Fault Acknowledgement Time ]]-TA[[#This Row],[Fault Time]])*24)</f>
        <v>0</v>
      </c>
      <c r="AB862" s="27">
        <f>(TA[[#This Row],[Work Start time on Fault]]-TA[[#This Row],[Fault Time]])*24</f>
        <v>0</v>
      </c>
      <c r="AC862" s="26">
        <f>(TA[[#This Row],[Work Completion time on fault]]-TA[[#This Row],[Fault Time]])*24</f>
        <v>0</v>
      </c>
      <c r="AD862" s="27">
        <f>IFERROR((TA[[#This Row],[Work Completion time on fault]]-TA[[#This Row],[Fault Time]])*24,"")</f>
        <v>0</v>
      </c>
      <c r="AE862" t="s">
        <v>319</v>
      </c>
      <c r="AF862" t="s">
        <v>247</v>
      </c>
      <c r="AG862" s="2"/>
      <c r="AH862" s="35">
        <f>1-COS(RADIANS(TA[[#This Row],[Avg. Target Angle during Fault Time (Radians)]]-TA[[#This Row],[Angle of affected equipment ]]))</f>
        <v>0.11705240714107301</v>
      </c>
      <c r="AI862" s="27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43">
        <f t="shared" si="72"/>
        <v>2026</v>
      </c>
      <c r="C863" s="116">
        <f t="shared" si="73"/>
        <v>2025</v>
      </c>
      <c r="D863" s="2" t="s">
        <v>155</v>
      </c>
      <c r="E863" s="2" t="s">
        <v>155</v>
      </c>
      <c r="F863" s="30">
        <v>45778</v>
      </c>
      <c r="G863" s="2">
        <f>DAY(EOMONTH(TA[[#This Row],[Month Year]],0))</f>
        <v>31</v>
      </c>
      <c r="H863" s="21">
        <v>45803</v>
      </c>
      <c r="I863" s="32">
        <f>IFERROR(VLOOKUP(TA[[#This Row],[Date]],Raw_Data[[Date]:[Sunset Time (POA&lt;20 W/m2)]],3,0),"")</f>
        <v>0.25</v>
      </c>
      <c r="J863" s="32">
        <f>IFERROR(VLOOKUP(TA[[#This Row],[Date]],Raw_Data[[Date]:[Sunset Time (POA&lt;20 W/m2)]],4,0),"")</f>
        <v>0.76736111111111116</v>
      </c>
      <c r="K863" s="27">
        <f>IFERROR((TA[[#This Row],[Sunset Time (POA&lt;20 W/m2)]]-TA[[#This Row],[Sunrise Time (POA&gt;20 W/m2)]])*24,"")</f>
        <v>12.416666666666668</v>
      </c>
      <c r="L863" s="2" t="s">
        <v>287</v>
      </c>
      <c r="M863" s="33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321</v>
      </c>
      <c r="Q863" s="2" t="s">
        <v>314</v>
      </c>
      <c r="R863">
        <v>30</v>
      </c>
      <c r="S863" s="2">
        <v>57</v>
      </c>
      <c r="T863" t="s">
        <v>288</v>
      </c>
      <c r="U863" t="s">
        <v>291</v>
      </c>
      <c r="V863" t="s">
        <v>292</v>
      </c>
      <c r="W863" s="32"/>
      <c r="X863" s="32"/>
      <c r="Y863" s="26"/>
      <c r="Z863" s="26"/>
      <c r="AA863" s="27">
        <f>IF(TA[[#This Row],[Work Start time on Fault]]="NA","",(TA[[#This Row],[Fault Acknowledgement Time ]]-TA[[#This Row],[Fault Time]])*24)</f>
        <v>0</v>
      </c>
      <c r="AB863" s="27">
        <f>(TA[[#This Row],[Work Start time on Fault]]-TA[[#This Row],[Fault Time]])*24</f>
        <v>0</v>
      </c>
      <c r="AC863" s="26">
        <f>(TA[[#This Row],[Work Completion time on fault]]-TA[[#This Row],[Fault Time]])*24</f>
        <v>0</v>
      </c>
      <c r="AD863" s="27">
        <f>IFERROR((TA[[#This Row],[Work Completion time on fault]]-TA[[#This Row],[Fault Time]])*24,"")</f>
        <v>0</v>
      </c>
      <c r="AE863" t="s">
        <v>319</v>
      </c>
      <c r="AF863" t="s">
        <v>247</v>
      </c>
      <c r="AG863" s="2"/>
      <c r="AH863" s="35">
        <f>1-COS(RADIANS(TA[[#This Row],[Avg. Target Angle during Fault Time (Radians)]]-TA[[#This Row],[Angle of affected equipment ]]))</f>
        <v>0.11705240714107301</v>
      </c>
      <c r="AI863" s="27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43">
        <f t="shared" si="72"/>
        <v>2026</v>
      </c>
      <c r="C864" s="116">
        <f t="shared" si="73"/>
        <v>2025</v>
      </c>
      <c r="D864" s="2" t="s">
        <v>155</v>
      </c>
      <c r="E864" s="2" t="s">
        <v>155</v>
      </c>
      <c r="F864" s="30">
        <v>45778</v>
      </c>
      <c r="G864" s="2">
        <f>DAY(EOMONTH(TA[[#This Row],[Month Year]],0))</f>
        <v>31</v>
      </c>
      <c r="H864" s="21">
        <v>45803</v>
      </c>
      <c r="I864" s="32">
        <f>IFERROR(VLOOKUP(TA[[#This Row],[Date]],Raw_Data[[Date]:[Sunset Time (POA&lt;20 W/m2)]],3,0),"")</f>
        <v>0.25</v>
      </c>
      <c r="J864" s="32">
        <f>IFERROR(VLOOKUP(TA[[#This Row],[Date]],Raw_Data[[Date]:[Sunset Time (POA&lt;20 W/m2)]],4,0),"")</f>
        <v>0.76736111111111116</v>
      </c>
      <c r="K864" s="27">
        <f>IFERROR((TA[[#This Row],[Sunset Time (POA&lt;20 W/m2)]]-TA[[#This Row],[Sunrise Time (POA&gt;20 W/m2)]])*24,"")</f>
        <v>12.416666666666668</v>
      </c>
      <c r="L864" s="2" t="s">
        <v>287</v>
      </c>
      <c r="M864" s="33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321</v>
      </c>
      <c r="Q864" s="2" t="s">
        <v>314</v>
      </c>
      <c r="R864">
        <v>31</v>
      </c>
      <c r="S864" s="2">
        <v>61</v>
      </c>
      <c r="T864" t="s">
        <v>288</v>
      </c>
      <c r="U864" t="s">
        <v>291</v>
      </c>
      <c r="V864" t="s">
        <v>292</v>
      </c>
      <c r="W864" s="32"/>
      <c r="X864" s="32"/>
      <c r="Y864" s="26"/>
      <c r="Z864" s="26"/>
      <c r="AA864" s="27">
        <f>IF(TA[[#This Row],[Work Start time on Fault]]="NA","",(TA[[#This Row],[Fault Acknowledgement Time ]]-TA[[#This Row],[Fault Time]])*24)</f>
        <v>0</v>
      </c>
      <c r="AB864" s="27">
        <f>(TA[[#This Row],[Work Start time on Fault]]-TA[[#This Row],[Fault Time]])*24</f>
        <v>0</v>
      </c>
      <c r="AC864" s="26">
        <f>(TA[[#This Row],[Work Completion time on fault]]-TA[[#This Row],[Fault Time]])*24</f>
        <v>0</v>
      </c>
      <c r="AD864" s="27">
        <f>IFERROR((TA[[#This Row],[Work Completion time on fault]]-TA[[#This Row],[Fault Time]])*24,"")</f>
        <v>0</v>
      </c>
      <c r="AE864" t="s">
        <v>319</v>
      </c>
      <c r="AF864" t="s">
        <v>247</v>
      </c>
      <c r="AG864" s="2"/>
      <c r="AH864" s="35">
        <f>1-COS(RADIANS(TA[[#This Row],[Avg. Target Angle during Fault Time (Radians)]]-TA[[#This Row],[Angle of affected equipment ]]))</f>
        <v>0.11705240714107301</v>
      </c>
      <c r="AI864" s="27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43">
        <f t="shared" si="72"/>
        <v>2026</v>
      </c>
      <c r="C865" s="116">
        <f t="shared" si="73"/>
        <v>2025</v>
      </c>
      <c r="D865" s="2" t="s">
        <v>155</v>
      </c>
      <c r="E865" s="2" t="s">
        <v>155</v>
      </c>
      <c r="F865" s="30">
        <v>45778</v>
      </c>
      <c r="G865" s="2">
        <f>DAY(EOMONTH(TA[[#This Row],[Month Year]],0))</f>
        <v>31</v>
      </c>
      <c r="H865" s="21">
        <v>45803</v>
      </c>
      <c r="I865" s="32">
        <f>IFERROR(VLOOKUP(TA[[#This Row],[Date]],Raw_Data[[Date]:[Sunset Time (POA&lt;20 W/m2)]],3,0),"")</f>
        <v>0.25</v>
      </c>
      <c r="J865" s="32">
        <f>IFERROR(VLOOKUP(TA[[#This Row],[Date]],Raw_Data[[Date]:[Sunset Time (POA&lt;20 W/m2)]],4,0),"")</f>
        <v>0.76736111111111116</v>
      </c>
      <c r="K865" s="27">
        <f>IFERROR((TA[[#This Row],[Sunset Time (POA&lt;20 W/m2)]]-TA[[#This Row],[Sunrise Time (POA&gt;20 W/m2)]])*24,"")</f>
        <v>12.416666666666668</v>
      </c>
      <c r="L865" s="2" t="s">
        <v>303</v>
      </c>
      <c r="M865" s="33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321</v>
      </c>
      <c r="Q865" s="2" t="s">
        <v>314</v>
      </c>
      <c r="R865">
        <v>26</v>
      </c>
      <c r="S865" s="2">
        <v>37</v>
      </c>
      <c r="T865" t="s">
        <v>288</v>
      </c>
      <c r="U865" t="s">
        <v>291</v>
      </c>
      <c r="V865" t="s">
        <v>292</v>
      </c>
      <c r="W865" s="32"/>
      <c r="X865" s="32"/>
      <c r="Y865" s="26"/>
      <c r="Z865" s="26"/>
      <c r="AA865" s="27">
        <f>IF(TA[[#This Row],[Work Start time on Fault]]="NA","",(TA[[#This Row],[Fault Acknowledgement Time ]]-TA[[#This Row],[Fault Time]])*24)</f>
        <v>0</v>
      </c>
      <c r="AB865" s="27">
        <f>(TA[[#This Row],[Work Start time on Fault]]-TA[[#This Row],[Fault Time]])*24</f>
        <v>0</v>
      </c>
      <c r="AC865" s="26">
        <f>(TA[[#This Row],[Work Completion time on fault]]-TA[[#This Row],[Fault Time]])*24</f>
        <v>0</v>
      </c>
      <c r="AD865" s="27">
        <f>IFERROR((TA[[#This Row],[Work Completion time on fault]]-TA[[#This Row],[Fault Time]])*24,"")</f>
        <v>0</v>
      </c>
      <c r="AE865" t="s">
        <v>319</v>
      </c>
      <c r="AF865" t="s">
        <v>247</v>
      </c>
      <c r="AG865" s="2"/>
      <c r="AH865" s="35">
        <f>1-COS(RADIANS(TA[[#This Row],[Avg. Target Angle during Fault Time (Radians)]]-TA[[#This Row],[Angle of affected equipment ]]))</f>
        <v>0.11705240714107301</v>
      </c>
      <c r="AI865" s="27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43">
        <f t="shared" si="72"/>
        <v>2026</v>
      </c>
      <c r="C866" s="116">
        <f t="shared" si="73"/>
        <v>2025</v>
      </c>
      <c r="D866" s="2" t="s">
        <v>155</v>
      </c>
      <c r="E866" s="2" t="s">
        <v>155</v>
      </c>
      <c r="F866" s="30">
        <v>45778</v>
      </c>
      <c r="G866" s="2">
        <f>DAY(EOMONTH(TA[[#This Row],[Month Year]],0))</f>
        <v>31</v>
      </c>
      <c r="H866" s="21">
        <v>45803</v>
      </c>
      <c r="I866" s="32">
        <f>IFERROR(VLOOKUP(TA[[#This Row],[Date]],Raw_Data[[Date]:[Sunset Time (POA&lt;20 W/m2)]],3,0),"")</f>
        <v>0.25</v>
      </c>
      <c r="J866" s="32">
        <f>IFERROR(VLOOKUP(TA[[#This Row],[Date]],Raw_Data[[Date]:[Sunset Time (POA&lt;20 W/m2)]],4,0),"")</f>
        <v>0.76736111111111116</v>
      </c>
      <c r="K866" s="27">
        <f>IFERROR((TA[[#This Row],[Sunset Time (POA&lt;20 W/m2)]]-TA[[#This Row],[Sunrise Time (POA&gt;20 W/m2)]])*24,"")</f>
        <v>12.416666666666668</v>
      </c>
      <c r="L866" s="2" t="s">
        <v>303</v>
      </c>
      <c r="M866" s="33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321</v>
      </c>
      <c r="Q866" s="2" t="s">
        <v>314</v>
      </c>
      <c r="R866">
        <v>27</v>
      </c>
      <c r="S866" s="2">
        <v>42</v>
      </c>
      <c r="T866" t="s">
        <v>288</v>
      </c>
      <c r="U866" t="s">
        <v>291</v>
      </c>
      <c r="V866" t="s">
        <v>292</v>
      </c>
      <c r="W866" s="32">
        <f>IFERROR(VLOOKUP(TA[[#This Row],[Date]],Raw_Data[[Date]:[Sunset Time (POA&lt;20 W/m2)]],3,0),"")</f>
        <v>0.25</v>
      </c>
      <c r="X866" s="32">
        <f>IFERROR(VLOOKUP(TA[[#This Row],[Date]],Raw_Data[[Date]:[Sunset Time (POA&lt;20 W/m2)]],3,0),"")</f>
        <v>0.25</v>
      </c>
      <c r="Y866" s="26"/>
      <c r="Z866" s="26">
        <v>0.76041666666666663</v>
      </c>
      <c r="AA866" s="27">
        <f>IF(TA[[#This Row],[Work Start time on Fault]]="NA","",(TA[[#This Row],[Fault Acknowledgement Time ]]-TA[[#This Row],[Fault Time]])*24)</f>
        <v>0</v>
      </c>
      <c r="AB866" s="27">
        <f>(TA[[#This Row],[Work Start time on Fault]]-TA[[#This Row],[Fault Time]])*24</f>
        <v>-6</v>
      </c>
      <c r="AC866" s="26">
        <f>(TA[[#This Row],[Work Completion time on fault]]-TA[[#This Row],[Fault Time]])*24</f>
        <v>12.25</v>
      </c>
      <c r="AD866" s="27">
        <f>IFERROR((TA[[#This Row],[Work Completion time on fault]]-TA[[#This Row],[Fault Time]])*24,"")</f>
        <v>12.25</v>
      </c>
      <c r="AE866" t="s">
        <v>300</v>
      </c>
      <c r="AF866" t="s">
        <v>247</v>
      </c>
      <c r="AG866" s="2"/>
      <c r="AH866" s="35">
        <f>1-COS(RADIANS(TA[[#This Row],[Avg. Target Angle during Fault Time (Radians)]]-TA[[#This Row],[Angle of affected equipment ]]))</f>
        <v>0.11705240714107301</v>
      </c>
      <c r="AI866" s="27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43">
        <f t="shared" ref="B867:B879" si="74">YEAR(H867)+IF(MONTH(H867)&gt;=4,1,0)</f>
        <v>2026</v>
      </c>
      <c r="C867" s="116">
        <f t="shared" ref="C867:C879" si="75">YEAR(H867)</f>
        <v>2025</v>
      </c>
      <c r="D867" s="2" t="s">
        <v>155</v>
      </c>
      <c r="E867" s="2" t="s">
        <v>155</v>
      </c>
      <c r="F867" s="30">
        <v>45778</v>
      </c>
      <c r="G867" s="2">
        <f>DAY(EOMONTH(TA[[#This Row],[Month Year]],0))</f>
        <v>31</v>
      </c>
      <c r="H867" s="21">
        <v>45804</v>
      </c>
      <c r="I867" s="32">
        <f>IFERROR(VLOOKUP(TA[[#This Row],[Date]],Raw_Data[[Date]:[Sunset Time (POA&lt;20 W/m2)]],3,0),"")</f>
        <v>0.24513888888888888</v>
      </c>
      <c r="J867" s="32">
        <f>IFERROR(VLOOKUP(TA[[#This Row],[Date]],Raw_Data[[Date]:[Sunset Time (POA&lt;20 W/m2)]],4,0),"")</f>
        <v>0.72986111111111107</v>
      </c>
      <c r="K867" s="27">
        <f>IFERROR((TA[[#This Row],[Sunset Time (POA&lt;20 W/m2)]]-TA[[#This Row],[Sunrise Time (POA&gt;20 W/m2)]])*24,"")</f>
        <v>11.633333333333333</v>
      </c>
      <c r="L867" s="2" t="s">
        <v>285</v>
      </c>
      <c r="M867" s="33">
        <f>IFERROR(VLOOKUP(TA[[#This Row],[Affected Equipment]],'Basic Data'!$I$2:$K$40,3,0),"")</f>
        <v>1.7241379310344799E-3</v>
      </c>
      <c r="N867">
        <v>-28</v>
      </c>
      <c r="O867" t="s">
        <v>135</v>
      </c>
      <c r="P867" s="114" t="s">
        <v>309</v>
      </c>
      <c r="Q867" s="113" t="s">
        <v>309</v>
      </c>
      <c r="R867">
        <v>131</v>
      </c>
      <c r="S867" s="2">
        <v>38</v>
      </c>
      <c r="T867" t="s">
        <v>286</v>
      </c>
      <c r="U867" t="s">
        <v>291</v>
      </c>
      <c r="V867" t="s">
        <v>289</v>
      </c>
      <c r="W867" s="32"/>
      <c r="X867" s="32"/>
      <c r="Y867" s="26"/>
      <c r="Z867" s="26"/>
      <c r="AA867" s="27">
        <f>IF(TA[[#This Row],[Work Start time on Fault]]="NA","",(TA[[#This Row],[Fault Acknowledgement Time ]]-TA[[#This Row],[Fault Time]])*24)</f>
        <v>0</v>
      </c>
      <c r="AB867" s="27">
        <f>(TA[[#This Row],[Work Start time on Fault]]-TA[[#This Row],[Fault Time]])*24</f>
        <v>0</v>
      </c>
      <c r="AC867" s="26">
        <f>(TA[[#This Row],[Work Completion time on fault]]-TA[[#This Row],[Fault Time]])*24</f>
        <v>0</v>
      </c>
      <c r="AD867" s="27">
        <f>IFERROR((TA[[#This Row],[Work Completion time on fault]]-TA[[#This Row],[Fault Time]])*24,"")</f>
        <v>0</v>
      </c>
      <c r="AE867" t="s">
        <v>319</v>
      </c>
      <c r="AF867" t="s">
        <v>247</v>
      </c>
      <c r="AG867" s="2"/>
      <c r="AH867" s="35">
        <f>1-COS(RADIANS(TA[[#This Row],[Avg. Target Angle during Fault Time (Radians)]]-TA[[#This Row],[Angle of affected equipment ]]))</f>
        <v>0.11705240714107301</v>
      </c>
      <c r="AI867" s="27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43">
        <f t="shared" si="74"/>
        <v>2026</v>
      </c>
      <c r="C868" s="116">
        <f t="shared" si="75"/>
        <v>2025</v>
      </c>
      <c r="D868" s="2" t="s">
        <v>155</v>
      </c>
      <c r="E868" s="2" t="s">
        <v>155</v>
      </c>
      <c r="F868" s="30">
        <v>45778</v>
      </c>
      <c r="G868" s="2">
        <f>DAY(EOMONTH(TA[[#This Row],[Month Year]],0))</f>
        <v>31</v>
      </c>
      <c r="H868" s="21">
        <v>45804</v>
      </c>
      <c r="I868" s="32">
        <f>IFERROR(VLOOKUP(TA[[#This Row],[Date]],Raw_Data[[Date]:[Sunset Time (POA&lt;20 W/m2)]],3,0),"")</f>
        <v>0.24513888888888888</v>
      </c>
      <c r="J868" s="32">
        <f>IFERROR(VLOOKUP(TA[[#This Row],[Date]],Raw_Data[[Date]:[Sunset Time (POA&lt;20 W/m2)]],4,0),"")</f>
        <v>0.72986111111111107</v>
      </c>
      <c r="K868" s="27">
        <f>IFERROR((TA[[#This Row],[Sunset Time (POA&lt;20 W/m2)]]-TA[[#This Row],[Sunrise Time (POA&gt;20 W/m2)]])*24,"")</f>
        <v>11.633333333333333</v>
      </c>
      <c r="L868" s="2" t="s">
        <v>285</v>
      </c>
      <c r="M868" s="33">
        <f>IFERROR(VLOOKUP(TA[[#This Row],[Affected Equipment]],'Basic Data'!$I$2:$K$40,3,0),"")</f>
        <v>1.7241379310344799E-3</v>
      </c>
      <c r="N868">
        <v>-28</v>
      </c>
      <c r="O868" t="s">
        <v>135</v>
      </c>
      <c r="P868" s="114" t="s">
        <v>309</v>
      </c>
      <c r="Q868" s="113" t="s">
        <v>309</v>
      </c>
      <c r="R868">
        <v>131</v>
      </c>
      <c r="S868" s="2">
        <v>39</v>
      </c>
      <c r="T868" t="s">
        <v>286</v>
      </c>
      <c r="U868" t="s">
        <v>291</v>
      </c>
      <c r="V868" t="s">
        <v>289</v>
      </c>
      <c r="W868" s="32"/>
      <c r="X868" s="32"/>
      <c r="Y868" s="26"/>
      <c r="Z868" s="26"/>
      <c r="AA868" s="27">
        <f>IF(TA[[#This Row],[Work Start time on Fault]]="NA","",(TA[[#This Row],[Fault Acknowledgement Time ]]-TA[[#This Row],[Fault Time]])*24)</f>
        <v>0</v>
      </c>
      <c r="AB868" s="27">
        <f>(TA[[#This Row],[Work Start time on Fault]]-TA[[#This Row],[Fault Time]])*24</f>
        <v>0</v>
      </c>
      <c r="AC868" s="26">
        <f>(TA[[#This Row],[Work Completion time on fault]]-TA[[#This Row],[Fault Time]])*24</f>
        <v>0</v>
      </c>
      <c r="AD868" s="27">
        <f>IFERROR((TA[[#This Row],[Work Completion time on fault]]-TA[[#This Row],[Fault Time]])*24,"")</f>
        <v>0</v>
      </c>
      <c r="AE868" t="s">
        <v>319</v>
      </c>
      <c r="AF868" t="s">
        <v>247</v>
      </c>
      <c r="AG868" s="2"/>
      <c r="AH868" s="35">
        <f>1-COS(RADIANS(TA[[#This Row],[Avg. Target Angle during Fault Time (Radians)]]-TA[[#This Row],[Angle of affected equipment ]]))</f>
        <v>0.11705240714107301</v>
      </c>
      <c r="AI868" s="27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43">
        <f t="shared" si="74"/>
        <v>2026</v>
      </c>
      <c r="C869" s="116">
        <f t="shared" si="75"/>
        <v>2025</v>
      </c>
      <c r="D869" s="2" t="s">
        <v>155</v>
      </c>
      <c r="E869" s="2" t="s">
        <v>155</v>
      </c>
      <c r="F869" s="30">
        <v>45778</v>
      </c>
      <c r="G869" s="2">
        <f>DAY(EOMONTH(TA[[#This Row],[Month Year]],0))</f>
        <v>31</v>
      </c>
      <c r="H869" s="21">
        <v>45804</v>
      </c>
      <c r="I869" s="32">
        <f>IFERROR(VLOOKUP(TA[[#This Row],[Date]],Raw_Data[[Date]:[Sunset Time (POA&lt;20 W/m2)]],3,0),"")</f>
        <v>0.24513888888888888</v>
      </c>
      <c r="J869" s="32">
        <f>IFERROR(VLOOKUP(TA[[#This Row],[Date]],Raw_Data[[Date]:[Sunset Time (POA&lt;20 W/m2)]],4,0),"")</f>
        <v>0.72986111111111107</v>
      </c>
      <c r="K869" s="27">
        <f>IFERROR((TA[[#This Row],[Sunset Time (POA&lt;20 W/m2)]]-TA[[#This Row],[Sunrise Time (POA&gt;20 W/m2)]])*24,"")</f>
        <v>11.633333333333333</v>
      </c>
      <c r="L869" s="2" t="s">
        <v>287</v>
      </c>
      <c r="M869" s="33">
        <f>IFERROR(VLOOKUP(TA[[#This Row],[Affected Equipment]],'Basic Data'!$I$2:$K$40,3,0),"")</f>
        <v>8.6206896551724102E-3</v>
      </c>
      <c r="N869">
        <v>-28</v>
      </c>
      <c r="O869" t="s">
        <v>135</v>
      </c>
      <c r="P869" s="114" t="s">
        <v>309</v>
      </c>
      <c r="Q869" s="2" t="s">
        <v>312</v>
      </c>
      <c r="R869">
        <v>133</v>
      </c>
      <c r="S869" s="2">
        <v>26</v>
      </c>
      <c r="T869" t="s">
        <v>288</v>
      </c>
      <c r="U869" t="s">
        <v>291</v>
      </c>
      <c r="V869" t="s">
        <v>305</v>
      </c>
      <c r="W869" s="32">
        <f>IFERROR(VLOOKUP(TA[[#This Row],[Date]],Raw_Data[[Date]:[Sunset Time (POA&lt;20 W/m2)]],3,0),"")</f>
        <v>0.24513888888888888</v>
      </c>
      <c r="X869" s="32">
        <f>IFERROR(VLOOKUP(TA[[#This Row],[Date]],Raw_Data[[Date]:[Sunset Time (POA&lt;20 W/m2)]],3,0),"")</f>
        <v>0.24513888888888888</v>
      </c>
      <c r="Y869" s="26"/>
      <c r="Z869" s="26">
        <v>0.76041666666666663</v>
      </c>
      <c r="AA869" s="27">
        <f>IF(TA[[#This Row],[Work Start time on Fault]]="NA","",(TA[[#This Row],[Fault Acknowledgement Time ]]-TA[[#This Row],[Fault Time]])*24)</f>
        <v>0</v>
      </c>
      <c r="AB869" s="27">
        <f>(TA[[#This Row],[Work Start time on Fault]]-TA[[#This Row],[Fault Time]])*24</f>
        <v>-5.8833333333333329</v>
      </c>
      <c r="AC869" s="26">
        <f>(TA[[#This Row],[Work Completion time on fault]]-TA[[#This Row],[Fault Time]])*24</f>
        <v>12.366666666666665</v>
      </c>
      <c r="AD869" s="27">
        <f>IFERROR((TA[[#This Row],[Work Completion time on fault]]-TA[[#This Row],[Fault Time]])*24,"")</f>
        <v>12.366666666666665</v>
      </c>
      <c r="AE869" t="s">
        <v>319</v>
      </c>
      <c r="AF869" t="s">
        <v>247</v>
      </c>
      <c r="AG869" s="2"/>
      <c r="AH869" s="35">
        <f>1-COS(RADIANS(TA[[#This Row],[Avg. Target Angle during Fault Time (Radians)]]-TA[[#This Row],[Angle of affected equipment ]]))</f>
        <v>0.11705240714107301</v>
      </c>
      <c r="AI869" s="27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43">
        <f t="shared" si="74"/>
        <v>2026</v>
      </c>
      <c r="C870" s="116">
        <f t="shared" si="75"/>
        <v>2025</v>
      </c>
      <c r="D870" s="2" t="s">
        <v>155</v>
      </c>
      <c r="E870" s="2" t="s">
        <v>155</v>
      </c>
      <c r="F870" s="30">
        <v>45778</v>
      </c>
      <c r="G870" s="2">
        <f>DAY(EOMONTH(TA[[#This Row],[Month Year]],0))</f>
        <v>31</v>
      </c>
      <c r="H870" s="21">
        <v>45804</v>
      </c>
      <c r="I870" s="32">
        <f>IFERROR(VLOOKUP(TA[[#This Row],[Date]],Raw_Data[[Date]:[Sunset Time (POA&lt;20 W/m2)]],3,0),"")</f>
        <v>0.24513888888888888</v>
      </c>
      <c r="J870" s="32">
        <f>IFERROR(VLOOKUP(TA[[#This Row],[Date]],Raw_Data[[Date]:[Sunset Time (POA&lt;20 W/m2)]],4,0),"")</f>
        <v>0.72986111111111107</v>
      </c>
      <c r="K870" s="27">
        <f>IFERROR((TA[[#This Row],[Sunset Time (POA&lt;20 W/m2)]]-TA[[#This Row],[Sunrise Time (POA&gt;20 W/m2)]])*24,"")</f>
        <v>11.633333333333333</v>
      </c>
      <c r="L870" s="2" t="s">
        <v>285</v>
      </c>
      <c r="M870" s="33">
        <f>IFERROR(VLOOKUP(TA[[#This Row],[Affected Equipment]],'Basic Data'!$I$2:$K$40,3,0),"")</f>
        <v>1.7241379310344799E-3</v>
      </c>
      <c r="N870">
        <v>-28</v>
      </c>
      <c r="O870" t="s">
        <v>133</v>
      </c>
      <c r="P870" s="114" t="s">
        <v>307</v>
      </c>
      <c r="Q870" s="113" t="s">
        <v>308</v>
      </c>
      <c r="R870">
        <v>7</v>
      </c>
      <c r="S870" s="2">
        <v>32</v>
      </c>
      <c r="T870" t="s">
        <v>286</v>
      </c>
      <c r="U870" t="s">
        <v>291</v>
      </c>
      <c r="V870" t="s">
        <v>289</v>
      </c>
      <c r="W870" s="32"/>
      <c r="X870" s="32"/>
      <c r="Y870" s="26"/>
      <c r="Z870" s="26"/>
      <c r="AA870" s="27">
        <f>IF(TA[[#This Row],[Work Start time on Fault]]="NA","",(TA[[#This Row],[Fault Acknowledgement Time ]]-TA[[#This Row],[Fault Time]])*24)</f>
        <v>0</v>
      </c>
      <c r="AB870" s="27">
        <f>(TA[[#This Row],[Work Start time on Fault]]-TA[[#This Row],[Fault Time]])*24</f>
        <v>0</v>
      </c>
      <c r="AC870" s="26">
        <f>(TA[[#This Row],[Work Completion time on fault]]-TA[[#This Row],[Fault Time]])*24</f>
        <v>0</v>
      </c>
      <c r="AD870" s="27">
        <f>IFERROR((TA[[#This Row],[Work Completion time on fault]]-TA[[#This Row],[Fault Time]])*24,"")</f>
        <v>0</v>
      </c>
      <c r="AE870" t="s">
        <v>319</v>
      </c>
      <c r="AF870" t="s">
        <v>247</v>
      </c>
      <c r="AG870" s="2"/>
      <c r="AH870" s="35">
        <f>1-COS(RADIANS(TA[[#This Row],[Avg. Target Angle during Fault Time (Radians)]]-TA[[#This Row],[Angle of affected equipment ]]))</f>
        <v>0.11705240714107301</v>
      </c>
      <c r="AI870" s="27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43">
        <f t="shared" si="74"/>
        <v>2026</v>
      </c>
      <c r="C871" s="116">
        <f t="shared" si="75"/>
        <v>2025</v>
      </c>
      <c r="D871" s="2" t="s">
        <v>155</v>
      </c>
      <c r="E871" s="2" t="s">
        <v>155</v>
      </c>
      <c r="F871" s="30">
        <v>45778</v>
      </c>
      <c r="G871" s="2">
        <f>DAY(EOMONTH(TA[[#This Row],[Month Year]],0))</f>
        <v>31</v>
      </c>
      <c r="H871" s="21">
        <v>45804</v>
      </c>
      <c r="I871" s="32">
        <f>IFERROR(VLOOKUP(TA[[#This Row],[Date]],Raw_Data[[Date]:[Sunset Time (POA&lt;20 W/m2)]],3,0),"")</f>
        <v>0.24513888888888888</v>
      </c>
      <c r="J871" s="32">
        <f>IFERROR(VLOOKUP(TA[[#This Row],[Date]],Raw_Data[[Date]:[Sunset Time (POA&lt;20 W/m2)]],4,0),"")</f>
        <v>0.72986111111111107</v>
      </c>
      <c r="K871" s="27">
        <f>IFERROR((TA[[#This Row],[Sunset Time (POA&lt;20 W/m2)]]-TA[[#This Row],[Sunrise Time (POA&gt;20 W/m2)]])*24,"")</f>
        <v>11.633333333333333</v>
      </c>
      <c r="L871" s="2" t="s">
        <v>285</v>
      </c>
      <c r="M871" s="33">
        <f>IFERROR(VLOOKUP(TA[[#This Row],[Affected Equipment]],'Basic Data'!$I$2:$K$40,3,0),"")</f>
        <v>1.7241379310344799E-3</v>
      </c>
      <c r="N871">
        <v>-28</v>
      </c>
      <c r="O871" t="s">
        <v>137</v>
      </c>
      <c r="P871" s="114" t="s">
        <v>306</v>
      </c>
      <c r="Q871" s="113" t="s">
        <v>310</v>
      </c>
      <c r="R871">
        <v>166</v>
      </c>
      <c r="S871" s="2">
        <v>91</v>
      </c>
      <c r="T871" t="s">
        <v>286</v>
      </c>
      <c r="U871" t="s">
        <v>291</v>
      </c>
      <c r="V871" t="s">
        <v>289</v>
      </c>
      <c r="W871" s="32"/>
      <c r="X871" s="32"/>
      <c r="Y871" s="26"/>
      <c r="Z871" s="26"/>
      <c r="AA871" s="27">
        <f>IF(TA[[#This Row],[Work Start time on Fault]]="NA","",(TA[[#This Row],[Fault Acknowledgement Time ]]-TA[[#This Row],[Fault Time]])*24)</f>
        <v>0</v>
      </c>
      <c r="AB871" s="27">
        <f>(TA[[#This Row],[Work Start time on Fault]]-TA[[#This Row],[Fault Time]])*24</f>
        <v>0</v>
      </c>
      <c r="AC871" s="26">
        <f>(TA[[#This Row],[Work Completion time on fault]]-TA[[#This Row],[Fault Time]])*24</f>
        <v>0</v>
      </c>
      <c r="AD871" s="27">
        <f>IFERROR((TA[[#This Row],[Work Completion time on fault]]-TA[[#This Row],[Fault Time]])*24,"")</f>
        <v>0</v>
      </c>
      <c r="AE871" t="s">
        <v>319</v>
      </c>
      <c r="AF871" t="s">
        <v>247</v>
      </c>
      <c r="AG871" s="2"/>
      <c r="AH871" s="35">
        <f>1-COS(RADIANS(TA[[#This Row],[Avg. Target Angle during Fault Time (Radians)]]-TA[[#This Row],[Angle of affected equipment ]]))</f>
        <v>0.11705240714107301</v>
      </c>
      <c r="AI871" s="27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43">
        <f t="shared" si="74"/>
        <v>2026</v>
      </c>
      <c r="C872" s="116">
        <f t="shared" si="75"/>
        <v>2025</v>
      </c>
      <c r="D872" s="2" t="s">
        <v>155</v>
      </c>
      <c r="E872" s="2" t="s">
        <v>155</v>
      </c>
      <c r="F872" s="30">
        <v>45778</v>
      </c>
      <c r="G872" s="2">
        <f>DAY(EOMONTH(TA[[#This Row],[Month Year]],0))</f>
        <v>31</v>
      </c>
      <c r="H872" s="21">
        <v>45804</v>
      </c>
      <c r="I872" s="32">
        <f>IFERROR(VLOOKUP(TA[[#This Row],[Date]],Raw_Data[[Date]:[Sunset Time (POA&lt;20 W/m2)]],3,0),"")</f>
        <v>0.24513888888888888</v>
      </c>
      <c r="J872" s="32">
        <f>IFERROR(VLOOKUP(TA[[#This Row],[Date]],Raw_Data[[Date]:[Sunset Time (POA&lt;20 W/m2)]],4,0),"")</f>
        <v>0.72986111111111107</v>
      </c>
      <c r="K872" s="27">
        <f>IFERROR((TA[[#This Row],[Sunset Time (POA&lt;20 W/m2)]]-TA[[#This Row],[Sunrise Time (POA&gt;20 W/m2)]])*24,"")</f>
        <v>11.633333333333333</v>
      </c>
      <c r="L872" s="2" t="s">
        <v>285</v>
      </c>
      <c r="M872" s="33">
        <f>IFERROR(VLOOKUP(TA[[#This Row],[Affected Equipment]],'Basic Data'!$I$2:$K$40,3,0),"")</f>
        <v>1.7241379310344799E-3</v>
      </c>
      <c r="N872">
        <v>-28</v>
      </c>
      <c r="O872" t="s">
        <v>133</v>
      </c>
      <c r="P872" s="114" t="s">
        <v>307</v>
      </c>
      <c r="Q872" s="113" t="s">
        <v>307</v>
      </c>
      <c r="R872">
        <v>117</v>
      </c>
      <c r="S872" s="2">
        <v>20</v>
      </c>
      <c r="T872" t="s">
        <v>286</v>
      </c>
      <c r="U872" t="s">
        <v>291</v>
      </c>
      <c r="V872" t="s">
        <v>289</v>
      </c>
      <c r="W872" s="32"/>
      <c r="X872" s="32"/>
      <c r="Y872" s="26"/>
      <c r="Z872" s="26"/>
      <c r="AA872" s="27">
        <f>IF(TA[[#This Row],[Work Start time on Fault]]="NA","",(TA[[#This Row],[Fault Acknowledgement Time ]]-TA[[#This Row],[Fault Time]])*24)</f>
        <v>0</v>
      </c>
      <c r="AB872" s="27">
        <f>(TA[[#This Row],[Work Start time on Fault]]-TA[[#This Row],[Fault Time]])*24</f>
        <v>0</v>
      </c>
      <c r="AC872" s="26">
        <f>(TA[[#This Row],[Work Completion time on fault]]-TA[[#This Row],[Fault Time]])*24</f>
        <v>0</v>
      </c>
      <c r="AD872" s="27">
        <f>IFERROR((TA[[#This Row],[Work Completion time on fault]]-TA[[#This Row],[Fault Time]])*24,"")</f>
        <v>0</v>
      </c>
      <c r="AE872" t="s">
        <v>319</v>
      </c>
      <c r="AF872" t="s">
        <v>247</v>
      </c>
      <c r="AG872" s="2"/>
      <c r="AH872" s="35">
        <f>1-COS(RADIANS(TA[[#This Row],[Avg. Target Angle during Fault Time (Radians)]]-TA[[#This Row],[Angle of affected equipment ]]))</f>
        <v>0.11705240714107301</v>
      </c>
      <c r="AI872" s="27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43">
        <f t="shared" si="74"/>
        <v>2026</v>
      </c>
      <c r="C873" s="116">
        <f t="shared" si="75"/>
        <v>2025</v>
      </c>
      <c r="D873" s="2" t="s">
        <v>155</v>
      </c>
      <c r="E873" s="2" t="s">
        <v>155</v>
      </c>
      <c r="F873" s="30">
        <v>45778</v>
      </c>
      <c r="G873" s="2">
        <f>DAY(EOMONTH(TA[[#This Row],[Month Year]],0))</f>
        <v>31</v>
      </c>
      <c r="H873" s="21">
        <v>45804</v>
      </c>
      <c r="I873" s="32">
        <f>IFERROR(VLOOKUP(TA[[#This Row],[Date]],Raw_Data[[Date]:[Sunset Time (POA&lt;20 W/m2)]],3,0),"")</f>
        <v>0.24513888888888888</v>
      </c>
      <c r="J873" s="32">
        <f>IFERROR(VLOOKUP(TA[[#This Row],[Date]],Raw_Data[[Date]:[Sunset Time (POA&lt;20 W/m2)]],4,0),"")</f>
        <v>0.72986111111111107</v>
      </c>
      <c r="K873" s="27">
        <f>IFERROR((TA[[#This Row],[Sunset Time (POA&lt;20 W/m2)]]-TA[[#This Row],[Sunrise Time (POA&gt;20 W/m2)]])*24,"")</f>
        <v>11.633333333333333</v>
      </c>
      <c r="L873" s="2" t="s">
        <v>285</v>
      </c>
      <c r="M873" s="33">
        <f>IFERROR(VLOOKUP(TA[[#This Row],[Affected Equipment]],'Basic Data'!$I$2:$K$40,3,0),"")</f>
        <v>1.7241379310344799E-3</v>
      </c>
      <c r="N873">
        <v>-28</v>
      </c>
      <c r="O873" t="s">
        <v>133</v>
      </c>
      <c r="P873" s="114" t="s">
        <v>307</v>
      </c>
      <c r="Q873" s="113" t="s">
        <v>307</v>
      </c>
      <c r="R873">
        <v>118</v>
      </c>
      <c r="S873" s="2">
        <v>22</v>
      </c>
      <c r="T873" t="s">
        <v>286</v>
      </c>
      <c r="U873" t="s">
        <v>291</v>
      </c>
      <c r="V873" t="s">
        <v>289</v>
      </c>
      <c r="W873" s="32"/>
      <c r="X873" s="32"/>
      <c r="Y873" s="26"/>
      <c r="Z873" s="26"/>
      <c r="AA873" s="27">
        <f>IF(TA[[#This Row],[Work Start time on Fault]]="NA","",(TA[[#This Row],[Fault Acknowledgement Time ]]-TA[[#This Row],[Fault Time]])*24)</f>
        <v>0</v>
      </c>
      <c r="AB873" s="27">
        <f>(TA[[#This Row],[Work Start time on Fault]]-TA[[#This Row],[Fault Time]])*24</f>
        <v>0</v>
      </c>
      <c r="AC873" s="26">
        <f>(TA[[#This Row],[Work Completion time on fault]]-TA[[#This Row],[Fault Time]])*24</f>
        <v>0</v>
      </c>
      <c r="AD873" s="27">
        <f>IFERROR((TA[[#This Row],[Work Completion time on fault]]-TA[[#This Row],[Fault Time]])*24,"")</f>
        <v>0</v>
      </c>
      <c r="AE873" t="s">
        <v>319</v>
      </c>
      <c r="AF873" t="s">
        <v>247</v>
      </c>
      <c r="AG873" s="2"/>
      <c r="AH873" s="35">
        <f>1-COS(RADIANS(TA[[#This Row],[Avg. Target Angle during Fault Time (Radians)]]-TA[[#This Row],[Angle of affected equipment ]]))</f>
        <v>0.11705240714107301</v>
      </c>
      <c r="AI873" s="27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43">
        <f t="shared" si="74"/>
        <v>2026</v>
      </c>
      <c r="C874" s="116">
        <f t="shared" si="75"/>
        <v>2025</v>
      </c>
      <c r="D874" s="2" t="s">
        <v>155</v>
      </c>
      <c r="E874" s="2" t="s">
        <v>155</v>
      </c>
      <c r="F874" s="30">
        <v>45778</v>
      </c>
      <c r="G874" s="2">
        <f>DAY(EOMONTH(TA[[#This Row],[Month Year]],0))</f>
        <v>31</v>
      </c>
      <c r="H874" s="21">
        <v>45804</v>
      </c>
      <c r="I874" s="32">
        <f>IFERROR(VLOOKUP(TA[[#This Row],[Date]],Raw_Data[[Date]:[Sunset Time (POA&lt;20 W/m2)]],3,0),"")</f>
        <v>0.24513888888888888</v>
      </c>
      <c r="J874" s="32">
        <f>IFERROR(VLOOKUP(TA[[#This Row],[Date]],Raw_Data[[Date]:[Sunset Time (POA&lt;20 W/m2)]],4,0),"")</f>
        <v>0.72986111111111107</v>
      </c>
      <c r="K874" s="27">
        <f>IFERROR((TA[[#This Row],[Sunset Time (POA&lt;20 W/m2)]]-TA[[#This Row],[Sunrise Time (POA&gt;20 W/m2)]])*24,"")</f>
        <v>11.633333333333333</v>
      </c>
      <c r="L874" s="2" t="s">
        <v>287</v>
      </c>
      <c r="M874" s="33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314</v>
      </c>
      <c r="Q874" s="2" t="s">
        <v>320</v>
      </c>
      <c r="R874">
        <v>45</v>
      </c>
      <c r="S874" s="2">
        <v>8</v>
      </c>
      <c r="T874" t="s">
        <v>288</v>
      </c>
      <c r="U874" t="s">
        <v>291</v>
      </c>
      <c r="V874" t="s">
        <v>292</v>
      </c>
      <c r="W874" s="32"/>
      <c r="X874" s="32"/>
      <c r="Y874" s="26"/>
      <c r="Z874" s="26"/>
      <c r="AA874" s="27">
        <f>IF(TA[[#This Row],[Work Start time on Fault]]="NA","",(TA[[#This Row],[Fault Acknowledgement Time ]]-TA[[#This Row],[Fault Time]])*24)</f>
        <v>0</v>
      </c>
      <c r="AB874" s="27">
        <f>(TA[[#This Row],[Work Start time on Fault]]-TA[[#This Row],[Fault Time]])*24</f>
        <v>0</v>
      </c>
      <c r="AC874" s="26">
        <f>(TA[[#This Row],[Work Completion time on fault]]-TA[[#This Row],[Fault Time]])*24</f>
        <v>0</v>
      </c>
      <c r="AD874" s="27">
        <f>IFERROR((TA[[#This Row],[Work Completion time on fault]]-TA[[#This Row],[Fault Time]])*24,"")</f>
        <v>0</v>
      </c>
      <c r="AE874" t="s">
        <v>319</v>
      </c>
      <c r="AF874" t="s">
        <v>247</v>
      </c>
      <c r="AG874" s="2"/>
      <c r="AH874" s="35">
        <f>1-COS(RADIANS(TA[[#This Row],[Avg. Target Angle during Fault Time (Radians)]]-TA[[#This Row],[Angle of affected equipment ]]))</f>
        <v>0.11705240714107301</v>
      </c>
      <c r="AI874" s="27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43">
        <f t="shared" si="74"/>
        <v>2026</v>
      </c>
      <c r="C875" s="116">
        <f t="shared" si="75"/>
        <v>2025</v>
      </c>
      <c r="D875" s="2" t="s">
        <v>155</v>
      </c>
      <c r="E875" s="2" t="s">
        <v>155</v>
      </c>
      <c r="F875" s="30">
        <v>45778</v>
      </c>
      <c r="G875" s="2">
        <f>DAY(EOMONTH(TA[[#This Row],[Month Year]],0))</f>
        <v>31</v>
      </c>
      <c r="H875" s="21">
        <v>45804</v>
      </c>
      <c r="I875" s="32">
        <f>IFERROR(VLOOKUP(TA[[#This Row],[Date]],Raw_Data[[Date]:[Sunset Time (POA&lt;20 W/m2)]],3,0),"")</f>
        <v>0.24513888888888888</v>
      </c>
      <c r="J875" s="32">
        <f>IFERROR(VLOOKUP(TA[[#This Row],[Date]],Raw_Data[[Date]:[Sunset Time (POA&lt;20 W/m2)]],4,0),"")</f>
        <v>0.72986111111111107</v>
      </c>
      <c r="K875" s="27">
        <f>IFERROR((TA[[#This Row],[Sunset Time (POA&lt;20 W/m2)]]-TA[[#This Row],[Sunrise Time (POA&gt;20 W/m2)]])*24,"")</f>
        <v>11.633333333333333</v>
      </c>
      <c r="L875" s="2" t="s">
        <v>287</v>
      </c>
      <c r="M875" s="33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314</v>
      </c>
      <c r="Q875" s="2" t="s">
        <v>320</v>
      </c>
      <c r="R875">
        <v>47</v>
      </c>
      <c r="S875" s="2">
        <v>18</v>
      </c>
      <c r="T875" t="s">
        <v>288</v>
      </c>
      <c r="U875" t="s">
        <v>291</v>
      </c>
      <c r="V875" t="s">
        <v>292</v>
      </c>
      <c r="W875" s="32"/>
      <c r="X875" s="32"/>
      <c r="Y875" s="26"/>
      <c r="Z875" s="26"/>
      <c r="AA875" s="27">
        <f>IF(TA[[#This Row],[Work Start time on Fault]]="NA","",(TA[[#This Row],[Fault Acknowledgement Time ]]-TA[[#This Row],[Fault Time]])*24)</f>
        <v>0</v>
      </c>
      <c r="AB875" s="27">
        <f>(TA[[#This Row],[Work Start time on Fault]]-TA[[#This Row],[Fault Time]])*24</f>
        <v>0</v>
      </c>
      <c r="AC875" s="26">
        <f>(TA[[#This Row],[Work Completion time on fault]]-TA[[#This Row],[Fault Time]])*24</f>
        <v>0</v>
      </c>
      <c r="AD875" s="27">
        <f>IFERROR((TA[[#This Row],[Work Completion time on fault]]-TA[[#This Row],[Fault Time]])*24,"")</f>
        <v>0</v>
      </c>
      <c r="AE875" t="s">
        <v>319</v>
      </c>
      <c r="AF875" t="s">
        <v>247</v>
      </c>
      <c r="AG875" s="2"/>
      <c r="AH875" s="35">
        <f>1-COS(RADIANS(TA[[#This Row],[Avg. Target Angle during Fault Time (Radians)]]-TA[[#This Row],[Angle of affected equipment ]]))</f>
        <v>0.11705240714107301</v>
      </c>
      <c r="AI875" s="27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43">
        <f t="shared" si="74"/>
        <v>2026</v>
      </c>
      <c r="C876" s="116">
        <f t="shared" si="75"/>
        <v>2025</v>
      </c>
      <c r="D876" s="2" t="s">
        <v>155</v>
      </c>
      <c r="E876" s="2" t="s">
        <v>155</v>
      </c>
      <c r="F876" s="30">
        <v>45778</v>
      </c>
      <c r="G876" s="2">
        <f>DAY(EOMONTH(TA[[#This Row],[Month Year]],0))</f>
        <v>31</v>
      </c>
      <c r="H876" s="21">
        <v>45804</v>
      </c>
      <c r="I876" s="32">
        <f>IFERROR(VLOOKUP(TA[[#This Row],[Date]],Raw_Data[[Date]:[Sunset Time (POA&lt;20 W/m2)]],3,0),"")</f>
        <v>0.24513888888888888</v>
      </c>
      <c r="J876" s="32">
        <f>IFERROR(VLOOKUP(TA[[#This Row],[Date]],Raw_Data[[Date]:[Sunset Time (POA&lt;20 W/m2)]],4,0),"")</f>
        <v>0.72986111111111107</v>
      </c>
      <c r="K876" s="27">
        <f>IFERROR((TA[[#This Row],[Sunset Time (POA&lt;20 W/m2)]]-TA[[#This Row],[Sunrise Time (POA&gt;20 W/m2)]])*24,"")</f>
        <v>11.633333333333333</v>
      </c>
      <c r="L876" s="2" t="s">
        <v>287</v>
      </c>
      <c r="M876" s="33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321</v>
      </c>
      <c r="Q876" s="2" t="s">
        <v>314</v>
      </c>
      <c r="R876">
        <v>30</v>
      </c>
      <c r="S876" s="2">
        <v>57</v>
      </c>
      <c r="T876" t="s">
        <v>288</v>
      </c>
      <c r="U876" t="s">
        <v>291</v>
      </c>
      <c r="V876" t="s">
        <v>292</v>
      </c>
      <c r="W876" s="32"/>
      <c r="X876" s="32"/>
      <c r="Y876" s="26"/>
      <c r="Z876" s="26"/>
      <c r="AA876" s="27">
        <f>IF(TA[[#This Row],[Work Start time on Fault]]="NA","",(TA[[#This Row],[Fault Acknowledgement Time ]]-TA[[#This Row],[Fault Time]])*24)</f>
        <v>0</v>
      </c>
      <c r="AB876" s="27">
        <f>(TA[[#This Row],[Work Start time on Fault]]-TA[[#This Row],[Fault Time]])*24</f>
        <v>0</v>
      </c>
      <c r="AC876" s="26">
        <f>(TA[[#This Row],[Work Completion time on fault]]-TA[[#This Row],[Fault Time]])*24</f>
        <v>0</v>
      </c>
      <c r="AD876" s="27">
        <f>IFERROR((TA[[#This Row],[Work Completion time on fault]]-TA[[#This Row],[Fault Time]])*24,"")</f>
        <v>0</v>
      </c>
      <c r="AE876" t="s">
        <v>319</v>
      </c>
      <c r="AF876" t="s">
        <v>247</v>
      </c>
      <c r="AG876" s="2"/>
      <c r="AH876" s="35">
        <f>1-COS(RADIANS(TA[[#This Row],[Avg. Target Angle during Fault Time (Radians)]]-TA[[#This Row],[Angle of affected equipment ]]))</f>
        <v>0.11705240714107301</v>
      </c>
      <c r="AI876" s="27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43">
        <f t="shared" si="74"/>
        <v>2026</v>
      </c>
      <c r="C877" s="116">
        <f t="shared" si="75"/>
        <v>2025</v>
      </c>
      <c r="D877" s="2" t="s">
        <v>155</v>
      </c>
      <c r="E877" s="2" t="s">
        <v>155</v>
      </c>
      <c r="F877" s="30">
        <v>45778</v>
      </c>
      <c r="G877" s="2">
        <f>DAY(EOMONTH(TA[[#This Row],[Month Year]],0))</f>
        <v>31</v>
      </c>
      <c r="H877" s="21">
        <v>45804</v>
      </c>
      <c r="I877" s="32">
        <f>IFERROR(VLOOKUP(TA[[#This Row],[Date]],Raw_Data[[Date]:[Sunset Time (POA&lt;20 W/m2)]],3,0),"")</f>
        <v>0.24513888888888888</v>
      </c>
      <c r="J877" s="32">
        <f>IFERROR(VLOOKUP(TA[[#This Row],[Date]],Raw_Data[[Date]:[Sunset Time (POA&lt;20 W/m2)]],4,0),"")</f>
        <v>0.72986111111111107</v>
      </c>
      <c r="K877" s="27">
        <f>IFERROR((TA[[#This Row],[Sunset Time (POA&lt;20 W/m2)]]-TA[[#This Row],[Sunrise Time (POA&gt;20 W/m2)]])*24,"")</f>
        <v>11.633333333333333</v>
      </c>
      <c r="L877" s="2" t="s">
        <v>287</v>
      </c>
      <c r="M877" s="33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321</v>
      </c>
      <c r="Q877" s="2" t="s">
        <v>314</v>
      </c>
      <c r="R877">
        <v>31</v>
      </c>
      <c r="S877" s="2">
        <v>61</v>
      </c>
      <c r="T877" t="s">
        <v>288</v>
      </c>
      <c r="U877" t="s">
        <v>291</v>
      </c>
      <c r="V877" t="s">
        <v>292</v>
      </c>
      <c r="W877" s="32"/>
      <c r="X877" s="32"/>
      <c r="Y877" s="26"/>
      <c r="Z877" s="26"/>
      <c r="AA877" s="27">
        <f>IF(TA[[#This Row],[Work Start time on Fault]]="NA","",(TA[[#This Row],[Fault Acknowledgement Time ]]-TA[[#This Row],[Fault Time]])*24)</f>
        <v>0</v>
      </c>
      <c r="AB877" s="27">
        <f>(TA[[#This Row],[Work Start time on Fault]]-TA[[#This Row],[Fault Time]])*24</f>
        <v>0</v>
      </c>
      <c r="AC877" s="26">
        <f>(TA[[#This Row],[Work Completion time on fault]]-TA[[#This Row],[Fault Time]])*24</f>
        <v>0</v>
      </c>
      <c r="AD877" s="27">
        <f>IFERROR((TA[[#This Row],[Work Completion time on fault]]-TA[[#This Row],[Fault Time]])*24,"")</f>
        <v>0</v>
      </c>
      <c r="AE877" t="s">
        <v>319</v>
      </c>
      <c r="AF877" t="s">
        <v>247</v>
      </c>
      <c r="AG877" s="2"/>
      <c r="AH877" s="35">
        <f>1-COS(RADIANS(TA[[#This Row],[Avg. Target Angle during Fault Time (Radians)]]-TA[[#This Row],[Angle of affected equipment ]]))</f>
        <v>0.11705240714107301</v>
      </c>
      <c r="AI877" s="27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43">
        <f t="shared" si="74"/>
        <v>2026</v>
      </c>
      <c r="C878" s="116">
        <f t="shared" si="75"/>
        <v>2025</v>
      </c>
      <c r="D878" s="2" t="s">
        <v>155</v>
      </c>
      <c r="E878" s="2" t="s">
        <v>155</v>
      </c>
      <c r="F878" s="30">
        <v>45778</v>
      </c>
      <c r="G878" s="2">
        <f>DAY(EOMONTH(TA[[#This Row],[Month Year]],0))</f>
        <v>31</v>
      </c>
      <c r="H878" s="21">
        <v>45804</v>
      </c>
      <c r="I878" s="32">
        <f>IFERROR(VLOOKUP(TA[[#This Row],[Date]],Raw_Data[[Date]:[Sunset Time (POA&lt;20 W/m2)]],3,0),"")</f>
        <v>0.24513888888888888</v>
      </c>
      <c r="J878" s="32">
        <f>IFERROR(VLOOKUP(TA[[#This Row],[Date]],Raw_Data[[Date]:[Sunset Time (POA&lt;20 W/m2)]],4,0),"")</f>
        <v>0.72986111111111107</v>
      </c>
      <c r="K878" s="27">
        <f>IFERROR((TA[[#This Row],[Sunset Time (POA&lt;20 W/m2)]]-TA[[#This Row],[Sunrise Time (POA&gt;20 W/m2)]])*24,"")</f>
        <v>11.633333333333333</v>
      </c>
      <c r="L878" s="2" t="s">
        <v>303</v>
      </c>
      <c r="M878" s="33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321</v>
      </c>
      <c r="Q878" s="2" t="s">
        <v>314</v>
      </c>
      <c r="R878">
        <v>26</v>
      </c>
      <c r="S878" s="2">
        <v>37</v>
      </c>
      <c r="T878" t="s">
        <v>288</v>
      </c>
      <c r="U878" t="s">
        <v>291</v>
      </c>
      <c r="V878" t="s">
        <v>292</v>
      </c>
      <c r="W878" s="32"/>
      <c r="X878" s="32"/>
      <c r="Y878" s="26"/>
      <c r="Z878" s="26"/>
      <c r="AA878" s="27">
        <f>IF(TA[[#This Row],[Work Start time on Fault]]="NA","",(TA[[#This Row],[Fault Acknowledgement Time ]]-TA[[#This Row],[Fault Time]])*24)</f>
        <v>0</v>
      </c>
      <c r="AB878" s="27">
        <f>(TA[[#This Row],[Work Start time on Fault]]-TA[[#This Row],[Fault Time]])*24</f>
        <v>0</v>
      </c>
      <c r="AC878" s="26">
        <f>(TA[[#This Row],[Work Completion time on fault]]-TA[[#This Row],[Fault Time]])*24</f>
        <v>0</v>
      </c>
      <c r="AD878" s="27">
        <f>IFERROR((TA[[#This Row],[Work Completion time on fault]]-TA[[#This Row],[Fault Time]])*24,"")</f>
        <v>0</v>
      </c>
      <c r="AE878" t="s">
        <v>319</v>
      </c>
      <c r="AF878" t="s">
        <v>247</v>
      </c>
      <c r="AG878" s="2"/>
      <c r="AH878" s="35">
        <f>1-COS(RADIANS(TA[[#This Row],[Avg. Target Angle during Fault Time (Radians)]]-TA[[#This Row],[Angle of affected equipment ]]))</f>
        <v>0.11705240714107301</v>
      </c>
      <c r="AI878" s="27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43">
        <f t="shared" si="74"/>
        <v>2026</v>
      </c>
      <c r="C879" s="116">
        <f t="shared" si="75"/>
        <v>2025</v>
      </c>
      <c r="D879" s="2" t="s">
        <v>155</v>
      </c>
      <c r="E879" s="2" t="s">
        <v>155</v>
      </c>
      <c r="F879" s="30">
        <v>45778</v>
      </c>
      <c r="G879" s="2">
        <f>DAY(EOMONTH(TA[[#This Row],[Month Year]],0))</f>
        <v>31</v>
      </c>
      <c r="H879" s="21">
        <v>45804</v>
      </c>
      <c r="I879" s="32">
        <f>IFERROR(VLOOKUP(TA[[#This Row],[Date]],Raw_Data[[Date]:[Sunset Time (POA&lt;20 W/m2)]],3,0),"")</f>
        <v>0.24513888888888888</v>
      </c>
      <c r="J879" s="32">
        <f>IFERROR(VLOOKUP(TA[[#This Row],[Date]],Raw_Data[[Date]:[Sunset Time (POA&lt;20 W/m2)]],4,0),"")</f>
        <v>0.72986111111111107</v>
      </c>
      <c r="K879" s="27">
        <f>IFERROR((TA[[#This Row],[Sunset Time (POA&lt;20 W/m2)]]-TA[[#This Row],[Sunrise Time (POA&gt;20 W/m2)]])*24,"")</f>
        <v>11.633333333333333</v>
      </c>
      <c r="L879" s="2" t="s">
        <v>303</v>
      </c>
      <c r="M879" s="33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321</v>
      </c>
      <c r="Q879" s="2" t="s">
        <v>314</v>
      </c>
      <c r="R879">
        <v>27</v>
      </c>
      <c r="S879" s="2">
        <v>42</v>
      </c>
      <c r="T879" t="s">
        <v>288</v>
      </c>
      <c r="U879" t="s">
        <v>291</v>
      </c>
      <c r="V879" t="s">
        <v>292</v>
      </c>
      <c r="W879" s="32">
        <f>IFERROR(VLOOKUP(TA[[#This Row],[Date]],Raw_Data[[Date]:[Sunset Time (POA&lt;20 W/m2)]],3,0),"")</f>
        <v>0.24513888888888888</v>
      </c>
      <c r="X879" s="32">
        <f>IFERROR(VLOOKUP(TA[[#This Row],[Date]],Raw_Data[[Date]:[Sunset Time (POA&lt;20 W/m2)]],3,0),"")</f>
        <v>0.24513888888888888</v>
      </c>
      <c r="Y879" s="26"/>
      <c r="Z879" s="26">
        <v>0.76041666666666663</v>
      </c>
      <c r="AA879" s="27">
        <f>IF(TA[[#This Row],[Work Start time on Fault]]="NA","",(TA[[#This Row],[Fault Acknowledgement Time ]]-TA[[#This Row],[Fault Time]])*24)</f>
        <v>0</v>
      </c>
      <c r="AB879" s="27">
        <f>(TA[[#This Row],[Work Start time on Fault]]-TA[[#This Row],[Fault Time]])*24</f>
        <v>-5.8833333333333329</v>
      </c>
      <c r="AC879" s="26">
        <f>(TA[[#This Row],[Work Completion time on fault]]-TA[[#This Row],[Fault Time]])*24</f>
        <v>12.366666666666665</v>
      </c>
      <c r="AD879" s="27">
        <f>IFERROR((TA[[#This Row],[Work Completion time on fault]]-TA[[#This Row],[Fault Time]])*24,"")</f>
        <v>12.366666666666665</v>
      </c>
      <c r="AE879" t="s">
        <v>300</v>
      </c>
      <c r="AF879" t="s">
        <v>247</v>
      </c>
      <c r="AG879" s="2"/>
      <c r="AH879" s="35">
        <f>1-COS(RADIANS(TA[[#This Row],[Avg. Target Angle during Fault Time (Radians)]]-TA[[#This Row],[Angle of affected equipment ]]))</f>
        <v>0.11705240714107301</v>
      </c>
      <c r="AI879" s="27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43">
        <f t="shared" ref="B880:B892" si="77">YEAR(H880)+IF(MONTH(H880)&gt;=4,1,0)</f>
        <v>2026</v>
      </c>
      <c r="C880" s="116">
        <f t="shared" ref="C880:C892" si="78">YEAR(H880)</f>
        <v>2025</v>
      </c>
      <c r="D880" s="2" t="s">
        <v>155</v>
      </c>
      <c r="E880" s="2" t="s">
        <v>155</v>
      </c>
      <c r="F880" s="30">
        <v>45778</v>
      </c>
      <c r="G880" s="2">
        <f>DAY(EOMONTH(TA[[#This Row],[Month Year]],0))</f>
        <v>31</v>
      </c>
      <c r="H880" s="21">
        <v>45805</v>
      </c>
      <c r="I880" s="32">
        <f>IFERROR(VLOOKUP(TA[[#This Row],[Date]],Raw_Data[[Date]:[Sunset Time (POA&lt;20 W/m2)]],3,0),"")</f>
        <v>0.25</v>
      </c>
      <c r="J880" s="32">
        <f>IFERROR(VLOOKUP(TA[[#This Row],[Date]],Raw_Data[[Date]:[Sunset Time (POA&lt;20 W/m2)]],4,0),"")</f>
        <v>0.77013888888888893</v>
      </c>
      <c r="K880" s="27">
        <f>IFERROR((TA[[#This Row],[Sunset Time (POA&lt;20 W/m2)]]-TA[[#This Row],[Sunrise Time (POA&gt;20 W/m2)]])*24,"")</f>
        <v>12.483333333333334</v>
      </c>
      <c r="L880" s="2" t="s">
        <v>285</v>
      </c>
      <c r="M880" s="33">
        <f>IFERROR(VLOOKUP(TA[[#This Row],[Affected Equipment]],'Basic Data'!$I$2:$K$40,3,0),"")</f>
        <v>1.7241379310344799E-3</v>
      </c>
      <c r="N880">
        <v>-28</v>
      </c>
      <c r="O880" t="s">
        <v>135</v>
      </c>
      <c r="P880" s="114" t="s">
        <v>309</v>
      </c>
      <c r="Q880" s="113" t="s">
        <v>309</v>
      </c>
      <c r="R880">
        <v>131</v>
      </c>
      <c r="S880" s="2">
        <v>38</v>
      </c>
      <c r="T880" t="s">
        <v>286</v>
      </c>
      <c r="U880" t="s">
        <v>291</v>
      </c>
      <c r="V880" t="s">
        <v>289</v>
      </c>
      <c r="W880" s="32"/>
      <c r="X880" s="32"/>
      <c r="Y880" s="26"/>
      <c r="Z880" s="26"/>
      <c r="AA880" s="27">
        <f>IF(TA[[#This Row],[Work Start time on Fault]]="NA","",(TA[[#This Row],[Fault Acknowledgement Time ]]-TA[[#This Row],[Fault Time]])*24)</f>
        <v>0</v>
      </c>
      <c r="AB880" s="27">
        <f>(TA[[#This Row],[Work Start time on Fault]]-TA[[#This Row],[Fault Time]])*24</f>
        <v>0</v>
      </c>
      <c r="AC880" s="26">
        <f>(TA[[#This Row],[Work Completion time on fault]]-TA[[#This Row],[Fault Time]])*24</f>
        <v>0</v>
      </c>
      <c r="AD880" s="27">
        <f>IFERROR((TA[[#This Row],[Work Completion time on fault]]-TA[[#This Row],[Fault Time]])*24,"")</f>
        <v>0</v>
      </c>
      <c r="AE880" t="s">
        <v>319</v>
      </c>
      <c r="AF880" t="s">
        <v>247</v>
      </c>
      <c r="AG880" s="2"/>
      <c r="AH880" s="35">
        <f>1-COS(RADIANS(TA[[#This Row],[Avg. Target Angle during Fault Time (Radians)]]-TA[[#This Row],[Angle of affected equipment ]]))</f>
        <v>0.11705240714107301</v>
      </c>
      <c r="AI880" s="27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43">
        <f t="shared" si="77"/>
        <v>2026</v>
      </c>
      <c r="C881" s="116">
        <f t="shared" si="78"/>
        <v>2025</v>
      </c>
      <c r="D881" s="2" t="s">
        <v>155</v>
      </c>
      <c r="E881" s="2" t="s">
        <v>155</v>
      </c>
      <c r="F881" s="30">
        <v>45778</v>
      </c>
      <c r="G881" s="2">
        <f>DAY(EOMONTH(TA[[#This Row],[Month Year]],0))</f>
        <v>31</v>
      </c>
      <c r="H881" s="21">
        <v>45805</v>
      </c>
      <c r="I881" s="32">
        <f>IFERROR(VLOOKUP(TA[[#This Row],[Date]],Raw_Data[[Date]:[Sunset Time (POA&lt;20 W/m2)]],3,0),"")</f>
        <v>0.25</v>
      </c>
      <c r="J881" s="32">
        <f>IFERROR(VLOOKUP(TA[[#This Row],[Date]],Raw_Data[[Date]:[Sunset Time (POA&lt;20 W/m2)]],4,0),"")</f>
        <v>0.77013888888888893</v>
      </c>
      <c r="K881" s="27">
        <f>IFERROR((TA[[#This Row],[Sunset Time (POA&lt;20 W/m2)]]-TA[[#This Row],[Sunrise Time (POA&gt;20 W/m2)]])*24,"")</f>
        <v>12.483333333333334</v>
      </c>
      <c r="L881" s="2" t="s">
        <v>285</v>
      </c>
      <c r="M881" s="33">
        <f>IFERROR(VLOOKUP(TA[[#This Row],[Affected Equipment]],'Basic Data'!$I$2:$K$40,3,0),"")</f>
        <v>1.7241379310344799E-3</v>
      </c>
      <c r="N881">
        <v>-28</v>
      </c>
      <c r="O881" t="s">
        <v>135</v>
      </c>
      <c r="P881" s="114" t="s">
        <v>309</v>
      </c>
      <c r="Q881" s="113" t="s">
        <v>309</v>
      </c>
      <c r="R881">
        <v>131</v>
      </c>
      <c r="S881" s="2">
        <v>39</v>
      </c>
      <c r="T881" t="s">
        <v>286</v>
      </c>
      <c r="U881" t="s">
        <v>291</v>
      </c>
      <c r="V881" t="s">
        <v>289</v>
      </c>
      <c r="W881" s="32"/>
      <c r="X881" s="32"/>
      <c r="Y881" s="26"/>
      <c r="Z881" s="26"/>
      <c r="AA881" s="27">
        <f>IF(TA[[#This Row],[Work Start time on Fault]]="NA","",(TA[[#This Row],[Fault Acknowledgement Time ]]-TA[[#This Row],[Fault Time]])*24)</f>
        <v>0</v>
      </c>
      <c r="AB881" s="27">
        <f>(TA[[#This Row],[Work Start time on Fault]]-TA[[#This Row],[Fault Time]])*24</f>
        <v>0</v>
      </c>
      <c r="AC881" s="26">
        <f>(TA[[#This Row],[Work Completion time on fault]]-TA[[#This Row],[Fault Time]])*24</f>
        <v>0</v>
      </c>
      <c r="AD881" s="27">
        <f>IFERROR((TA[[#This Row],[Work Completion time on fault]]-TA[[#This Row],[Fault Time]])*24,"")</f>
        <v>0</v>
      </c>
      <c r="AE881" t="s">
        <v>319</v>
      </c>
      <c r="AF881" t="s">
        <v>247</v>
      </c>
      <c r="AG881" s="2"/>
      <c r="AH881" s="35">
        <f>1-COS(RADIANS(TA[[#This Row],[Avg. Target Angle during Fault Time (Radians)]]-TA[[#This Row],[Angle of affected equipment ]]))</f>
        <v>0.11705240714107301</v>
      </c>
      <c r="AI881" s="27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43">
        <f t="shared" si="77"/>
        <v>2026</v>
      </c>
      <c r="C882" s="116">
        <f t="shared" si="78"/>
        <v>2025</v>
      </c>
      <c r="D882" s="2" t="s">
        <v>155</v>
      </c>
      <c r="E882" s="2" t="s">
        <v>155</v>
      </c>
      <c r="F882" s="30">
        <v>45778</v>
      </c>
      <c r="G882" s="2">
        <f>DAY(EOMONTH(TA[[#This Row],[Month Year]],0))</f>
        <v>31</v>
      </c>
      <c r="H882" s="21">
        <v>45805</v>
      </c>
      <c r="I882" s="32">
        <f>IFERROR(VLOOKUP(TA[[#This Row],[Date]],Raw_Data[[Date]:[Sunset Time (POA&lt;20 W/m2)]],3,0),"")</f>
        <v>0.25</v>
      </c>
      <c r="J882" s="32">
        <f>IFERROR(VLOOKUP(TA[[#This Row],[Date]],Raw_Data[[Date]:[Sunset Time (POA&lt;20 W/m2)]],4,0),"")</f>
        <v>0.77013888888888893</v>
      </c>
      <c r="K882" s="27">
        <f>IFERROR((TA[[#This Row],[Sunset Time (POA&lt;20 W/m2)]]-TA[[#This Row],[Sunrise Time (POA&gt;20 W/m2)]])*24,"")</f>
        <v>12.483333333333334</v>
      </c>
      <c r="L882" s="2" t="s">
        <v>287</v>
      </c>
      <c r="M882" s="33">
        <f>IFERROR(VLOOKUP(TA[[#This Row],[Affected Equipment]],'Basic Data'!$I$2:$K$40,3,0),"")</f>
        <v>8.6206896551724102E-3</v>
      </c>
      <c r="N882">
        <v>-28</v>
      </c>
      <c r="O882" t="s">
        <v>135</v>
      </c>
      <c r="P882" s="114" t="s">
        <v>309</v>
      </c>
      <c r="Q882" s="2" t="s">
        <v>312</v>
      </c>
      <c r="R882">
        <v>133</v>
      </c>
      <c r="S882" s="2">
        <v>26</v>
      </c>
      <c r="T882" t="s">
        <v>288</v>
      </c>
      <c r="U882" t="s">
        <v>291</v>
      </c>
      <c r="V882" t="s">
        <v>305</v>
      </c>
      <c r="W882" s="32">
        <f>IFERROR(VLOOKUP(TA[[#This Row],[Date]],Raw_Data[[Date]:[Sunset Time (POA&lt;20 W/m2)]],3,0),"")</f>
        <v>0.25</v>
      </c>
      <c r="X882" s="32">
        <f>IFERROR(VLOOKUP(TA[[#This Row],[Date]],Raw_Data[[Date]:[Sunset Time (POA&lt;20 W/m2)]],3,0),"")</f>
        <v>0.25</v>
      </c>
      <c r="Y882" s="26"/>
      <c r="Z882" s="26">
        <v>0.76041666666666663</v>
      </c>
      <c r="AA882" s="27">
        <f>IF(TA[[#This Row],[Work Start time on Fault]]="NA","",(TA[[#This Row],[Fault Acknowledgement Time ]]-TA[[#This Row],[Fault Time]])*24)</f>
        <v>0</v>
      </c>
      <c r="AB882" s="27">
        <f>(TA[[#This Row],[Work Start time on Fault]]-TA[[#This Row],[Fault Time]])*24</f>
        <v>-6</v>
      </c>
      <c r="AC882" s="26">
        <f>(TA[[#This Row],[Work Completion time on fault]]-TA[[#This Row],[Fault Time]])*24</f>
        <v>12.25</v>
      </c>
      <c r="AD882" s="27">
        <f>IFERROR((TA[[#This Row],[Work Completion time on fault]]-TA[[#This Row],[Fault Time]])*24,"")</f>
        <v>12.25</v>
      </c>
      <c r="AE882" t="s">
        <v>319</v>
      </c>
      <c r="AF882" t="s">
        <v>247</v>
      </c>
      <c r="AG882" s="2"/>
      <c r="AH882" s="35">
        <f>1-COS(RADIANS(TA[[#This Row],[Avg. Target Angle during Fault Time (Radians)]]-TA[[#This Row],[Angle of affected equipment ]]))</f>
        <v>0.11705240714107301</v>
      </c>
      <c r="AI882" s="27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43">
        <f t="shared" si="77"/>
        <v>2026</v>
      </c>
      <c r="C883" s="116">
        <f t="shared" si="78"/>
        <v>2025</v>
      </c>
      <c r="D883" s="2" t="s">
        <v>155</v>
      </c>
      <c r="E883" s="2" t="s">
        <v>155</v>
      </c>
      <c r="F883" s="30">
        <v>45778</v>
      </c>
      <c r="G883" s="2">
        <f>DAY(EOMONTH(TA[[#This Row],[Month Year]],0))</f>
        <v>31</v>
      </c>
      <c r="H883" s="21">
        <v>45805</v>
      </c>
      <c r="I883" s="32">
        <f>IFERROR(VLOOKUP(TA[[#This Row],[Date]],Raw_Data[[Date]:[Sunset Time (POA&lt;20 W/m2)]],3,0),"")</f>
        <v>0.25</v>
      </c>
      <c r="J883" s="32">
        <f>IFERROR(VLOOKUP(TA[[#This Row],[Date]],Raw_Data[[Date]:[Sunset Time (POA&lt;20 W/m2)]],4,0),"")</f>
        <v>0.77013888888888893</v>
      </c>
      <c r="K883" s="27">
        <f>IFERROR((TA[[#This Row],[Sunset Time (POA&lt;20 W/m2)]]-TA[[#This Row],[Sunrise Time (POA&gt;20 W/m2)]])*24,"")</f>
        <v>12.483333333333334</v>
      </c>
      <c r="L883" s="2" t="s">
        <v>285</v>
      </c>
      <c r="M883" s="33">
        <f>IFERROR(VLOOKUP(TA[[#This Row],[Affected Equipment]],'Basic Data'!$I$2:$K$40,3,0),"")</f>
        <v>1.7241379310344799E-3</v>
      </c>
      <c r="N883">
        <v>-28</v>
      </c>
      <c r="O883" t="s">
        <v>133</v>
      </c>
      <c r="P883" s="114" t="s">
        <v>307</v>
      </c>
      <c r="Q883" s="113" t="s">
        <v>308</v>
      </c>
      <c r="R883">
        <v>7</v>
      </c>
      <c r="S883" s="2">
        <v>32</v>
      </c>
      <c r="T883" t="s">
        <v>286</v>
      </c>
      <c r="U883" t="s">
        <v>291</v>
      </c>
      <c r="V883" t="s">
        <v>289</v>
      </c>
      <c r="W883" s="32"/>
      <c r="X883" s="32"/>
      <c r="Y883" s="26"/>
      <c r="Z883" s="26"/>
      <c r="AA883" s="27">
        <f>IF(TA[[#This Row],[Work Start time on Fault]]="NA","",(TA[[#This Row],[Fault Acknowledgement Time ]]-TA[[#This Row],[Fault Time]])*24)</f>
        <v>0</v>
      </c>
      <c r="AB883" s="27">
        <f>(TA[[#This Row],[Work Start time on Fault]]-TA[[#This Row],[Fault Time]])*24</f>
        <v>0</v>
      </c>
      <c r="AC883" s="26">
        <f>(TA[[#This Row],[Work Completion time on fault]]-TA[[#This Row],[Fault Time]])*24</f>
        <v>0</v>
      </c>
      <c r="AD883" s="27">
        <f>IFERROR((TA[[#This Row],[Work Completion time on fault]]-TA[[#This Row],[Fault Time]])*24,"")</f>
        <v>0</v>
      </c>
      <c r="AE883" t="s">
        <v>319</v>
      </c>
      <c r="AF883" t="s">
        <v>247</v>
      </c>
      <c r="AG883" s="2"/>
      <c r="AH883" s="35">
        <f>1-COS(RADIANS(TA[[#This Row],[Avg. Target Angle during Fault Time (Radians)]]-TA[[#This Row],[Angle of affected equipment ]]))</f>
        <v>0.11705240714107301</v>
      </c>
      <c r="AI883" s="27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43">
        <f t="shared" si="77"/>
        <v>2026</v>
      </c>
      <c r="C884" s="116">
        <f t="shared" si="78"/>
        <v>2025</v>
      </c>
      <c r="D884" s="2" t="s">
        <v>155</v>
      </c>
      <c r="E884" s="2" t="s">
        <v>155</v>
      </c>
      <c r="F884" s="30">
        <v>45778</v>
      </c>
      <c r="G884" s="2">
        <f>DAY(EOMONTH(TA[[#This Row],[Month Year]],0))</f>
        <v>31</v>
      </c>
      <c r="H884" s="21">
        <v>45805</v>
      </c>
      <c r="I884" s="32">
        <f>IFERROR(VLOOKUP(TA[[#This Row],[Date]],Raw_Data[[Date]:[Sunset Time (POA&lt;20 W/m2)]],3,0),"")</f>
        <v>0.25</v>
      </c>
      <c r="J884" s="32">
        <f>IFERROR(VLOOKUP(TA[[#This Row],[Date]],Raw_Data[[Date]:[Sunset Time (POA&lt;20 W/m2)]],4,0),"")</f>
        <v>0.77013888888888893</v>
      </c>
      <c r="K884" s="27">
        <f>IFERROR((TA[[#This Row],[Sunset Time (POA&lt;20 W/m2)]]-TA[[#This Row],[Sunrise Time (POA&gt;20 W/m2)]])*24,"")</f>
        <v>12.483333333333334</v>
      </c>
      <c r="L884" s="2" t="s">
        <v>285</v>
      </c>
      <c r="M884" s="33">
        <f>IFERROR(VLOOKUP(TA[[#This Row],[Affected Equipment]],'Basic Data'!$I$2:$K$40,3,0),"")</f>
        <v>1.7241379310344799E-3</v>
      </c>
      <c r="N884">
        <v>-28</v>
      </c>
      <c r="O884" t="s">
        <v>137</v>
      </c>
      <c r="P884" s="114" t="s">
        <v>306</v>
      </c>
      <c r="Q884" s="113" t="s">
        <v>310</v>
      </c>
      <c r="R884">
        <v>166</v>
      </c>
      <c r="S884" s="2">
        <v>91</v>
      </c>
      <c r="T884" t="s">
        <v>286</v>
      </c>
      <c r="U884" t="s">
        <v>291</v>
      </c>
      <c r="V884" t="s">
        <v>289</v>
      </c>
      <c r="W884" s="32"/>
      <c r="X884" s="32"/>
      <c r="Y884" s="26"/>
      <c r="Z884" s="26"/>
      <c r="AA884" s="27">
        <f>IF(TA[[#This Row],[Work Start time on Fault]]="NA","",(TA[[#This Row],[Fault Acknowledgement Time ]]-TA[[#This Row],[Fault Time]])*24)</f>
        <v>0</v>
      </c>
      <c r="AB884" s="27">
        <f>(TA[[#This Row],[Work Start time on Fault]]-TA[[#This Row],[Fault Time]])*24</f>
        <v>0</v>
      </c>
      <c r="AC884" s="26">
        <f>(TA[[#This Row],[Work Completion time on fault]]-TA[[#This Row],[Fault Time]])*24</f>
        <v>0</v>
      </c>
      <c r="AD884" s="27">
        <f>IFERROR((TA[[#This Row],[Work Completion time on fault]]-TA[[#This Row],[Fault Time]])*24,"")</f>
        <v>0</v>
      </c>
      <c r="AE884" t="s">
        <v>319</v>
      </c>
      <c r="AF884" t="s">
        <v>247</v>
      </c>
      <c r="AG884" s="2"/>
      <c r="AH884" s="35">
        <f>1-COS(RADIANS(TA[[#This Row],[Avg. Target Angle during Fault Time (Radians)]]-TA[[#This Row],[Angle of affected equipment ]]))</f>
        <v>0.11705240714107301</v>
      </c>
      <c r="AI884" s="27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43">
        <f t="shared" si="77"/>
        <v>2026</v>
      </c>
      <c r="C885" s="116">
        <f t="shared" si="78"/>
        <v>2025</v>
      </c>
      <c r="D885" s="2" t="s">
        <v>155</v>
      </c>
      <c r="E885" s="2" t="s">
        <v>155</v>
      </c>
      <c r="F885" s="30">
        <v>45778</v>
      </c>
      <c r="G885" s="2">
        <f>DAY(EOMONTH(TA[[#This Row],[Month Year]],0))</f>
        <v>31</v>
      </c>
      <c r="H885" s="21">
        <v>45805</v>
      </c>
      <c r="I885" s="32">
        <f>IFERROR(VLOOKUP(TA[[#This Row],[Date]],Raw_Data[[Date]:[Sunset Time (POA&lt;20 W/m2)]],3,0),"")</f>
        <v>0.25</v>
      </c>
      <c r="J885" s="32">
        <f>IFERROR(VLOOKUP(TA[[#This Row],[Date]],Raw_Data[[Date]:[Sunset Time (POA&lt;20 W/m2)]],4,0),"")</f>
        <v>0.77013888888888893</v>
      </c>
      <c r="K885" s="27">
        <f>IFERROR((TA[[#This Row],[Sunset Time (POA&lt;20 W/m2)]]-TA[[#This Row],[Sunrise Time (POA&gt;20 W/m2)]])*24,"")</f>
        <v>12.483333333333334</v>
      </c>
      <c r="L885" s="2" t="s">
        <v>285</v>
      </c>
      <c r="M885" s="33">
        <f>IFERROR(VLOOKUP(TA[[#This Row],[Affected Equipment]],'Basic Data'!$I$2:$K$40,3,0),"")</f>
        <v>1.7241379310344799E-3</v>
      </c>
      <c r="N885">
        <v>-28</v>
      </c>
      <c r="O885" t="s">
        <v>133</v>
      </c>
      <c r="P885" s="114" t="s">
        <v>307</v>
      </c>
      <c r="Q885" s="113" t="s">
        <v>307</v>
      </c>
      <c r="R885">
        <v>117</v>
      </c>
      <c r="S885" s="2">
        <v>20</v>
      </c>
      <c r="T885" t="s">
        <v>286</v>
      </c>
      <c r="U885" t="s">
        <v>291</v>
      </c>
      <c r="V885" t="s">
        <v>289</v>
      </c>
      <c r="W885" s="32"/>
      <c r="X885" s="32"/>
      <c r="Y885" s="26"/>
      <c r="Z885" s="26"/>
      <c r="AA885" s="27">
        <f>IF(TA[[#This Row],[Work Start time on Fault]]="NA","",(TA[[#This Row],[Fault Acknowledgement Time ]]-TA[[#This Row],[Fault Time]])*24)</f>
        <v>0</v>
      </c>
      <c r="AB885" s="27">
        <f>(TA[[#This Row],[Work Start time on Fault]]-TA[[#This Row],[Fault Time]])*24</f>
        <v>0</v>
      </c>
      <c r="AC885" s="26">
        <f>(TA[[#This Row],[Work Completion time on fault]]-TA[[#This Row],[Fault Time]])*24</f>
        <v>0</v>
      </c>
      <c r="AD885" s="27">
        <f>IFERROR((TA[[#This Row],[Work Completion time on fault]]-TA[[#This Row],[Fault Time]])*24,"")</f>
        <v>0</v>
      </c>
      <c r="AE885" t="s">
        <v>319</v>
      </c>
      <c r="AF885" t="s">
        <v>247</v>
      </c>
      <c r="AG885" s="2"/>
      <c r="AH885" s="35">
        <f>1-COS(RADIANS(TA[[#This Row],[Avg. Target Angle during Fault Time (Radians)]]-TA[[#This Row],[Angle of affected equipment ]]))</f>
        <v>0.11705240714107301</v>
      </c>
      <c r="AI885" s="27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43">
        <f t="shared" si="77"/>
        <v>2026</v>
      </c>
      <c r="C886" s="116">
        <f t="shared" si="78"/>
        <v>2025</v>
      </c>
      <c r="D886" s="2" t="s">
        <v>155</v>
      </c>
      <c r="E886" s="2" t="s">
        <v>155</v>
      </c>
      <c r="F886" s="30">
        <v>45778</v>
      </c>
      <c r="G886" s="2">
        <f>DAY(EOMONTH(TA[[#This Row],[Month Year]],0))</f>
        <v>31</v>
      </c>
      <c r="H886" s="21">
        <v>45805</v>
      </c>
      <c r="I886" s="32">
        <f>IFERROR(VLOOKUP(TA[[#This Row],[Date]],Raw_Data[[Date]:[Sunset Time (POA&lt;20 W/m2)]],3,0),"")</f>
        <v>0.25</v>
      </c>
      <c r="J886" s="32">
        <f>IFERROR(VLOOKUP(TA[[#This Row],[Date]],Raw_Data[[Date]:[Sunset Time (POA&lt;20 W/m2)]],4,0),"")</f>
        <v>0.77013888888888893</v>
      </c>
      <c r="K886" s="27">
        <f>IFERROR((TA[[#This Row],[Sunset Time (POA&lt;20 W/m2)]]-TA[[#This Row],[Sunrise Time (POA&gt;20 W/m2)]])*24,"")</f>
        <v>12.483333333333334</v>
      </c>
      <c r="L886" s="2" t="s">
        <v>285</v>
      </c>
      <c r="M886" s="33">
        <f>IFERROR(VLOOKUP(TA[[#This Row],[Affected Equipment]],'Basic Data'!$I$2:$K$40,3,0),"")</f>
        <v>1.7241379310344799E-3</v>
      </c>
      <c r="N886">
        <v>-28</v>
      </c>
      <c r="O886" t="s">
        <v>133</v>
      </c>
      <c r="P886" s="114" t="s">
        <v>307</v>
      </c>
      <c r="Q886" s="113" t="s">
        <v>307</v>
      </c>
      <c r="R886">
        <v>118</v>
      </c>
      <c r="S886" s="2">
        <v>22</v>
      </c>
      <c r="T886" t="s">
        <v>286</v>
      </c>
      <c r="U886" t="s">
        <v>291</v>
      </c>
      <c r="V886" t="s">
        <v>289</v>
      </c>
      <c r="W886" s="32"/>
      <c r="X886" s="32"/>
      <c r="Y886" s="26"/>
      <c r="Z886" s="26"/>
      <c r="AA886" s="27">
        <f>IF(TA[[#This Row],[Work Start time on Fault]]="NA","",(TA[[#This Row],[Fault Acknowledgement Time ]]-TA[[#This Row],[Fault Time]])*24)</f>
        <v>0</v>
      </c>
      <c r="AB886" s="27">
        <f>(TA[[#This Row],[Work Start time on Fault]]-TA[[#This Row],[Fault Time]])*24</f>
        <v>0</v>
      </c>
      <c r="AC886" s="26">
        <f>(TA[[#This Row],[Work Completion time on fault]]-TA[[#This Row],[Fault Time]])*24</f>
        <v>0</v>
      </c>
      <c r="AD886" s="27">
        <f>IFERROR((TA[[#This Row],[Work Completion time on fault]]-TA[[#This Row],[Fault Time]])*24,"")</f>
        <v>0</v>
      </c>
      <c r="AE886" t="s">
        <v>319</v>
      </c>
      <c r="AF886" t="s">
        <v>247</v>
      </c>
      <c r="AG886" s="2"/>
      <c r="AH886" s="35">
        <f>1-COS(RADIANS(TA[[#This Row],[Avg. Target Angle during Fault Time (Radians)]]-TA[[#This Row],[Angle of affected equipment ]]))</f>
        <v>0.11705240714107301</v>
      </c>
      <c r="AI886" s="27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43">
        <f t="shared" si="77"/>
        <v>2026</v>
      </c>
      <c r="C887" s="116">
        <f t="shared" si="78"/>
        <v>2025</v>
      </c>
      <c r="D887" s="2" t="s">
        <v>155</v>
      </c>
      <c r="E887" s="2" t="s">
        <v>155</v>
      </c>
      <c r="F887" s="30">
        <v>45778</v>
      </c>
      <c r="G887" s="2">
        <f>DAY(EOMONTH(TA[[#This Row],[Month Year]],0))</f>
        <v>31</v>
      </c>
      <c r="H887" s="21">
        <v>45805</v>
      </c>
      <c r="I887" s="32">
        <f>IFERROR(VLOOKUP(TA[[#This Row],[Date]],Raw_Data[[Date]:[Sunset Time (POA&lt;20 W/m2)]],3,0),"")</f>
        <v>0.25</v>
      </c>
      <c r="J887" s="32">
        <f>IFERROR(VLOOKUP(TA[[#This Row],[Date]],Raw_Data[[Date]:[Sunset Time (POA&lt;20 W/m2)]],4,0),"")</f>
        <v>0.77013888888888893</v>
      </c>
      <c r="K887" s="27">
        <f>IFERROR((TA[[#This Row],[Sunset Time (POA&lt;20 W/m2)]]-TA[[#This Row],[Sunrise Time (POA&gt;20 W/m2)]])*24,"")</f>
        <v>12.483333333333334</v>
      </c>
      <c r="L887" s="2" t="s">
        <v>287</v>
      </c>
      <c r="M887" s="33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314</v>
      </c>
      <c r="Q887" s="2" t="s">
        <v>320</v>
      </c>
      <c r="R887">
        <v>45</v>
      </c>
      <c r="S887" s="2">
        <v>8</v>
      </c>
      <c r="T887" t="s">
        <v>288</v>
      </c>
      <c r="U887" t="s">
        <v>291</v>
      </c>
      <c r="V887" t="s">
        <v>292</v>
      </c>
      <c r="W887" s="32"/>
      <c r="X887" s="32"/>
      <c r="Y887" s="26"/>
      <c r="Z887" s="26"/>
      <c r="AA887" s="27">
        <f>IF(TA[[#This Row],[Work Start time on Fault]]="NA","",(TA[[#This Row],[Fault Acknowledgement Time ]]-TA[[#This Row],[Fault Time]])*24)</f>
        <v>0</v>
      </c>
      <c r="AB887" s="27">
        <f>(TA[[#This Row],[Work Start time on Fault]]-TA[[#This Row],[Fault Time]])*24</f>
        <v>0</v>
      </c>
      <c r="AC887" s="26">
        <f>(TA[[#This Row],[Work Completion time on fault]]-TA[[#This Row],[Fault Time]])*24</f>
        <v>0</v>
      </c>
      <c r="AD887" s="27">
        <f>IFERROR((TA[[#This Row],[Work Completion time on fault]]-TA[[#This Row],[Fault Time]])*24,"")</f>
        <v>0</v>
      </c>
      <c r="AE887" t="s">
        <v>319</v>
      </c>
      <c r="AF887" t="s">
        <v>247</v>
      </c>
      <c r="AG887" s="2"/>
      <c r="AH887" s="35">
        <f>1-COS(RADIANS(TA[[#This Row],[Avg. Target Angle during Fault Time (Radians)]]-TA[[#This Row],[Angle of affected equipment ]]))</f>
        <v>0.11705240714107301</v>
      </c>
      <c r="AI887" s="27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43">
        <f t="shared" si="77"/>
        <v>2026</v>
      </c>
      <c r="C888" s="116">
        <f t="shared" si="78"/>
        <v>2025</v>
      </c>
      <c r="D888" s="2" t="s">
        <v>155</v>
      </c>
      <c r="E888" s="2" t="s">
        <v>155</v>
      </c>
      <c r="F888" s="30">
        <v>45778</v>
      </c>
      <c r="G888" s="2">
        <f>DAY(EOMONTH(TA[[#This Row],[Month Year]],0))</f>
        <v>31</v>
      </c>
      <c r="H888" s="21">
        <v>45805</v>
      </c>
      <c r="I888" s="32">
        <f>IFERROR(VLOOKUP(TA[[#This Row],[Date]],Raw_Data[[Date]:[Sunset Time (POA&lt;20 W/m2)]],3,0),"")</f>
        <v>0.25</v>
      </c>
      <c r="J888" s="32">
        <f>IFERROR(VLOOKUP(TA[[#This Row],[Date]],Raw_Data[[Date]:[Sunset Time (POA&lt;20 W/m2)]],4,0),"")</f>
        <v>0.77013888888888893</v>
      </c>
      <c r="K888" s="27">
        <f>IFERROR((TA[[#This Row],[Sunset Time (POA&lt;20 W/m2)]]-TA[[#This Row],[Sunrise Time (POA&gt;20 W/m2)]])*24,"")</f>
        <v>12.483333333333334</v>
      </c>
      <c r="L888" s="2" t="s">
        <v>287</v>
      </c>
      <c r="M888" s="33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314</v>
      </c>
      <c r="Q888" s="2" t="s">
        <v>320</v>
      </c>
      <c r="R888">
        <v>47</v>
      </c>
      <c r="S888" s="2">
        <v>18</v>
      </c>
      <c r="T888" t="s">
        <v>288</v>
      </c>
      <c r="U888" t="s">
        <v>291</v>
      </c>
      <c r="V888" t="s">
        <v>292</v>
      </c>
      <c r="W888" s="32"/>
      <c r="X888" s="32"/>
      <c r="Y888" s="26"/>
      <c r="Z888" s="26"/>
      <c r="AA888" s="27">
        <f>IF(TA[[#This Row],[Work Start time on Fault]]="NA","",(TA[[#This Row],[Fault Acknowledgement Time ]]-TA[[#This Row],[Fault Time]])*24)</f>
        <v>0</v>
      </c>
      <c r="AB888" s="27">
        <f>(TA[[#This Row],[Work Start time on Fault]]-TA[[#This Row],[Fault Time]])*24</f>
        <v>0</v>
      </c>
      <c r="AC888" s="26">
        <f>(TA[[#This Row],[Work Completion time on fault]]-TA[[#This Row],[Fault Time]])*24</f>
        <v>0</v>
      </c>
      <c r="AD888" s="27">
        <f>IFERROR((TA[[#This Row],[Work Completion time on fault]]-TA[[#This Row],[Fault Time]])*24,"")</f>
        <v>0</v>
      </c>
      <c r="AE888" t="s">
        <v>319</v>
      </c>
      <c r="AF888" t="s">
        <v>247</v>
      </c>
      <c r="AG888" s="2"/>
      <c r="AH888" s="35">
        <f>1-COS(RADIANS(TA[[#This Row],[Avg. Target Angle during Fault Time (Radians)]]-TA[[#This Row],[Angle of affected equipment ]]))</f>
        <v>0.11705240714107301</v>
      </c>
      <c r="AI888" s="27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43">
        <f t="shared" si="77"/>
        <v>2026</v>
      </c>
      <c r="C889" s="116">
        <f t="shared" si="78"/>
        <v>2025</v>
      </c>
      <c r="D889" s="2" t="s">
        <v>155</v>
      </c>
      <c r="E889" s="2" t="s">
        <v>155</v>
      </c>
      <c r="F889" s="30">
        <v>45778</v>
      </c>
      <c r="G889" s="2">
        <f>DAY(EOMONTH(TA[[#This Row],[Month Year]],0))</f>
        <v>31</v>
      </c>
      <c r="H889" s="21">
        <v>45805</v>
      </c>
      <c r="I889" s="32">
        <f>IFERROR(VLOOKUP(TA[[#This Row],[Date]],Raw_Data[[Date]:[Sunset Time (POA&lt;20 W/m2)]],3,0),"")</f>
        <v>0.25</v>
      </c>
      <c r="J889" s="32">
        <f>IFERROR(VLOOKUP(TA[[#This Row],[Date]],Raw_Data[[Date]:[Sunset Time (POA&lt;20 W/m2)]],4,0),"")</f>
        <v>0.77013888888888893</v>
      </c>
      <c r="K889" s="27">
        <f>IFERROR((TA[[#This Row],[Sunset Time (POA&lt;20 W/m2)]]-TA[[#This Row],[Sunrise Time (POA&gt;20 W/m2)]])*24,"")</f>
        <v>12.483333333333334</v>
      </c>
      <c r="L889" s="2" t="s">
        <v>287</v>
      </c>
      <c r="M889" s="33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321</v>
      </c>
      <c r="Q889" s="2" t="s">
        <v>314</v>
      </c>
      <c r="R889">
        <v>30</v>
      </c>
      <c r="S889" s="2">
        <v>57</v>
      </c>
      <c r="T889" t="s">
        <v>288</v>
      </c>
      <c r="U889" t="s">
        <v>291</v>
      </c>
      <c r="V889" t="s">
        <v>292</v>
      </c>
      <c r="W889" s="32"/>
      <c r="X889" s="32"/>
      <c r="Y889" s="26"/>
      <c r="Z889" s="26"/>
      <c r="AA889" s="27">
        <f>IF(TA[[#This Row],[Work Start time on Fault]]="NA","",(TA[[#This Row],[Fault Acknowledgement Time ]]-TA[[#This Row],[Fault Time]])*24)</f>
        <v>0</v>
      </c>
      <c r="AB889" s="27">
        <f>(TA[[#This Row],[Work Start time on Fault]]-TA[[#This Row],[Fault Time]])*24</f>
        <v>0</v>
      </c>
      <c r="AC889" s="26">
        <f>(TA[[#This Row],[Work Completion time on fault]]-TA[[#This Row],[Fault Time]])*24</f>
        <v>0</v>
      </c>
      <c r="AD889" s="27">
        <f>IFERROR((TA[[#This Row],[Work Completion time on fault]]-TA[[#This Row],[Fault Time]])*24,"")</f>
        <v>0</v>
      </c>
      <c r="AE889" t="s">
        <v>319</v>
      </c>
      <c r="AF889" t="s">
        <v>247</v>
      </c>
      <c r="AG889" s="2"/>
      <c r="AH889" s="35">
        <f>1-COS(RADIANS(TA[[#This Row],[Avg. Target Angle during Fault Time (Radians)]]-TA[[#This Row],[Angle of affected equipment ]]))</f>
        <v>0.11705240714107301</v>
      </c>
      <c r="AI889" s="27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43">
        <f t="shared" si="77"/>
        <v>2026</v>
      </c>
      <c r="C890" s="116">
        <f t="shared" si="78"/>
        <v>2025</v>
      </c>
      <c r="D890" s="2" t="s">
        <v>155</v>
      </c>
      <c r="E890" s="2" t="s">
        <v>155</v>
      </c>
      <c r="F890" s="30">
        <v>45778</v>
      </c>
      <c r="G890" s="2">
        <f>DAY(EOMONTH(TA[[#This Row],[Month Year]],0))</f>
        <v>31</v>
      </c>
      <c r="H890" s="21">
        <v>45805</v>
      </c>
      <c r="I890" s="32">
        <f>IFERROR(VLOOKUP(TA[[#This Row],[Date]],Raw_Data[[Date]:[Sunset Time (POA&lt;20 W/m2)]],3,0),"")</f>
        <v>0.25</v>
      </c>
      <c r="J890" s="32">
        <f>IFERROR(VLOOKUP(TA[[#This Row],[Date]],Raw_Data[[Date]:[Sunset Time (POA&lt;20 W/m2)]],4,0),"")</f>
        <v>0.77013888888888893</v>
      </c>
      <c r="K890" s="27">
        <f>IFERROR((TA[[#This Row],[Sunset Time (POA&lt;20 W/m2)]]-TA[[#This Row],[Sunrise Time (POA&gt;20 W/m2)]])*24,"")</f>
        <v>12.483333333333334</v>
      </c>
      <c r="L890" s="2" t="s">
        <v>287</v>
      </c>
      <c r="M890" s="33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321</v>
      </c>
      <c r="Q890" s="2" t="s">
        <v>314</v>
      </c>
      <c r="R890">
        <v>31</v>
      </c>
      <c r="S890" s="2">
        <v>61</v>
      </c>
      <c r="T890" t="s">
        <v>288</v>
      </c>
      <c r="U890" t="s">
        <v>291</v>
      </c>
      <c r="V890" t="s">
        <v>292</v>
      </c>
      <c r="W890" s="32"/>
      <c r="X890" s="32"/>
      <c r="Y890" s="26"/>
      <c r="Z890" s="26"/>
      <c r="AA890" s="27">
        <f>IF(TA[[#This Row],[Work Start time on Fault]]="NA","",(TA[[#This Row],[Fault Acknowledgement Time ]]-TA[[#This Row],[Fault Time]])*24)</f>
        <v>0</v>
      </c>
      <c r="AB890" s="27">
        <f>(TA[[#This Row],[Work Start time on Fault]]-TA[[#This Row],[Fault Time]])*24</f>
        <v>0</v>
      </c>
      <c r="AC890" s="26">
        <f>(TA[[#This Row],[Work Completion time on fault]]-TA[[#This Row],[Fault Time]])*24</f>
        <v>0</v>
      </c>
      <c r="AD890" s="27">
        <f>IFERROR((TA[[#This Row],[Work Completion time on fault]]-TA[[#This Row],[Fault Time]])*24,"")</f>
        <v>0</v>
      </c>
      <c r="AE890" t="s">
        <v>319</v>
      </c>
      <c r="AF890" t="s">
        <v>247</v>
      </c>
      <c r="AG890" s="2"/>
      <c r="AH890" s="35">
        <f>1-COS(RADIANS(TA[[#This Row],[Avg. Target Angle during Fault Time (Radians)]]-TA[[#This Row],[Angle of affected equipment ]]))</f>
        <v>0.11705240714107301</v>
      </c>
      <c r="AI890" s="27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43">
        <f t="shared" si="77"/>
        <v>2026</v>
      </c>
      <c r="C891" s="116">
        <f t="shared" si="78"/>
        <v>2025</v>
      </c>
      <c r="D891" s="2" t="s">
        <v>155</v>
      </c>
      <c r="E891" s="2" t="s">
        <v>155</v>
      </c>
      <c r="F891" s="30">
        <v>45778</v>
      </c>
      <c r="G891" s="2">
        <f>DAY(EOMONTH(TA[[#This Row],[Month Year]],0))</f>
        <v>31</v>
      </c>
      <c r="H891" s="21">
        <v>45805</v>
      </c>
      <c r="I891" s="32">
        <f>IFERROR(VLOOKUP(TA[[#This Row],[Date]],Raw_Data[[Date]:[Sunset Time (POA&lt;20 W/m2)]],3,0),"")</f>
        <v>0.25</v>
      </c>
      <c r="J891" s="32">
        <f>IFERROR(VLOOKUP(TA[[#This Row],[Date]],Raw_Data[[Date]:[Sunset Time (POA&lt;20 W/m2)]],4,0),"")</f>
        <v>0.77013888888888893</v>
      </c>
      <c r="K891" s="27">
        <f>IFERROR((TA[[#This Row],[Sunset Time (POA&lt;20 W/m2)]]-TA[[#This Row],[Sunrise Time (POA&gt;20 W/m2)]])*24,"")</f>
        <v>12.483333333333334</v>
      </c>
      <c r="L891" s="2" t="s">
        <v>303</v>
      </c>
      <c r="M891" s="33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321</v>
      </c>
      <c r="Q891" s="2" t="s">
        <v>314</v>
      </c>
      <c r="R891">
        <v>26</v>
      </c>
      <c r="S891" s="2">
        <v>37</v>
      </c>
      <c r="T891" t="s">
        <v>288</v>
      </c>
      <c r="U891" t="s">
        <v>291</v>
      </c>
      <c r="V891" t="s">
        <v>292</v>
      </c>
      <c r="W891" s="32"/>
      <c r="X891" s="32"/>
      <c r="Y891" s="26"/>
      <c r="Z891" s="26"/>
      <c r="AA891" s="27">
        <f>IF(TA[[#This Row],[Work Start time on Fault]]="NA","",(TA[[#This Row],[Fault Acknowledgement Time ]]-TA[[#This Row],[Fault Time]])*24)</f>
        <v>0</v>
      </c>
      <c r="AB891" s="27">
        <f>(TA[[#This Row],[Work Start time on Fault]]-TA[[#This Row],[Fault Time]])*24</f>
        <v>0</v>
      </c>
      <c r="AC891" s="26">
        <f>(TA[[#This Row],[Work Completion time on fault]]-TA[[#This Row],[Fault Time]])*24</f>
        <v>0</v>
      </c>
      <c r="AD891" s="27">
        <f>IFERROR((TA[[#This Row],[Work Completion time on fault]]-TA[[#This Row],[Fault Time]])*24,"")</f>
        <v>0</v>
      </c>
      <c r="AE891" t="s">
        <v>319</v>
      </c>
      <c r="AF891" t="s">
        <v>247</v>
      </c>
      <c r="AG891" s="2"/>
      <c r="AH891" s="35">
        <f>1-COS(RADIANS(TA[[#This Row],[Avg. Target Angle during Fault Time (Radians)]]-TA[[#This Row],[Angle of affected equipment ]]))</f>
        <v>0.11705240714107301</v>
      </c>
      <c r="AI891" s="27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43">
        <f t="shared" si="77"/>
        <v>2026</v>
      </c>
      <c r="C892" s="116">
        <f t="shared" si="78"/>
        <v>2025</v>
      </c>
      <c r="D892" s="2" t="s">
        <v>155</v>
      </c>
      <c r="E892" s="2" t="s">
        <v>155</v>
      </c>
      <c r="F892" s="30">
        <v>45778</v>
      </c>
      <c r="G892" s="2">
        <f>DAY(EOMONTH(TA[[#This Row],[Month Year]],0))</f>
        <v>31</v>
      </c>
      <c r="H892" s="21">
        <v>45805</v>
      </c>
      <c r="I892" s="32">
        <f>IFERROR(VLOOKUP(TA[[#This Row],[Date]],Raw_Data[[Date]:[Sunset Time (POA&lt;20 W/m2)]],3,0),"")</f>
        <v>0.25</v>
      </c>
      <c r="J892" s="32">
        <f>IFERROR(VLOOKUP(TA[[#This Row],[Date]],Raw_Data[[Date]:[Sunset Time (POA&lt;20 W/m2)]],4,0),"")</f>
        <v>0.77013888888888893</v>
      </c>
      <c r="K892" s="27">
        <f>IFERROR((TA[[#This Row],[Sunset Time (POA&lt;20 W/m2)]]-TA[[#This Row],[Sunrise Time (POA&gt;20 W/m2)]])*24,"")</f>
        <v>12.483333333333334</v>
      </c>
      <c r="L892" s="2" t="s">
        <v>303</v>
      </c>
      <c r="M892" s="33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321</v>
      </c>
      <c r="Q892" s="2" t="s">
        <v>314</v>
      </c>
      <c r="R892">
        <v>27</v>
      </c>
      <c r="S892" s="2">
        <v>42</v>
      </c>
      <c r="T892" t="s">
        <v>288</v>
      </c>
      <c r="U892" t="s">
        <v>291</v>
      </c>
      <c r="V892" t="s">
        <v>292</v>
      </c>
      <c r="W892" s="32">
        <f>IFERROR(VLOOKUP(TA[[#This Row],[Date]],Raw_Data[[Date]:[Sunset Time (POA&lt;20 W/m2)]],3,0),"")</f>
        <v>0.25</v>
      </c>
      <c r="X892" s="32">
        <f>IFERROR(VLOOKUP(TA[[#This Row],[Date]],Raw_Data[[Date]:[Sunset Time (POA&lt;20 W/m2)]],3,0),"")</f>
        <v>0.25</v>
      </c>
      <c r="Y892" s="26"/>
      <c r="Z892" s="26">
        <v>0.76041666666666663</v>
      </c>
      <c r="AA892" s="27">
        <f>IF(TA[[#This Row],[Work Start time on Fault]]="NA","",(TA[[#This Row],[Fault Acknowledgement Time ]]-TA[[#This Row],[Fault Time]])*24)</f>
        <v>0</v>
      </c>
      <c r="AB892" s="27">
        <f>(TA[[#This Row],[Work Start time on Fault]]-TA[[#This Row],[Fault Time]])*24</f>
        <v>-6</v>
      </c>
      <c r="AC892" s="26">
        <f>(TA[[#This Row],[Work Completion time on fault]]-TA[[#This Row],[Fault Time]])*24</f>
        <v>12.25</v>
      </c>
      <c r="AD892" s="27">
        <f>IFERROR((TA[[#This Row],[Work Completion time on fault]]-TA[[#This Row],[Fault Time]])*24,"")</f>
        <v>12.25</v>
      </c>
      <c r="AE892" t="s">
        <v>300</v>
      </c>
      <c r="AF892" t="s">
        <v>247</v>
      </c>
      <c r="AG892" s="2"/>
      <c r="AH892" s="35">
        <f>1-COS(RADIANS(TA[[#This Row],[Avg. Target Angle during Fault Time (Radians)]]-TA[[#This Row],[Angle of affected equipment ]]))</f>
        <v>0.11705240714107301</v>
      </c>
      <c r="AI892" s="27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43">
        <f t="shared" ref="B893:B905" si="79">YEAR(H893)+IF(MONTH(H893)&gt;=4,1,0)</f>
        <v>2026</v>
      </c>
      <c r="C893" s="116">
        <f t="shared" ref="C893:C905" si="80">YEAR(H893)</f>
        <v>2025</v>
      </c>
      <c r="D893" s="2" t="s">
        <v>155</v>
      </c>
      <c r="E893" s="2" t="s">
        <v>155</v>
      </c>
      <c r="F893" s="30">
        <v>45778</v>
      </c>
      <c r="G893" s="2">
        <f>DAY(EOMONTH(TA[[#This Row],[Month Year]],0))</f>
        <v>31</v>
      </c>
      <c r="H893" s="21">
        <v>45806</v>
      </c>
      <c r="I893" s="32">
        <f>IFERROR(VLOOKUP(TA[[#This Row],[Date]],Raw_Data[[Date]:[Sunset Time (POA&lt;20 W/m2)]],3,0),"")</f>
        <v>0.2638888888888889</v>
      </c>
      <c r="J893" s="32">
        <f>IFERROR(VLOOKUP(TA[[#This Row],[Date]],Raw_Data[[Date]:[Sunset Time (POA&lt;20 W/m2)]],4,0),"")</f>
        <v>0.77430555555555558</v>
      </c>
      <c r="K893" s="27">
        <f>IFERROR((TA[[#This Row],[Sunset Time (POA&lt;20 W/m2)]]-TA[[#This Row],[Sunrise Time (POA&gt;20 W/m2)]])*24,"")</f>
        <v>12.250000000000002</v>
      </c>
      <c r="L893" s="2" t="s">
        <v>285</v>
      </c>
      <c r="M893" s="33">
        <f>IFERROR(VLOOKUP(TA[[#This Row],[Affected Equipment]],'Basic Data'!$I$2:$K$40,3,0),"")</f>
        <v>1.7241379310344799E-3</v>
      </c>
      <c r="N893">
        <v>-28</v>
      </c>
      <c r="O893" t="s">
        <v>135</v>
      </c>
      <c r="P893" s="114" t="s">
        <v>309</v>
      </c>
      <c r="Q893" s="113" t="s">
        <v>309</v>
      </c>
      <c r="R893">
        <v>131</v>
      </c>
      <c r="S893" s="2">
        <v>38</v>
      </c>
      <c r="T893" t="s">
        <v>286</v>
      </c>
      <c r="U893" t="s">
        <v>291</v>
      </c>
      <c r="V893" t="s">
        <v>289</v>
      </c>
      <c r="W893" s="32"/>
      <c r="X893" s="32"/>
      <c r="Y893" s="26"/>
      <c r="Z893" s="26"/>
      <c r="AA893" s="27">
        <f>IF(TA[[#This Row],[Work Start time on Fault]]="NA","",(TA[[#This Row],[Fault Acknowledgement Time ]]-TA[[#This Row],[Fault Time]])*24)</f>
        <v>0</v>
      </c>
      <c r="AB893" s="27">
        <f>(TA[[#This Row],[Work Start time on Fault]]-TA[[#This Row],[Fault Time]])*24</f>
        <v>0</v>
      </c>
      <c r="AC893" s="26">
        <f>(TA[[#This Row],[Work Completion time on fault]]-TA[[#This Row],[Fault Time]])*24</f>
        <v>0</v>
      </c>
      <c r="AD893" s="27">
        <f>IFERROR((TA[[#This Row],[Work Completion time on fault]]-TA[[#This Row],[Fault Time]])*24,"")</f>
        <v>0</v>
      </c>
      <c r="AE893" t="s">
        <v>319</v>
      </c>
      <c r="AF893" t="s">
        <v>247</v>
      </c>
      <c r="AG893" s="2"/>
      <c r="AH893" s="35">
        <f>1-COS(RADIANS(TA[[#This Row],[Avg. Target Angle during Fault Time (Radians)]]-TA[[#This Row],[Angle of affected equipment ]]))</f>
        <v>0.11705240714107301</v>
      </c>
      <c r="AI893" s="27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43">
        <f t="shared" si="79"/>
        <v>2026</v>
      </c>
      <c r="C894" s="116">
        <f t="shared" si="80"/>
        <v>2025</v>
      </c>
      <c r="D894" s="2" t="s">
        <v>155</v>
      </c>
      <c r="E894" s="2" t="s">
        <v>155</v>
      </c>
      <c r="F894" s="30">
        <v>45778</v>
      </c>
      <c r="G894" s="2">
        <f>DAY(EOMONTH(TA[[#This Row],[Month Year]],0))</f>
        <v>31</v>
      </c>
      <c r="H894" s="21">
        <v>45806</v>
      </c>
      <c r="I894" s="32">
        <f>IFERROR(VLOOKUP(TA[[#This Row],[Date]],Raw_Data[[Date]:[Sunset Time (POA&lt;20 W/m2)]],3,0),"")</f>
        <v>0.2638888888888889</v>
      </c>
      <c r="J894" s="32">
        <f>IFERROR(VLOOKUP(TA[[#This Row],[Date]],Raw_Data[[Date]:[Sunset Time (POA&lt;20 W/m2)]],4,0),"")</f>
        <v>0.77430555555555558</v>
      </c>
      <c r="K894" s="27">
        <f>IFERROR((TA[[#This Row],[Sunset Time (POA&lt;20 W/m2)]]-TA[[#This Row],[Sunrise Time (POA&gt;20 W/m2)]])*24,"")</f>
        <v>12.250000000000002</v>
      </c>
      <c r="L894" s="2" t="s">
        <v>285</v>
      </c>
      <c r="M894" s="33">
        <f>IFERROR(VLOOKUP(TA[[#This Row],[Affected Equipment]],'Basic Data'!$I$2:$K$40,3,0),"")</f>
        <v>1.7241379310344799E-3</v>
      </c>
      <c r="N894">
        <v>-28</v>
      </c>
      <c r="O894" t="s">
        <v>135</v>
      </c>
      <c r="P894" s="114" t="s">
        <v>309</v>
      </c>
      <c r="Q894" s="113" t="s">
        <v>309</v>
      </c>
      <c r="R894">
        <v>131</v>
      </c>
      <c r="S894" s="2">
        <v>39</v>
      </c>
      <c r="T894" t="s">
        <v>286</v>
      </c>
      <c r="U894" t="s">
        <v>291</v>
      </c>
      <c r="V894" t="s">
        <v>289</v>
      </c>
      <c r="W894" s="32"/>
      <c r="X894" s="32"/>
      <c r="Y894" s="26"/>
      <c r="Z894" s="26"/>
      <c r="AA894" s="27">
        <f>IF(TA[[#This Row],[Work Start time on Fault]]="NA","",(TA[[#This Row],[Fault Acknowledgement Time ]]-TA[[#This Row],[Fault Time]])*24)</f>
        <v>0</v>
      </c>
      <c r="AB894" s="27">
        <f>(TA[[#This Row],[Work Start time on Fault]]-TA[[#This Row],[Fault Time]])*24</f>
        <v>0</v>
      </c>
      <c r="AC894" s="26">
        <f>(TA[[#This Row],[Work Completion time on fault]]-TA[[#This Row],[Fault Time]])*24</f>
        <v>0</v>
      </c>
      <c r="AD894" s="27">
        <f>IFERROR((TA[[#This Row],[Work Completion time on fault]]-TA[[#This Row],[Fault Time]])*24,"")</f>
        <v>0</v>
      </c>
      <c r="AE894" t="s">
        <v>319</v>
      </c>
      <c r="AF894" t="s">
        <v>247</v>
      </c>
      <c r="AG894" s="2"/>
      <c r="AH894" s="35">
        <f>1-COS(RADIANS(TA[[#This Row],[Avg. Target Angle during Fault Time (Radians)]]-TA[[#This Row],[Angle of affected equipment ]]))</f>
        <v>0.11705240714107301</v>
      </c>
      <c r="AI894" s="27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43">
        <f t="shared" si="79"/>
        <v>2026</v>
      </c>
      <c r="C895" s="116">
        <f t="shared" si="80"/>
        <v>2025</v>
      </c>
      <c r="D895" s="2" t="s">
        <v>155</v>
      </c>
      <c r="E895" s="2" t="s">
        <v>155</v>
      </c>
      <c r="F895" s="30">
        <v>45778</v>
      </c>
      <c r="G895" s="2">
        <f>DAY(EOMONTH(TA[[#This Row],[Month Year]],0))</f>
        <v>31</v>
      </c>
      <c r="H895" s="21">
        <v>45806</v>
      </c>
      <c r="I895" s="32">
        <f>IFERROR(VLOOKUP(TA[[#This Row],[Date]],Raw_Data[[Date]:[Sunset Time (POA&lt;20 W/m2)]],3,0),"")</f>
        <v>0.2638888888888889</v>
      </c>
      <c r="J895" s="32">
        <f>IFERROR(VLOOKUP(TA[[#This Row],[Date]],Raw_Data[[Date]:[Sunset Time (POA&lt;20 W/m2)]],4,0),"")</f>
        <v>0.77430555555555558</v>
      </c>
      <c r="K895" s="27">
        <f>IFERROR((TA[[#This Row],[Sunset Time (POA&lt;20 W/m2)]]-TA[[#This Row],[Sunrise Time (POA&gt;20 W/m2)]])*24,"")</f>
        <v>12.250000000000002</v>
      </c>
      <c r="L895" s="2" t="s">
        <v>287</v>
      </c>
      <c r="M895" s="33">
        <f>IFERROR(VLOOKUP(TA[[#This Row],[Affected Equipment]],'Basic Data'!$I$2:$K$40,3,0),"")</f>
        <v>8.6206896551724102E-3</v>
      </c>
      <c r="N895">
        <v>-28</v>
      </c>
      <c r="O895" t="s">
        <v>135</v>
      </c>
      <c r="P895" s="114" t="s">
        <v>309</v>
      </c>
      <c r="Q895" s="2" t="s">
        <v>312</v>
      </c>
      <c r="R895">
        <v>133</v>
      </c>
      <c r="S895" s="2">
        <v>26</v>
      </c>
      <c r="T895" t="s">
        <v>288</v>
      </c>
      <c r="U895" t="s">
        <v>291</v>
      </c>
      <c r="V895" t="s">
        <v>305</v>
      </c>
      <c r="W895" s="32">
        <f>IFERROR(VLOOKUP(TA[[#This Row],[Date]],Raw_Data[[Date]:[Sunset Time (POA&lt;20 W/m2)]],3,0),"")</f>
        <v>0.2638888888888889</v>
      </c>
      <c r="X895" s="32">
        <f>IFERROR(VLOOKUP(TA[[#This Row],[Date]],Raw_Data[[Date]:[Sunset Time (POA&lt;20 W/m2)]],3,0),"")</f>
        <v>0.2638888888888889</v>
      </c>
      <c r="Y895" s="26"/>
      <c r="Z895" s="26">
        <v>0.76041666666666663</v>
      </c>
      <c r="AA895" s="27">
        <f>IF(TA[[#This Row],[Work Start time on Fault]]="NA","",(TA[[#This Row],[Fault Acknowledgement Time ]]-TA[[#This Row],[Fault Time]])*24)</f>
        <v>0</v>
      </c>
      <c r="AB895" s="27">
        <f>(TA[[#This Row],[Work Start time on Fault]]-TA[[#This Row],[Fault Time]])*24</f>
        <v>-6.3333333333333339</v>
      </c>
      <c r="AC895" s="26">
        <f>(TA[[#This Row],[Work Completion time on fault]]-TA[[#This Row],[Fault Time]])*24</f>
        <v>11.916666666666666</v>
      </c>
      <c r="AD895" s="27">
        <f>IFERROR((TA[[#This Row],[Work Completion time on fault]]-TA[[#This Row],[Fault Time]])*24,"")</f>
        <v>11.916666666666666</v>
      </c>
      <c r="AE895" t="s">
        <v>319</v>
      </c>
      <c r="AF895" t="s">
        <v>247</v>
      </c>
      <c r="AG895" s="2"/>
      <c r="AH895" s="35">
        <f>1-COS(RADIANS(TA[[#This Row],[Avg. Target Angle during Fault Time (Radians)]]-TA[[#This Row],[Angle of affected equipment ]]))</f>
        <v>0.11705240714107301</v>
      </c>
      <c r="AI895" s="27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43">
        <f t="shared" si="79"/>
        <v>2026</v>
      </c>
      <c r="C896" s="116">
        <f t="shared" si="80"/>
        <v>2025</v>
      </c>
      <c r="D896" s="2" t="s">
        <v>155</v>
      </c>
      <c r="E896" s="2" t="s">
        <v>155</v>
      </c>
      <c r="F896" s="30">
        <v>45778</v>
      </c>
      <c r="G896" s="2">
        <f>DAY(EOMONTH(TA[[#This Row],[Month Year]],0))</f>
        <v>31</v>
      </c>
      <c r="H896" s="21">
        <v>45806</v>
      </c>
      <c r="I896" s="32">
        <f>IFERROR(VLOOKUP(TA[[#This Row],[Date]],Raw_Data[[Date]:[Sunset Time (POA&lt;20 W/m2)]],3,0),"")</f>
        <v>0.2638888888888889</v>
      </c>
      <c r="J896" s="32">
        <f>IFERROR(VLOOKUP(TA[[#This Row],[Date]],Raw_Data[[Date]:[Sunset Time (POA&lt;20 W/m2)]],4,0),"")</f>
        <v>0.77430555555555558</v>
      </c>
      <c r="K896" s="27">
        <f>IFERROR((TA[[#This Row],[Sunset Time (POA&lt;20 W/m2)]]-TA[[#This Row],[Sunrise Time (POA&gt;20 W/m2)]])*24,"")</f>
        <v>12.250000000000002</v>
      </c>
      <c r="L896" s="2" t="s">
        <v>285</v>
      </c>
      <c r="M896" s="33">
        <f>IFERROR(VLOOKUP(TA[[#This Row],[Affected Equipment]],'Basic Data'!$I$2:$K$40,3,0),"")</f>
        <v>1.7241379310344799E-3</v>
      </c>
      <c r="N896">
        <v>-28</v>
      </c>
      <c r="O896" t="s">
        <v>133</v>
      </c>
      <c r="P896" s="114" t="s">
        <v>307</v>
      </c>
      <c r="Q896" s="113" t="s">
        <v>308</v>
      </c>
      <c r="R896">
        <v>7</v>
      </c>
      <c r="S896" s="2">
        <v>32</v>
      </c>
      <c r="T896" t="s">
        <v>286</v>
      </c>
      <c r="U896" t="s">
        <v>291</v>
      </c>
      <c r="V896" t="s">
        <v>289</v>
      </c>
      <c r="W896" s="32"/>
      <c r="X896" s="32"/>
      <c r="Y896" s="26"/>
      <c r="Z896" s="26"/>
      <c r="AA896" s="27">
        <f>IF(TA[[#This Row],[Work Start time on Fault]]="NA","",(TA[[#This Row],[Fault Acknowledgement Time ]]-TA[[#This Row],[Fault Time]])*24)</f>
        <v>0</v>
      </c>
      <c r="AB896" s="27">
        <f>(TA[[#This Row],[Work Start time on Fault]]-TA[[#This Row],[Fault Time]])*24</f>
        <v>0</v>
      </c>
      <c r="AC896" s="26">
        <f>(TA[[#This Row],[Work Completion time on fault]]-TA[[#This Row],[Fault Time]])*24</f>
        <v>0</v>
      </c>
      <c r="AD896" s="27">
        <f>IFERROR((TA[[#This Row],[Work Completion time on fault]]-TA[[#This Row],[Fault Time]])*24,"")</f>
        <v>0</v>
      </c>
      <c r="AE896" t="s">
        <v>319</v>
      </c>
      <c r="AF896" t="s">
        <v>247</v>
      </c>
      <c r="AG896" s="2"/>
      <c r="AH896" s="35">
        <f>1-COS(RADIANS(TA[[#This Row],[Avg. Target Angle during Fault Time (Radians)]]-TA[[#This Row],[Angle of affected equipment ]]))</f>
        <v>0.11705240714107301</v>
      </c>
      <c r="AI896" s="27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43">
        <f t="shared" si="79"/>
        <v>2026</v>
      </c>
      <c r="C897" s="116">
        <f t="shared" si="80"/>
        <v>2025</v>
      </c>
      <c r="D897" s="2" t="s">
        <v>155</v>
      </c>
      <c r="E897" s="2" t="s">
        <v>155</v>
      </c>
      <c r="F897" s="30">
        <v>45778</v>
      </c>
      <c r="G897" s="2">
        <f>DAY(EOMONTH(TA[[#This Row],[Month Year]],0))</f>
        <v>31</v>
      </c>
      <c r="H897" s="21">
        <v>45806</v>
      </c>
      <c r="I897" s="32">
        <f>IFERROR(VLOOKUP(TA[[#This Row],[Date]],Raw_Data[[Date]:[Sunset Time (POA&lt;20 W/m2)]],3,0),"")</f>
        <v>0.2638888888888889</v>
      </c>
      <c r="J897" s="32">
        <f>IFERROR(VLOOKUP(TA[[#This Row],[Date]],Raw_Data[[Date]:[Sunset Time (POA&lt;20 W/m2)]],4,0),"")</f>
        <v>0.77430555555555558</v>
      </c>
      <c r="K897" s="27">
        <f>IFERROR((TA[[#This Row],[Sunset Time (POA&lt;20 W/m2)]]-TA[[#This Row],[Sunrise Time (POA&gt;20 W/m2)]])*24,"")</f>
        <v>12.250000000000002</v>
      </c>
      <c r="L897" s="2" t="s">
        <v>285</v>
      </c>
      <c r="M897" s="33">
        <f>IFERROR(VLOOKUP(TA[[#This Row],[Affected Equipment]],'Basic Data'!$I$2:$K$40,3,0),"")</f>
        <v>1.7241379310344799E-3</v>
      </c>
      <c r="N897">
        <v>-28</v>
      </c>
      <c r="O897" t="s">
        <v>137</v>
      </c>
      <c r="P897" s="114" t="s">
        <v>306</v>
      </c>
      <c r="Q897" s="113" t="s">
        <v>310</v>
      </c>
      <c r="R897">
        <v>166</v>
      </c>
      <c r="S897" s="2">
        <v>91</v>
      </c>
      <c r="T897" t="s">
        <v>286</v>
      </c>
      <c r="U897" t="s">
        <v>291</v>
      </c>
      <c r="V897" t="s">
        <v>289</v>
      </c>
      <c r="W897" s="32"/>
      <c r="X897" s="32"/>
      <c r="Y897" s="26"/>
      <c r="Z897" s="26"/>
      <c r="AA897" s="27">
        <f>IF(TA[[#This Row],[Work Start time on Fault]]="NA","",(TA[[#This Row],[Fault Acknowledgement Time ]]-TA[[#This Row],[Fault Time]])*24)</f>
        <v>0</v>
      </c>
      <c r="AB897" s="27">
        <f>(TA[[#This Row],[Work Start time on Fault]]-TA[[#This Row],[Fault Time]])*24</f>
        <v>0</v>
      </c>
      <c r="AC897" s="26">
        <f>(TA[[#This Row],[Work Completion time on fault]]-TA[[#This Row],[Fault Time]])*24</f>
        <v>0</v>
      </c>
      <c r="AD897" s="27">
        <f>IFERROR((TA[[#This Row],[Work Completion time on fault]]-TA[[#This Row],[Fault Time]])*24,"")</f>
        <v>0</v>
      </c>
      <c r="AE897" t="s">
        <v>319</v>
      </c>
      <c r="AF897" t="s">
        <v>247</v>
      </c>
      <c r="AG897" s="2"/>
      <c r="AH897" s="35">
        <f>1-COS(RADIANS(TA[[#This Row],[Avg. Target Angle during Fault Time (Radians)]]-TA[[#This Row],[Angle of affected equipment ]]))</f>
        <v>0.11705240714107301</v>
      </c>
      <c r="AI897" s="27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43">
        <f t="shared" si="79"/>
        <v>2026</v>
      </c>
      <c r="C898" s="116">
        <f t="shared" si="80"/>
        <v>2025</v>
      </c>
      <c r="D898" s="2" t="s">
        <v>155</v>
      </c>
      <c r="E898" s="2" t="s">
        <v>155</v>
      </c>
      <c r="F898" s="30">
        <v>45778</v>
      </c>
      <c r="G898" s="2">
        <f>DAY(EOMONTH(TA[[#This Row],[Month Year]],0))</f>
        <v>31</v>
      </c>
      <c r="H898" s="21">
        <v>45806</v>
      </c>
      <c r="I898" s="32">
        <f>IFERROR(VLOOKUP(TA[[#This Row],[Date]],Raw_Data[[Date]:[Sunset Time (POA&lt;20 W/m2)]],3,0),"")</f>
        <v>0.2638888888888889</v>
      </c>
      <c r="J898" s="32">
        <f>IFERROR(VLOOKUP(TA[[#This Row],[Date]],Raw_Data[[Date]:[Sunset Time (POA&lt;20 W/m2)]],4,0),"")</f>
        <v>0.77430555555555558</v>
      </c>
      <c r="K898" s="27">
        <f>IFERROR((TA[[#This Row],[Sunset Time (POA&lt;20 W/m2)]]-TA[[#This Row],[Sunrise Time (POA&gt;20 W/m2)]])*24,"")</f>
        <v>12.250000000000002</v>
      </c>
      <c r="L898" s="2" t="s">
        <v>285</v>
      </c>
      <c r="M898" s="33">
        <f>IFERROR(VLOOKUP(TA[[#This Row],[Affected Equipment]],'Basic Data'!$I$2:$K$40,3,0),"")</f>
        <v>1.7241379310344799E-3</v>
      </c>
      <c r="N898">
        <v>-28</v>
      </c>
      <c r="O898" t="s">
        <v>133</v>
      </c>
      <c r="P898" s="114" t="s">
        <v>307</v>
      </c>
      <c r="Q898" s="113" t="s">
        <v>307</v>
      </c>
      <c r="R898">
        <v>117</v>
      </c>
      <c r="S898" s="2">
        <v>20</v>
      </c>
      <c r="T898" t="s">
        <v>286</v>
      </c>
      <c r="U898" t="s">
        <v>291</v>
      </c>
      <c r="V898" t="s">
        <v>289</v>
      </c>
      <c r="W898" s="32"/>
      <c r="X898" s="32"/>
      <c r="Y898" s="26"/>
      <c r="Z898" s="26"/>
      <c r="AA898" s="27">
        <f>IF(TA[[#This Row],[Work Start time on Fault]]="NA","",(TA[[#This Row],[Fault Acknowledgement Time ]]-TA[[#This Row],[Fault Time]])*24)</f>
        <v>0</v>
      </c>
      <c r="AB898" s="27">
        <f>(TA[[#This Row],[Work Start time on Fault]]-TA[[#This Row],[Fault Time]])*24</f>
        <v>0</v>
      </c>
      <c r="AC898" s="26">
        <f>(TA[[#This Row],[Work Completion time on fault]]-TA[[#This Row],[Fault Time]])*24</f>
        <v>0</v>
      </c>
      <c r="AD898" s="27">
        <f>IFERROR((TA[[#This Row],[Work Completion time on fault]]-TA[[#This Row],[Fault Time]])*24,"")</f>
        <v>0</v>
      </c>
      <c r="AE898" t="s">
        <v>319</v>
      </c>
      <c r="AF898" t="s">
        <v>247</v>
      </c>
      <c r="AG898" s="2"/>
      <c r="AH898" s="35">
        <f>1-COS(RADIANS(TA[[#This Row],[Avg. Target Angle during Fault Time (Radians)]]-TA[[#This Row],[Angle of affected equipment ]]))</f>
        <v>0.11705240714107301</v>
      </c>
      <c r="AI898" s="27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43">
        <f t="shared" si="79"/>
        <v>2026</v>
      </c>
      <c r="C899" s="116">
        <f t="shared" si="80"/>
        <v>2025</v>
      </c>
      <c r="D899" s="2" t="s">
        <v>155</v>
      </c>
      <c r="E899" s="2" t="s">
        <v>155</v>
      </c>
      <c r="F899" s="30">
        <v>45778</v>
      </c>
      <c r="G899" s="2">
        <f>DAY(EOMONTH(TA[[#This Row],[Month Year]],0))</f>
        <v>31</v>
      </c>
      <c r="H899" s="21">
        <v>45806</v>
      </c>
      <c r="I899" s="32">
        <f>IFERROR(VLOOKUP(TA[[#This Row],[Date]],Raw_Data[[Date]:[Sunset Time (POA&lt;20 W/m2)]],3,0),"")</f>
        <v>0.2638888888888889</v>
      </c>
      <c r="J899" s="32">
        <f>IFERROR(VLOOKUP(TA[[#This Row],[Date]],Raw_Data[[Date]:[Sunset Time (POA&lt;20 W/m2)]],4,0),"")</f>
        <v>0.77430555555555558</v>
      </c>
      <c r="K899" s="27">
        <f>IFERROR((TA[[#This Row],[Sunset Time (POA&lt;20 W/m2)]]-TA[[#This Row],[Sunrise Time (POA&gt;20 W/m2)]])*24,"")</f>
        <v>12.250000000000002</v>
      </c>
      <c r="L899" s="2" t="s">
        <v>285</v>
      </c>
      <c r="M899" s="33">
        <f>IFERROR(VLOOKUP(TA[[#This Row],[Affected Equipment]],'Basic Data'!$I$2:$K$40,3,0),"")</f>
        <v>1.7241379310344799E-3</v>
      </c>
      <c r="N899">
        <v>-28</v>
      </c>
      <c r="O899" t="s">
        <v>133</v>
      </c>
      <c r="P899" s="114" t="s">
        <v>307</v>
      </c>
      <c r="Q899" s="113" t="s">
        <v>307</v>
      </c>
      <c r="R899">
        <v>118</v>
      </c>
      <c r="S899" s="2">
        <v>22</v>
      </c>
      <c r="T899" t="s">
        <v>286</v>
      </c>
      <c r="U899" t="s">
        <v>291</v>
      </c>
      <c r="V899" t="s">
        <v>289</v>
      </c>
      <c r="W899" s="32"/>
      <c r="X899" s="32"/>
      <c r="Y899" s="26"/>
      <c r="Z899" s="26"/>
      <c r="AA899" s="27">
        <f>IF(TA[[#This Row],[Work Start time on Fault]]="NA","",(TA[[#This Row],[Fault Acknowledgement Time ]]-TA[[#This Row],[Fault Time]])*24)</f>
        <v>0</v>
      </c>
      <c r="AB899" s="27">
        <f>(TA[[#This Row],[Work Start time on Fault]]-TA[[#This Row],[Fault Time]])*24</f>
        <v>0</v>
      </c>
      <c r="AC899" s="26">
        <f>(TA[[#This Row],[Work Completion time on fault]]-TA[[#This Row],[Fault Time]])*24</f>
        <v>0</v>
      </c>
      <c r="AD899" s="27">
        <f>IFERROR((TA[[#This Row],[Work Completion time on fault]]-TA[[#This Row],[Fault Time]])*24,"")</f>
        <v>0</v>
      </c>
      <c r="AE899" t="s">
        <v>319</v>
      </c>
      <c r="AF899" t="s">
        <v>247</v>
      </c>
      <c r="AG899" s="2"/>
      <c r="AH899" s="35">
        <f>1-COS(RADIANS(TA[[#This Row],[Avg. Target Angle during Fault Time (Radians)]]-TA[[#This Row],[Angle of affected equipment ]]))</f>
        <v>0.11705240714107301</v>
      </c>
      <c r="AI899" s="27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43">
        <f t="shared" si="79"/>
        <v>2026</v>
      </c>
      <c r="C900" s="116">
        <f t="shared" si="80"/>
        <v>2025</v>
      </c>
      <c r="D900" s="2" t="s">
        <v>155</v>
      </c>
      <c r="E900" s="2" t="s">
        <v>155</v>
      </c>
      <c r="F900" s="30">
        <v>45778</v>
      </c>
      <c r="G900" s="2">
        <f>DAY(EOMONTH(TA[[#This Row],[Month Year]],0))</f>
        <v>31</v>
      </c>
      <c r="H900" s="21">
        <v>45806</v>
      </c>
      <c r="I900" s="32">
        <f>IFERROR(VLOOKUP(TA[[#This Row],[Date]],Raw_Data[[Date]:[Sunset Time (POA&lt;20 W/m2)]],3,0),"")</f>
        <v>0.2638888888888889</v>
      </c>
      <c r="J900" s="32">
        <f>IFERROR(VLOOKUP(TA[[#This Row],[Date]],Raw_Data[[Date]:[Sunset Time (POA&lt;20 W/m2)]],4,0),"")</f>
        <v>0.77430555555555558</v>
      </c>
      <c r="K900" s="27">
        <f>IFERROR((TA[[#This Row],[Sunset Time (POA&lt;20 W/m2)]]-TA[[#This Row],[Sunrise Time (POA&gt;20 W/m2)]])*24,"")</f>
        <v>12.250000000000002</v>
      </c>
      <c r="L900" s="2" t="s">
        <v>287</v>
      </c>
      <c r="M900" s="33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314</v>
      </c>
      <c r="Q900" s="2" t="s">
        <v>320</v>
      </c>
      <c r="R900">
        <v>45</v>
      </c>
      <c r="S900" s="2">
        <v>8</v>
      </c>
      <c r="T900" t="s">
        <v>288</v>
      </c>
      <c r="U900" t="s">
        <v>291</v>
      </c>
      <c r="V900" t="s">
        <v>292</v>
      </c>
      <c r="W900" s="32"/>
      <c r="X900" s="32"/>
      <c r="Y900" s="26"/>
      <c r="Z900" s="26"/>
      <c r="AA900" s="27">
        <f>IF(TA[[#This Row],[Work Start time on Fault]]="NA","",(TA[[#This Row],[Fault Acknowledgement Time ]]-TA[[#This Row],[Fault Time]])*24)</f>
        <v>0</v>
      </c>
      <c r="AB900" s="27">
        <f>(TA[[#This Row],[Work Start time on Fault]]-TA[[#This Row],[Fault Time]])*24</f>
        <v>0</v>
      </c>
      <c r="AC900" s="26">
        <f>(TA[[#This Row],[Work Completion time on fault]]-TA[[#This Row],[Fault Time]])*24</f>
        <v>0</v>
      </c>
      <c r="AD900" s="27">
        <f>IFERROR((TA[[#This Row],[Work Completion time on fault]]-TA[[#This Row],[Fault Time]])*24,"")</f>
        <v>0</v>
      </c>
      <c r="AE900" t="s">
        <v>319</v>
      </c>
      <c r="AF900" t="s">
        <v>247</v>
      </c>
      <c r="AG900" s="2"/>
      <c r="AH900" s="35">
        <f>1-COS(RADIANS(TA[[#This Row],[Avg. Target Angle during Fault Time (Radians)]]-TA[[#This Row],[Angle of affected equipment ]]))</f>
        <v>0.11705240714107301</v>
      </c>
      <c r="AI900" s="27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43">
        <f t="shared" si="79"/>
        <v>2026</v>
      </c>
      <c r="C901" s="116">
        <f t="shared" si="80"/>
        <v>2025</v>
      </c>
      <c r="D901" s="2" t="s">
        <v>155</v>
      </c>
      <c r="E901" s="2" t="s">
        <v>155</v>
      </c>
      <c r="F901" s="30">
        <v>45778</v>
      </c>
      <c r="G901" s="2">
        <f>DAY(EOMONTH(TA[[#This Row],[Month Year]],0))</f>
        <v>31</v>
      </c>
      <c r="H901" s="21">
        <v>45806</v>
      </c>
      <c r="I901" s="32">
        <f>IFERROR(VLOOKUP(TA[[#This Row],[Date]],Raw_Data[[Date]:[Sunset Time (POA&lt;20 W/m2)]],3,0),"")</f>
        <v>0.2638888888888889</v>
      </c>
      <c r="J901" s="32">
        <f>IFERROR(VLOOKUP(TA[[#This Row],[Date]],Raw_Data[[Date]:[Sunset Time (POA&lt;20 W/m2)]],4,0),"")</f>
        <v>0.77430555555555558</v>
      </c>
      <c r="K901" s="27">
        <f>IFERROR((TA[[#This Row],[Sunset Time (POA&lt;20 W/m2)]]-TA[[#This Row],[Sunrise Time (POA&gt;20 W/m2)]])*24,"")</f>
        <v>12.250000000000002</v>
      </c>
      <c r="L901" s="2" t="s">
        <v>287</v>
      </c>
      <c r="M901" s="33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314</v>
      </c>
      <c r="Q901" s="2" t="s">
        <v>320</v>
      </c>
      <c r="R901">
        <v>47</v>
      </c>
      <c r="S901" s="2">
        <v>18</v>
      </c>
      <c r="T901" t="s">
        <v>288</v>
      </c>
      <c r="U901" t="s">
        <v>291</v>
      </c>
      <c r="V901" t="s">
        <v>292</v>
      </c>
      <c r="W901" s="32"/>
      <c r="X901" s="32"/>
      <c r="Y901" s="26"/>
      <c r="Z901" s="26"/>
      <c r="AA901" s="27">
        <f>IF(TA[[#This Row],[Work Start time on Fault]]="NA","",(TA[[#This Row],[Fault Acknowledgement Time ]]-TA[[#This Row],[Fault Time]])*24)</f>
        <v>0</v>
      </c>
      <c r="AB901" s="27">
        <f>(TA[[#This Row],[Work Start time on Fault]]-TA[[#This Row],[Fault Time]])*24</f>
        <v>0</v>
      </c>
      <c r="AC901" s="26">
        <f>(TA[[#This Row],[Work Completion time on fault]]-TA[[#This Row],[Fault Time]])*24</f>
        <v>0</v>
      </c>
      <c r="AD901" s="27">
        <f>IFERROR((TA[[#This Row],[Work Completion time on fault]]-TA[[#This Row],[Fault Time]])*24,"")</f>
        <v>0</v>
      </c>
      <c r="AE901" t="s">
        <v>319</v>
      </c>
      <c r="AF901" t="s">
        <v>247</v>
      </c>
      <c r="AG901" s="2"/>
      <c r="AH901" s="35">
        <f>1-COS(RADIANS(TA[[#This Row],[Avg. Target Angle during Fault Time (Radians)]]-TA[[#This Row],[Angle of affected equipment ]]))</f>
        <v>0.11705240714107301</v>
      </c>
      <c r="AI901" s="27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43">
        <f t="shared" si="79"/>
        <v>2026</v>
      </c>
      <c r="C902" s="116">
        <f t="shared" si="80"/>
        <v>2025</v>
      </c>
      <c r="D902" s="2" t="s">
        <v>155</v>
      </c>
      <c r="E902" s="2" t="s">
        <v>155</v>
      </c>
      <c r="F902" s="30">
        <v>45778</v>
      </c>
      <c r="G902" s="2">
        <f>DAY(EOMONTH(TA[[#This Row],[Month Year]],0))</f>
        <v>31</v>
      </c>
      <c r="H902" s="21">
        <v>45806</v>
      </c>
      <c r="I902" s="32">
        <f>IFERROR(VLOOKUP(TA[[#This Row],[Date]],Raw_Data[[Date]:[Sunset Time (POA&lt;20 W/m2)]],3,0),"")</f>
        <v>0.2638888888888889</v>
      </c>
      <c r="J902" s="32">
        <f>IFERROR(VLOOKUP(TA[[#This Row],[Date]],Raw_Data[[Date]:[Sunset Time (POA&lt;20 W/m2)]],4,0),"")</f>
        <v>0.77430555555555558</v>
      </c>
      <c r="K902" s="27">
        <f>IFERROR((TA[[#This Row],[Sunset Time (POA&lt;20 W/m2)]]-TA[[#This Row],[Sunrise Time (POA&gt;20 W/m2)]])*24,"")</f>
        <v>12.250000000000002</v>
      </c>
      <c r="L902" s="2" t="s">
        <v>287</v>
      </c>
      <c r="M902" s="33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321</v>
      </c>
      <c r="Q902" s="2" t="s">
        <v>314</v>
      </c>
      <c r="R902">
        <v>30</v>
      </c>
      <c r="S902" s="2">
        <v>57</v>
      </c>
      <c r="T902" t="s">
        <v>288</v>
      </c>
      <c r="U902" t="s">
        <v>291</v>
      </c>
      <c r="V902" t="s">
        <v>292</v>
      </c>
      <c r="W902" s="32"/>
      <c r="X902" s="32"/>
      <c r="Y902" s="26"/>
      <c r="Z902" s="26"/>
      <c r="AA902" s="27">
        <f>IF(TA[[#This Row],[Work Start time on Fault]]="NA","",(TA[[#This Row],[Fault Acknowledgement Time ]]-TA[[#This Row],[Fault Time]])*24)</f>
        <v>0</v>
      </c>
      <c r="AB902" s="27">
        <f>(TA[[#This Row],[Work Start time on Fault]]-TA[[#This Row],[Fault Time]])*24</f>
        <v>0</v>
      </c>
      <c r="AC902" s="26">
        <f>(TA[[#This Row],[Work Completion time on fault]]-TA[[#This Row],[Fault Time]])*24</f>
        <v>0</v>
      </c>
      <c r="AD902" s="27">
        <f>IFERROR((TA[[#This Row],[Work Completion time on fault]]-TA[[#This Row],[Fault Time]])*24,"")</f>
        <v>0</v>
      </c>
      <c r="AE902" t="s">
        <v>319</v>
      </c>
      <c r="AF902" t="s">
        <v>247</v>
      </c>
      <c r="AG902" s="2"/>
      <c r="AH902" s="35">
        <f>1-COS(RADIANS(TA[[#This Row],[Avg. Target Angle during Fault Time (Radians)]]-TA[[#This Row],[Angle of affected equipment ]]))</f>
        <v>0.11705240714107301</v>
      </c>
      <c r="AI902" s="27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43">
        <f t="shared" si="79"/>
        <v>2026</v>
      </c>
      <c r="C903" s="116">
        <f t="shared" si="80"/>
        <v>2025</v>
      </c>
      <c r="D903" s="2" t="s">
        <v>155</v>
      </c>
      <c r="E903" s="2" t="s">
        <v>155</v>
      </c>
      <c r="F903" s="30">
        <v>45778</v>
      </c>
      <c r="G903" s="2">
        <f>DAY(EOMONTH(TA[[#This Row],[Month Year]],0))</f>
        <v>31</v>
      </c>
      <c r="H903" s="21">
        <v>45806</v>
      </c>
      <c r="I903" s="32">
        <f>IFERROR(VLOOKUP(TA[[#This Row],[Date]],Raw_Data[[Date]:[Sunset Time (POA&lt;20 W/m2)]],3,0),"")</f>
        <v>0.2638888888888889</v>
      </c>
      <c r="J903" s="32">
        <f>IFERROR(VLOOKUP(TA[[#This Row],[Date]],Raw_Data[[Date]:[Sunset Time (POA&lt;20 W/m2)]],4,0),"")</f>
        <v>0.77430555555555558</v>
      </c>
      <c r="K903" s="27">
        <f>IFERROR((TA[[#This Row],[Sunset Time (POA&lt;20 W/m2)]]-TA[[#This Row],[Sunrise Time (POA&gt;20 W/m2)]])*24,"")</f>
        <v>12.250000000000002</v>
      </c>
      <c r="L903" s="2" t="s">
        <v>287</v>
      </c>
      <c r="M903" s="33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321</v>
      </c>
      <c r="Q903" s="2" t="s">
        <v>314</v>
      </c>
      <c r="R903">
        <v>31</v>
      </c>
      <c r="S903" s="2">
        <v>61</v>
      </c>
      <c r="T903" t="s">
        <v>288</v>
      </c>
      <c r="U903" t="s">
        <v>291</v>
      </c>
      <c r="V903" t="s">
        <v>292</v>
      </c>
      <c r="W903" s="32"/>
      <c r="X903" s="32"/>
      <c r="Y903" s="26"/>
      <c r="Z903" s="26"/>
      <c r="AA903" s="27">
        <f>IF(TA[[#This Row],[Work Start time on Fault]]="NA","",(TA[[#This Row],[Fault Acknowledgement Time ]]-TA[[#This Row],[Fault Time]])*24)</f>
        <v>0</v>
      </c>
      <c r="AB903" s="27">
        <f>(TA[[#This Row],[Work Start time on Fault]]-TA[[#This Row],[Fault Time]])*24</f>
        <v>0</v>
      </c>
      <c r="AC903" s="26">
        <f>(TA[[#This Row],[Work Completion time on fault]]-TA[[#This Row],[Fault Time]])*24</f>
        <v>0</v>
      </c>
      <c r="AD903" s="27">
        <f>IFERROR((TA[[#This Row],[Work Completion time on fault]]-TA[[#This Row],[Fault Time]])*24,"")</f>
        <v>0</v>
      </c>
      <c r="AE903" t="s">
        <v>319</v>
      </c>
      <c r="AF903" t="s">
        <v>247</v>
      </c>
      <c r="AG903" s="2"/>
      <c r="AH903" s="35">
        <f>1-COS(RADIANS(TA[[#This Row],[Avg. Target Angle during Fault Time (Radians)]]-TA[[#This Row],[Angle of affected equipment ]]))</f>
        <v>0.11705240714107301</v>
      </c>
      <c r="AI903" s="27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43">
        <f t="shared" si="79"/>
        <v>2026</v>
      </c>
      <c r="C904" s="116">
        <f t="shared" si="80"/>
        <v>2025</v>
      </c>
      <c r="D904" s="2" t="s">
        <v>155</v>
      </c>
      <c r="E904" s="2" t="s">
        <v>155</v>
      </c>
      <c r="F904" s="30">
        <v>45778</v>
      </c>
      <c r="G904" s="2">
        <f>DAY(EOMONTH(TA[[#This Row],[Month Year]],0))</f>
        <v>31</v>
      </c>
      <c r="H904" s="21">
        <v>45806</v>
      </c>
      <c r="I904" s="32">
        <f>IFERROR(VLOOKUP(TA[[#This Row],[Date]],Raw_Data[[Date]:[Sunset Time (POA&lt;20 W/m2)]],3,0),"")</f>
        <v>0.2638888888888889</v>
      </c>
      <c r="J904" s="32">
        <f>IFERROR(VLOOKUP(TA[[#This Row],[Date]],Raw_Data[[Date]:[Sunset Time (POA&lt;20 W/m2)]],4,0),"")</f>
        <v>0.77430555555555558</v>
      </c>
      <c r="K904" s="27">
        <f>IFERROR((TA[[#This Row],[Sunset Time (POA&lt;20 W/m2)]]-TA[[#This Row],[Sunrise Time (POA&gt;20 W/m2)]])*24,"")</f>
        <v>12.250000000000002</v>
      </c>
      <c r="L904" s="2" t="s">
        <v>303</v>
      </c>
      <c r="M904" s="33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321</v>
      </c>
      <c r="Q904" s="2" t="s">
        <v>314</v>
      </c>
      <c r="R904">
        <v>26</v>
      </c>
      <c r="S904" s="2">
        <v>37</v>
      </c>
      <c r="T904" t="s">
        <v>288</v>
      </c>
      <c r="U904" t="s">
        <v>291</v>
      </c>
      <c r="V904" t="s">
        <v>292</v>
      </c>
      <c r="W904" s="32"/>
      <c r="X904" s="32"/>
      <c r="Y904" s="26"/>
      <c r="Z904" s="26"/>
      <c r="AA904" s="27">
        <f>IF(TA[[#This Row],[Work Start time on Fault]]="NA","",(TA[[#This Row],[Fault Acknowledgement Time ]]-TA[[#This Row],[Fault Time]])*24)</f>
        <v>0</v>
      </c>
      <c r="AB904" s="27">
        <f>(TA[[#This Row],[Work Start time on Fault]]-TA[[#This Row],[Fault Time]])*24</f>
        <v>0</v>
      </c>
      <c r="AC904" s="26">
        <f>(TA[[#This Row],[Work Completion time on fault]]-TA[[#This Row],[Fault Time]])*24</f>
        <v>0</v>
      </c>
      <c r="AD904" s="27">
        <f>IFERROR((TA[[#This Row],[Work Completion time on fault]]-TA[[#This Row],[Fault Time]])*24,"")</f>
        <v>0</v>
      </c>
      <c r="AE904" t="s">
        <v>319</v>
      </c>
      <c r="AF904" t="s">
        <v>247</v>
      </c>
      <c r="AG904" s="2"/>
      <c r="AH904" s="35">
        <f>1-COS(RADIANS(TA[[#This Row],[Avg. Target Angle during Fault Time (Radians)]]-TA[[#This Row],[Angle of affected equipment ]]))</f>
        <v>0.11705240714107301</v>
      </c>
      <c r="AI904" s="27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43">
        <f t="shared" si="79"/>
        <v>2026</v>
      </c>
      <c r="C905" s="116">
        <f t="shared" si="80"/>
        <v>2025</v>
      </c>
      <c r="D905" s="2" t="s">
        <v>155</v>
      </c>
      <c r="E905" s="2" t="s">
        <v>155</v>
      </c>
      <c r="F905" s="30">
        <v>45778</v>
      </c>
      <c r="G905" s="2">
        <f>DAY(EOMONTH(TA[[#This Row],[Month Year]],0))</f>
        <v>31</v>
      </c>
      <c r="H905" s="21">
        <v>45806</v>
      </c>
      <c r="I905" s="32">
        <f>IFERROR(VLOOKUP(TA[[#This Row],[Date]],Raw_Data[[Date]:[Sunset Time (POA&lt;20 W/m2)]],3,0),"")</f>
        <v>0.2638888888888889</v>
      </c>
      <c r="J905" s="32">
        <f>IFERROR(VLOOKUP(TA[[#This Row],[Date]],Raw_Data[[Date]:[Sunset Time (POA&lt;20 W/m2)]],4,0),"")</f>
        <v>0.77430555555555558</v>
      </c>
      <c r="K905" s="27">
        <f>IFERROR((TA[[#This Row],[Sunset Time (POA&lt;20 W/m2)]]-TA[[#This Row],[Sunrise Time (POA&gt;20 W/m2)]])*24,"")</f>
        <v>12.250000000000002</v>
      </c>
      <c r="L905" s="2" t="s">
        <v>303</v>
      </c>
      <c r="M905" s="33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321</v>
      </c>
      <c r="Q905" s="2" t="s">
        <v>314</v>
      </c>
      <c r="R905">
        <v>27</v>
      </c>
      <c r="S905" s="2">
        <v>42</v>
      </c>
      <c r="T905" t="s">
        <v>288</v>
      </c>
      <c r="U905" t="s">
        <v>291</v>
      </c>
      <c r="V905" t="s">
        <v>292</v>
      </c>
      <c r="W905" s="32">
        <f>IFERROR(VLOOKUP(TA[[#This Row],[Date]],Raw_Data[[Date]:[Sunset Time (POA&lt;20 W/m2)]],3,0),"")</f>
        <v>0.2638888888888889</v>
      </c>
      <c r="X905" s="32">
        <f>IFERROR(VLOOKUP(TA[[#This Row],[Date]],Raw_Data[[Date]:[Sunset Time (POA&lt;20 W/m2)]],3,0),"")</f>
        <v>0.2638888888888889</v>
      </c>
      <c r="Y905" s="26"/>
      <c r="Z905" s="26">
        <v>0.76041666666666663</v>
      </c>
      <c r="AA905" s="27">
        <f>IF(TA[[#This Row],[Work Start time on Fault]]="NA","",(TA[[#This Row],[Fault Acknowledgement Time ]]-TA[[#This Row],[Fault Time]])*24)</f>
        <v>0</v>
      </c>
      <c r="AB905" s="27">
        <f>(TA[[#This Row],[Work Start time on Fault]]-TA[[#This Row],[Fault Time]])*24</f>
        <v>-6.3333333333333339</v>
      </c>
      <c r="AC905" s="26">
        <f>(TA[[#This Row],[Work Completion time on fault]]-TA[[#This Row],[Fault Time]])*24</f>
        <v>11.916666666666666</v>
      </c>
      <c r="AD905" s="27">
        <f>IFERROR((TA[[#This Row],[Work Completion time on fault]]-TA[[#This Row],[Fault Time]])*24,"")</f>
        <v>11.916666666666666</v>
      </c>
      <c r="AE905" t="s">
        <v>300</v>
      </c>
      <c r="AF905" t="s">
        <v>247</v>
      </c>
      <c r="AG905" s="2"/>
      <c r="AH905" s="35">
        <f>1-COS(RADIANS(TA[[#This Row],[Avg. Target Angle during Fault Time (Radians)]]-TA[[#This Row],[Angle of affected equipment ]]))</f>
        <v>0.11705240714107301</v>
      </c>
      <c r="AI905" s="27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43">
        <f t="shared" ref="B906:B918" si="81">YEAR(H906)+IF(MONTH(H906)&gt;=4,1,0)</f>
        <v>2026</v>
      </c>
      <c r="C906" s="116">
        <f t="shared" ref="C906:C918" si="82">YEAR(H906)</f>
        <v>2025</v>
      </c>
      <c r="D906" s="2" t="s">
        <v>155</v>
      </c>
      <c r="E906" s="2" t="s">
        <v>155</v>
      </c>
      <c r="F906" s="30">
        <v>45778</v>
      </c>
      <c r="G906" s="2">
        <f>DAY(EOMONTH(TA[[#This Row],[Month Year]],0))</f>
        <v>31</v>
      </c>
      <c r="H906" s="21">
        <v>45807</v>
      </c>
      <c r="I906" s="32">
        <f>IFERROR(VLOOKUP(TA[[#This Row],[Date]],Raw_Data[[Date]:[Sunset Time (POA&lt;20 W/m2)]],3,0),"")</f>
        <v>0.25833333333333336</v>
      </c>
      <c r="J906" s="32">
        <f>IFERROR(VLOOKUP(TA[[#This Row],[Date]],Raw_Data[[Date]:[Sunset Time (POA&lt;20 W/m2)]],4,0),"")</f>
        <v>0.77638888888888891</v>
      </c>
      <c r="K906" s="27">
        <f>IFERROR((TA[[#This Row],[Sunset Time (POA&lt;20 W/m2)]]-TA[[#This Row],[Sunrise Time (POA&gt;20 W/m2)]])*24,"")</f>
        <v>12.433333333333332</v>
      </c>
      <c r="L906" s="2" t="s">
        <v>285</v>
      </c>
      <c r="M906" s="33">
        <f>IFERROR(VLOOKUP(TA[[#This Row],[Affected Equipment]],'Basic Data'!$I$2:$K$40,3,0),"")</f>
        <v>1.7241379310344799E-3</v>
      </c>
      <c r="N906">
        <v>-28</v>
      </c>
      <c r="O906" t="s">
        <v>135</v>
      </c>
      <c r="P906" s="114" t="s">
        <v>309</v>
      </c>
      <c r="Q906" s="113" t="s">
        <v>309</v>
      </c>
      <c r="R906">
        <v>131</v>
      </c>
      <c r="S906" s="2">
        <v>38</v>
      </c>
      <c r="T906" t="s">
        <v>286</v>
      </c>
      <c r="U906" t="s">
        <v>291</v>
      </c>
      <c r="V906" t="s">
        <v>289</v>
      </c>
      <c r="W906" s="32"/>
      <c r="X906" s="32"/>
      <c r="Y906" s="26"/>
      <c r="Z906" s="26"/>
      <c r="AA906" s="27">
        <f>IF(TA[[#This Row],[Work Start time on Fault]]="NA","",(TA[[#This Row],[Fault Acknowledgement Time ]]-TA[[#This Row],[Fault Time]])*24)</f>
        <v>0</v>
      </c>
      <c r="AB906" s="27">
        <f>(TA[[#This Row],[Work Start time on Fault]]-TA[[#This Row],[Fault Time]])*24</f>
        <v>0</v>
      </c>
      <c r="AC906" s="26">
        <f>(TA[[#This Row],[Work Completion time on fault]]-TA[[#This Row],[Fault Time]])*24</f>
        <v>0</v>
      </c>
      <c r="AD906" s="27">
        <f>IFERROR((TA[[#This Row],[Work Completion time on fault]]-TA[[#This Row],[Fault Time]])*24,"")</f>
        <v>0</v>
      </c>
      <c r="AE906" t="s">
        <v>319</v>
      </c>
      <c r="AF906" t="s">
        <v>247</v>
      </c>
      <c r="AG906" s="2"/>
      <c r="AH906" s="35">
        <f>1-COS(RADIANS(TA[[#This Row],[Avg. Target Angle during Fault Time (Radians)]]-TA[[#This Row],[Angle of affected equipment ]]))</f>
        <v>0.11705240714107301</v>
      </c>
      <c r="AI906" s="27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43">
        <f t="shared" si="81"/>
        <v>2026</v>
      </c>
      <c r="C907" s="116">
        <f t="shared" si="82"/>
        <v>2025</v>
      </c>
      <c r="D907" s="2" t="s">
        <v>155</v>
      </c>
      <c r="E907" s="2" t="s">
        <v>155</v>
      </c>
      <c r="F907" s="30">
        <v>45778</v>
      </c>
      <c r="G907" s="2">
        <f>DAY(EOMONTH(TA[[#This Row],[Month Year]],0))</f>
        <v>31</v>
      </c>
      <c r="H907" s="21">
        <v>45807</v>
      </c>
      <c r="I907" s="32">
        <f>IFERROR(VLOOKUP(TA[[#This Row],[Date]],Raw_Data[[Date]:[Sunset Time (POA&lt;20 W/m2)]],3,0),"")</f>
        <v>0.25833333333333336</v>
      </c>
      <c r="J907" s="32">
        <f>IFERROR(VLOOKUP(TA[[#This Row],[Date]],Raw_Data[[Date]:[Sunset Time (POA&lt;20 W/m2)]],4,0),"")</f>
        <v>0.77638888888888891</v>
      </c>
      <c r="K907" s="27">
        <f>IFERROR((TA[[#This Row],[Sunset Time (POA&lt;20 W/m2)]]-TA[[#This Row],[Sunrise Time (POA&gt;20 W/m2)]])*24,"")</f>
        <v>12.433333333333332</v>
      </c>
      <c r="L907" s="2" t="s">
        <v>285</v>
      </c>
      <c r="M907" s="33">
        <f>IFERROR(VLOOKUP(TA[[#This Row],[Affected Equipment]],'Basic Data'!$I$2:$K$40,3,0),"")</f>
        <v>1.7241379310344799E-3</v>
      </c>
      <c r="N907">
        <v>-28</v>
      </c>
      <c r="O907" t="s">
        <v>135</v>
      </c>
      <c r="P907" s="114" t="s">
        <v>309</v>
      </c>
      <c r="Q907" s="113" t="s">
        <v>309</v>
      </c>
      <c r="R907">
        <v>131</v>
      </c>
      <c r="S907" s="2">
        <v>39</v>
      </c>
      <c r="T907" t="s">
        <v>286</v>
      </c>
      <c r="U907" t="s">
        <v>291</v>
      </c>
      <c r="V907" t="s">
        <v>289</v>
      </c>
      <c r="W907" s="32"/>
      <c r="X907" s="32"/>
      <c r="Y907" s="26"/>
      <c r="Z907" s="26"/>
      <c r="AA907" s="27">
        <f>IF(TA[[#This Row],[Work Start time on Fault]]="NA","",(TA[[#This Row],[Fault Acknowledgement Time ]]-TA[[#This Row],[Fault Time]])*24)</f>
        <v>0</v>
      </c>
      <c r="AB907" s="27">
        <f>(TA[[#This Row],[Work Start time on Fault]]-TA[[#This Row],[Fault Time]])*24</f>
        <v>0</v>
      </c>
      <c r="AC907" s="26">
        <f>(TA[[#This Row],[Work Completion time on fault]]-TA[[#This Row],[Fault Time]])*24</f>
        <v>0</v>
      </c>
      <c r="AD907" s="27">
        <f>IFERROR((TA[[#This Row],[Work Completion time on fault]]-TA[[#This Row],[Fault Time]])*24,"")</f>
        <v>0</v>
      </c>
      <c r="AE907" t="s">
        <v>319</v>
      </c>
      <c r="AF907" t="s">
        <v>247</v>
      </c>
      <c r="AG907" s="2"/>
      <c r="AH907" s="35">
        <f>1-COS(RADIANS(TA[[#This Row],[Avg. Target Angle during Fault Time (Radians)]]-TA[[#This Row],[Angle of affected equipment ]]))</f>
        <v>0.11705240714107301</v>
      </c>
      <c r="AI907" s="27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43">
        <f t="shared" si="81"/>
        <v>2026</v>
      </c>
      <c r="C908" s="116">
        <f t="shared" si="82"/>
        <v>2025</v>
      </c>
      <c r="D908" s="2" t="s">
        <v>155</v>
      </c>
      <c r="E908" s="2" t="s">
        <v>155</v>
      </c>
      <c r="F908" s="30">
        <v>45778</v>
      </c>
      <c r="G908" s="2">
        <f>DAY(EOMONTH(TA[[#This Row],[Month Year]],0))</f>
        <v>31</v>
      </c>
      <c r="H908" s="21">
        <v>45807</v>
      </c>
      <c r="I908" s="32">
        <f>IFERROR(VLOOKUP(TA[[#This Row],[Date]],Raw_Data[[Date]:[Sunset Time (POA&lt;20 W/m2)]],3,0),"")</f>
        <v>0.25833333333333336</v>
      </c>
      <c r="J908" s="32">
        <f>IFERROR(VLOOKUP(TA[[#This Row],[Date]],Raw_Data[[Date]:[Sunset Time (POA&lt;20 W/m2)]],4,0),"")</f>
        <v>0.77638888888888891</v>
      </c>
      <c r="K908" s="27">
        <f>IFERROR((TA[[#This Row],[Sunset Time (POA&lt;20 W/m2)]]-TA[[#This Row],[Sunrise Time (POA&gt;20 W/m2)]])*24,"")</f>
        <v>12.433333333333332</v>
      </c>
      <c r="L908" s="2" t="s">
        <v>287</v>
      </c>
      <c r="M908" s="33">
        <f>IFERROR(VLOOKUP(TA[[#This Row],[Affected Equipment]],'Basic Data'!$I$2:$K$40,3,0),"")</f>
        <v>8.6206896551724102E-3</v>
      </c>
      <c r="N908">
        <v>-28</v>
      </c>
      <c r="O908" t="s">
        <v>135</v>
      </c>
      <c r="P908" s="114" t="s">
        <v>309</v>
      </c>
      <c r="Q908" s="2" t="s">
        <v>312</v>
      </c>
      <c r="R908">
        <v>133</v>
      </c>
      <c r="S908" s="2">
        <v>26</v>
      </c>
      <c r="T908" t="s">
        <v>288</v>
      </c>
      <c r="U908" t="s">
        <v>291</v>
      </c>
      <c r="V908" t="s">
        <v>305</v>
      </c>
      <c r="W908" s="32">
        <f>IFERROR(VLOOKUP(TA[[#This Row],[Date]],Raw_Data[[Date]:[Sunset Time (POA&lt;20 W/m2)]],3,0),"")</f>
        <v>0.25833333333333336</v>
      </c>
      <c r="X908" s="32">
        <f>IFERROR(VLOOKUP(TA[[#This Row],[Date]],Raw_Data[[Date]:[Sunset Time (POA&lt;20 W/m2)]],3,0),"")</f>
        <v>0.25833333333333336</v>
      </c>
      <c r="Y908" s="26"/>
      <c r="Z908" s="26">
        <v>0.76041666666666663</v>
      </c>
      <c r="AA908" s="27">
        <f>IF(TA[[#This Row],[Work Start time on Fault]]="NA","",(TA[[#This Row],[Fault Acknowledgement Time ]]-TA[[#This Row],[Fault Time]])*24)</f>
        <v>0</v>
      </c>
      <c r="AB908" s="27">
        <f>(TA[[#This Row],[Work Start time on Fault]]-TA[[#This Row],[Fault Time]])*24</f>
        <v>-6.2000000000000011</v>
      </c>
      <c r="AC908" s="26">
        <f>(TA[[#This Row],[Work Completion time on fault]]-TA[[#This Row],[Fault Time]])*24</f>
        <v>12.049999999999997</v>
      </c>
      <c r="AD908" s="27">
        <f>IFERROR((TA[[#This Row],[Work Completion time on fault]]-TA[[#This Row],[Fault Time]])*24,"")</f>
        <v>12.049999999999997</v>
      </c>
      <c r="AE908" t="s">
        <v>319</v>
      </c>
      <c r="AF908" t="s">
        <v>247</v>
      </c>
      <c r="AG908" s="2"/>
      <c r="AH908" s="35">
        <f>1-COS(RADIANS(TA[[#This Row],[Avg. Target Angle during Fault Time (Radians)]]-TA[[#This Row],[Angle of affected equipment ]]))</f>
        <v>0.11705240714107301</v>
      </c>
      <c r="AI908" s="27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43">
        <f t="shared" si="81"/>
        <v>2026</v>
      </c>
      <c r="C909" s="116">
        <f t="shared" si="82"/>
        <v>2025</v>
      </c>
      <c r="D909" s="2" t="s">
        <v>155</v>
      </c>
      <c r="E909" s="2" t="s">
        <v>155</v>
      </c>
      <c r="F909" s="30">
        <v>45778</v>
      </c>
      <c r="G909" s="2">
        <f>DAY(EOMONTH(TA[[#This Row],[Month Year]],0))</f>
        <v>31</v>
      </c>
      <c r="H909" s="21">
        <v>45807</v>
      </c>
      <c r="I909" s="32">
        <f>IFERROR(VLOOKUP(TA[[#This Row],[Date]],Raw_Data[[Date]:[Sunset Time (POA&lt;20 W/m2)]],3,0),"")</f>
        <v>0.25833333333333336</v>
      </c>
      <c r="J909" s="32">
        <f>IFERROR(VLOOKUP(TA[[#This Row],[Date]],Raw_Data[[Date]:[Sunset Time (POA&lt;20 W/m2)]],4,0),"")</f>
        <v>0.77638888888888891</v>
      </c>
      <c r="K909" s="27">
        <f>IFERROR((TA[[#This Row],[Sunset Time (POA&lt;20 W/m2)]]-TA[[#This Row],[Sunrise Time (POA&gt;20 W/m2)]])*24,"")</f>
        <v>12.433333333333332</v>
      </c>
      <c r="L909" s="2" t="s">
        <v>285</v>
      </c>
      <c r="M909" s="33">
        <f>IFERROR(VLOOKUP(TA[[#This Row],[Affected Equipment]],'Basic Data'!$I$2:$K$40,3,0),"")</f>
        <v>1.7241379310344799E-3</v>
      </c>
      <c r="N909">
        <v>-28</v>
      </c>
      <c r="O909" t="s">
        <v>133</v>
      </c>
      <c r="P909" s="114" t="s">
        <v>307</v>
      </c>
      <c r="Q909" s="113" t="s">
        <v>308</v>
      </c>
      <c r="R909">
        <v>7</v>
      </c>
      <c r="S909" s="2">
        <v>32</v>
      </c>
      <c r="T909" t="s">
        <v>286</v>
      </c>
      <c r="U909" t="s">
        <v>291</v>
      </c>
      <c r="V909" t="s">
        <v>289</v>
      </c>
      <c r="W909" s="32"/>
      <c r="X909" s="32"/>
      <c r="Y909" s="26"/>
      <c r="Z909" s="26"/>
      <c r="AA909" s="27">
        <f>IF(TA[[#This Row],[Work Start time on Fault]]="NA","",(TA[[#This Row],[Fault Acknowledgement Time ]]-TA[[#This Row],[Fault Time]])*24)</f>
        <v>0</v>
      </c>
      <c r="AB909" s="27">
        <f>(TA[[#This Row],[Work Start time on Fault]]-TA[[#This Row],[Fault Time]])*24</f>
        <v>0</v>
      </c>
      <c r="AC909" s="26">
        <f>(TA[[#This Row],[Work Completion time on fault]]-TA[[#This Row],[Fault Time]])*24</f>
        <v>0</v>
      </c>
      <c r="AD909" s="27">
        <f>IFERROR((TA[[#This Row],[Work Completion time on fault]]-TA[[#This Row],[Fault Time]])*24,"")</f>
        <v>0</v>
      </c>
      <c r="AE909" t="s">
        <v>319</v>
      </c>
      <c r="AF909" t="s">
        <v>247</v>
      </c>
      <c r="AG909" s="2"/>
      <c r="AH909" s="35">
        <f>1-COS(RADIANS(TA[[#This Row],[Avg. Target Angle during Fault Time (Radians)]]-TA[[#This Row],[Angle of affected equipment ]]))</f>
        <v>0.11705240714107301</v>
      </c>
      <c r="AI909" s="27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43">
        <f t="shared" si="81"/>
        <v>2026</v>
      </c>
      <c r="C910" s="116">
        <f t="shared" si="82"/>
        <v>2025</v>
      </c>
      <c r="D910" s="2" t="s">
        <v>155</v>
      </c>
      <c r="E910" s="2" t="s">
        <v>155</v>
      </c>
      <c r="F910" s="30">
        <v>45778</v>
      </c>
      <c r="G910" s="2">
        <f>DAY(EOMONTH(TA[[#This Row],[Month Year]],0))</f>
        <v>31</v>
      </c>
      <c r="H910" s="21">
        <v>45807</v>
      </c>
      <c r="I910" s="32">
        <f>IFERROR(VLOOKUP(TA[[#This Row],[Date]],Raw_Data[[Date]:[Sunset Time (POA&lt;20 W/m2)]],3,0),"")</f>
        <v>0.25833333333333336</v>
      </c>
      <c r="J910" s="32">
        <f>IFERROR(VLOOKUP(TA[[#This Row],[Date]],Raw_Data[[Date]:[Sunset Time (POA&lt;20 W/m2)]],4,0),"")</f>
        <v>0.77638888888888891</v>
      </c>
      <c r="K910" s="27">
        <f>IFERROR((TA[[#This Row],[Sunset Time (POA&lt;20 W/m2)]]-TA[[#This Row],[Sunrise Time (POA&gt;20 W/m2)]])*24,"")</f>
        <v>12.433333333333332</v>
      </c>
      <c r="L910" s="2" t="s">
        <v>285</v>
      </c>
      <c r="M910" s="33">
        <f>IFERROR(VLOOKUP(TA[[#This Row],[Affected Equipment]],'Basic Data'!$I$2:$K$40,3,0),"")</f>
        <v>1.7241379310344799E-3</v>
      </c>
      <c r="N910">
        <v>-28</v>
      </c>
      <c r="O910" t="s">
        <v>137</v>
      </c>
      <c r="P910" s="114" t="s">
        <v>306</v>
      </c>
      <c r="Q910" s="113" t="s">
        <v>310</v>
      </c>
      <c r="R910">
        <v>166</v>
      </c>
      <c r="S910" s="2">
        <v>91</v>
      </c>
      <c r="T910" t="s">
        <v>286</v>
      </c>
      <c r="U910" t="s">
        <v>291</v>
      </c>
      <c r="V910" t="s">
        <v>289</v>
      </c>
      <c r="W910" s="32"/>
      <c r="X910" s="32"/>
      <c r="Y910" s="26"/>
      <c r="Z910" s="26"/>
      <c r="AA910" s="27">
        <f>IF(TA[[#This Row],[Work Start time on Fault]]="NA","",(TA[[#This Row],[Fault Acknowledgement Time ]]-TA[[#This Row],[Fault Time]])*24)</f>
        <v>0</v>
      </c>
      <c r="AB910" s="27">
        <f>(TA[[#This Row],[Work Start time on Fault]]-TA[[#This Row],[Fault Time]])*24</f>
        <v>0</v>
      </c>
      <c r="AC910" s="26">
        <f>(TA[[#This Row],[Work Completion time on fault]]-TA[[#This Row],[Fault Time]])*24</f>
        <v>0</v>
      </c>
      <c r="AD910" s="27">
        <f>IFERROR((TA[[#This Row],[Work Completion time on fault]]-TA[[#This Row],[Fault Time]])*24,"")</f>
        <v>0</v>
      </c>
      <c r="AE910" t="s">
        <v>319</v>
      </c>
      <c r="AF910" t="s">
        <v>247</v>
      </c>
      <c r="AG910" s="2"/>
      <c r="AH910" s="35">
        <f>1-COS(RADIANS(TA[[#This Row],[Avg. Target Angle during Fault Time (Radians)]]-TA[[#This Row],[Angle of affected equipment ]]))</f>
        <v>0.11705240714107301</v>
      </c>
      <c r="AI910" s="27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43">
        <f t="shared" si="81"/>
        <v>2026</v>
      </c>
      <c r="C911" s="116">
        <f t="shared" si="82"/>
        <v>2025</v>
      </c>
      <c r="D911" s="2" t="s">
        <v>155</v>
      </c>
      <c r="E911" s="2" t="s">
        <v>155</v>
      </c>
      <c r="F911" s="30">
        <v>45778</v>
      </c>
      <c r="G911" s="2">
        <f>DAY(EOMONTH(TA[[#This Row],[Month Year]],0))</f>
        <v>31</v>
      </c>
      <c r="H911" s="21">
        <v>45807</v>
      </c>
      <c r="I911" s="32">
        <f>IFERROR(VLOOKUP(TA[[#This Row],[Date]],Raw_Data[[Date]:[Sunset Time (POA&lt;20 W/m2)]],3,0),"")</f>
        <v>0.25833333333333336</v>
      </c>
      <c r="J911" s="32">
        <f>IFERROR(VLOOKUP(TA[[#This Row],[Date]],Raw_Data[[Date]:[Sunset Time (POA&lt;20 W/m2)]],4,0),"")</f>
        <v>0.77638888888888891</v>
      </c>
      <c r="K911" s="27">
        <f>IFERROR((TA[[#This Row],[Sunset Time (POA&lt;20 W/m2)]]-TA[[#This Row],[Sunrise Time (POA&gt;20 W/m2)]])*24,"")</f>
        <v>12.433333333333332</v>
      </c>
      <c r="L911" s="2" t="s">
        <v>285</v>
      </c>
      <c r="M911" s="33">
        <f>IFERROR(VLOOKUP(TA[[#This Row],[Affected Equipment]],'Basic Data'!$I$2:$K$40,3,0),"")</f>
        <v>1.7241379310344799E-3</v>
      </c>
      <c r="N911">
        <v>-28</v>
      </c>
      <c r="O911" t="s">
        <v>133</v>
      </c>
      <c r="P911" s="114" t="s">
        <v>307</v>
      </c>
      <c r="Q911" s="113" t="s">
        <v>307</v>
      </c>
      <c r="R911">
        <v>117</v>
      </c>
      <c r="S911" s="2">
        <v>20</v>
      </c>
      <c r="T911" t="s">
        <v>286</v>
      </c>
      <c r="U911" t="s">
        <v>291</v>
      </c>
      <c r="V911" t="s">
        <v>289</v>
      </c>
      <c r="W911" s="32"/>
      <c r="X911" s="32"/>
      <c r="Y911" s="26"/>
      <c r="Z911" s="26"/>
      <c r="AA911" s="27">
        <f>IF(TA[[#This Row],[Work Start time on Fault]]="NA","",(TA[[#This Row],[Fault Acknowledgement Time ]]-TA[[#This Row],[Fault Time]])*24)</f>
        <v>0</v>
      </c>
      <c r="AB911" s="27">
        <f>(TA[[#This Row],[Work Start time on Fault]]-TA[[#This Row],[Fault Time]])*24</f>
        <v>0</v>
      </c>
      <c r="AC911" s="26">
        <f>(TA[[#This Row],[Work Completion time on fault]]-TA[[#This Row],[Fault Time]])*24</f>
        <v>0</v>
      </c>
      <c r="AD911" s="27">
        <f>IFERROR((TA[[#This Row],[Work Completion time on fault]]-TA[[#This Row],[Fault Time]])*24,"")</f>
        <v>0</v>
      </c>
      <c r="AE911" t="s">
        <v>319</v>
      </c>
      <c r="AF911" t="s">
        <v>247</v>
      </c>
      <c r="AG911" s="2"/>
      <c r="AH911" s="35">
        <f>1-COS(RADIANS(TA[[#This Row],[Avg. Target Angle during Fault Time (Radians)]]-TA[[#This Row],[Angle of affected equipment ]]))</f>
        <v>0.11705240714107301</v>
      </c>
      <c r="AI911" s="27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43">
        <f t="shared" si="81"/>
        <v>2026</v>
      </c>
      <c r="C912" s="116">
        <f t="shared" si="82"/>
        <v>2025</v>
      </c>
      <c r="D912" s="2" t="s">
        <v>155</v>
      </c>
      <c r="E912" s="2" t="s">
        <v>155</v>
      </c>
      <c r="F912" s="30">
        <v>45778</v>
      </c>
      <c r="G912" s="2">
        <f>DAY(EOMONTH(TA[[#This Row],[Month Year]],0))</f>
        <v>31</v>
      </c>
      <c r="H912" s="21">
        <v>45807</v>
      </c>
      <c r="I912" s="32">
        <f>IFERROR(VLOOKUP(TA[[#This Row],[Date]],Raw_Data[[Date]:[Sunset Time (POA&lt;20 W/m2)]],3,0),"")</f>
        <v>0.25833333333333336</v>
      </c>
      <c r="J912" s="32">
        <f>IFERROR(VLOOKUP(TA[[#This Row],[Date]],Raw_Data[[Date]:[Sunset Time (POA&lt;20 W/m2)]],4,0),"")</f>
        <v>0.77638888888888891</v>
      </c>
      <c r="K912" s="27">
        <f>IFERROR((TA[[#This Row],[Sunset Time (POA&lt;20 W/m2)]]-TA[[#This Row],[Sunrise Time (POA&gt;20 W/m2)]])*24,"")</f>
        <v>12.433333333333332</v>
      </c>
      <c r="L912" s="2" t="s">
        <v>285</v>
      </c>
      <c r="M912" s="33">
        <f>IFERROR(VLOOKUP(TA[[#This Row],[Affected Equipment]],'Basic Data'!$I$2:$K$40,3,0),"")</f>
        <v>1.7241379310344799E-3</v>
      </c>
      <c r="N912">
        <v>-28</v>
      </c>
      <c r="O912" t="s">
        <v>133</v>
      </c>
      <c r="P912" s="114" t="s">
        <v>307</v>
      </c>
      <c r="Q912" s="113" t="s">
        <v>307</v>
      </c>
      <c r="R912">
        <v>118</v>
      </c>
      <c r="S912" s="2">
        <v>22</v>
      </c>
      <c r="T912" t="s">
        <v>286</v>
      </c>
      <c r="U912" t="s">
        <v>291</v>
      </c>
      <c r="V912" t="s">
        <v>289</v>
      </c>
      <c r="W912" s="32"/>
      <c r="X912" s="32"/>
      <c r="Y912" s="26"/>
      <c r="Z912" s="26"/>
      <c r="AA912" s="27">
        <f>IF(TA[[#This Row],[Work Start time on Fault]]="NA","",(TA[[#This Row],[Fault Acknowledgement Time ]]-TA[[#This Row],[Fault Time]])*24)</f>
        <v>0</v>
      </c>
      <c r="AB912" s="27">
        <f>(TA[[#This Row],[Work Start time on Fault]]-TA[[#This Row],[Fault Time]])*24</f>
        <v>0</v>
      </c>
      <c r="AC912" s="26">
        <f>(TA[[#This Row],[Work Completion time on fault]]-TA[[#This Row],[Fault Time]])*24</f>
        <v>0</v>
      </c>
      <c r="AD912" s="27">
        <f>IFERROR((TA[[#This Row],[Work Completion time on fault]]-TA[[#This Row],[Fault Time]])*24,"")</f>
        <v>0</v>
      </c>
      <c r="AE912" t="s">
        <v>319</v>
      </c>
      <c r="AF912" t="s">
        <v>247</v>
      </c>
      <c r="AG912" s="2"/>
      <c r="AH912" s="35">
        <f>1-COS(RADIANS(TA[[#This Row],[Avg. Target Angle during Fault Time (Radians)]]-TA[[#This Row],[Angle of affected equipment ]]))</f>
        <v>0.11705240714107301</v>
      </c>
      <c r="AI912" s="27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43">
        <f t="shared" si="81"/>
        <v>2026</v>
      </c>
      <c r="C913" s="116">
        <f t="shared" si="82"/>
        <v>2025</v>
      </c>
      <c r="D913" s="2" t="s">
        <v>155</v>
      </c>
      <c r="E913" s="2" t="s">
        <v>155</v>
      </c>
      <c r="F913" s="30">
        <v>45778</v>
      </c>
      <c r="G913" s="2">
        <f>DAY(EOMONTH(TA[[#This Row],[Month Year]],0))</f>
        <v>31</v>
      </c>
      <c r="H913" s="21">
        <v>45807</v>
      </c>
      <c r="I913" s="32">
        <f>IFERROR(VLOOKUP(TA[[#This Row],[Date]],Raw_Data[[Date]:[Sunset Time (POA&lt;20 W/m2)]],3,0),"")</f>
        <v>0.25833333333333336</v>
      </c>
      <c r="J913" s="32">
        <f>IFERROR(VLOOKUP(TA[[#This Row],[Date]],Raw_Data[[Date]:[Sunset Time (POA&lt;20 W/m2)]],4,0),"")</f>
        <v>0.77638888888888891</v>
      </c>
      <c r="K913" s="27">
        <f>IFERROR((TA[[#This Row],[Sunset Time (POA&lt;20 W/m2)]]-TA[[#This Row],[Sunrise Time (POA&gt;20 W/m2)]])*24,"")</f>
        <v>12.433333333333332</v>
      </c>
      <c r="L913" s="2" t="s">
        <v>287</v>
      </c>
      <c r="M913" s="33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314</v>
      </c>
      <c r="Q913" s="2" t="s">
        <v>320</v>
      </c>
      <c r="R913">
        <v>45</v>
      </c>
      <c r="S913" s="2">
        <v>8</v>
      </c>
      <c r="T913" t="s">
        <v>288</v>
      </c>
      <c r="U913" t="s">
        <v>291</v>
      </c>
      <c r="V913" t="s">
        <v>292</v>
      </c>
      <c r="W913" s="32"/>
      <c r="X913" s="32"/>
      <c r="Y913" s="26"/>
      <c r="Z913" s="26"/>
      <c r="AA913" s="27">
        <f>IF(TA[[#This Row],[Work Start time on Fault]]="NA","",(TA[[#This Row],[Fault Acknowledgement Time ]]-TA[[#This Row],[Fault Time]])*24)</f>
        <v>0</v>
      </c>
      <c r="AB913" s="27">
        <f>(TA[[#This Row],[Work Start time on Fault]]-TA[[#This Row],[Fault Time]])*24</f>
        <v>0</v>
      </c>
      <c r="AC913" s="26">
        <f>(TA[[#This Row],[Work Completion time on fault]]-TA[[#This Row],[Fault Time]])*24</f>
        <v>0</v>
      </c>
      <c r="AD913" s="27">
        <f>IFERROR((TA[[#This Row],[Work Completion time on fault]]-TA[[#This Row],[Fault Time]])*24,"")</f>
        <v>0</v>
      </c>
      <c r="AE913" t="s">
        <v>319</v>
      </c>
      <c r="AF913" t="s">
        <v>247</v>
      </c>
      <c r="AG913" s="2"/>
      <c r="AH913" s="35">
        <f>1-COS(RADIANS(TA[[#This Row],[Avg. Target Angle during Fault Time (Radians)]]-TA[[#This Row],[Angle of affected equipment ]]))</f>
        <v>0.11705240714107301</v>
      </c>
      <c r="AI913" s="27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43">
        <f t="shared" si="81"/>
        <v>2026</v>
      </c>
      <c r="C914" s="116">
        <f t="shared" si="82"/>
        <v>2025</v>
      </c>
      <c r="D914" s="2" t="s">
        <v>155</v>
      </c>
      <c r="E914" s="2" t="s">
        <v>155</v>
      </c>
      <c r="F914" s="30">
        <v>45778</v>
      </c>
      <c r="G914" s="2">
        <f>DAY(EOMONTH(TA[[#This Row],[Month Year]],0))</f>
        <v>31</v>
      </c>
      <c r="H914" s="21">
        <v>45807</v>
      </c>
      <c r="I914" s="32">
        <f>IFERROR(VLOOKUP(TA[[#This Row],[Date]],Raw_Data[[Date]:[Sunset Time (POA&lt;20 W/m2)]],3,0),"")</f>
        <v>0.25833333333333336</v>
      </c>
      <c r="J914" s="32">
        <f>IFERROR(VLOOKUP(TA[[#This Row],[Date]],Raw_Data[[Date]:[Sunset Time (POA&lt;20 W/m2)]],4,0),"")</f>
        <v>0.77638888888888891</v>
      </c>
      <c r="K914" s="27">
        <f>IFERROR((TA[[#This Row],[Sunset Time (POA&lt;20 W/m2)]]-TA[[#This Row],[Sunrise Time (POA&gt;20 W/m2)]])*24,"")</f>
        <v>12.433333333333332</v>
      </c>
      <c r="L914" s="2" t="s">
        <v>287</v>
      </c>
      <c r="M914" s="33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314</v>
      </c>
      <c r="Q914" s="2" t="s">
        <v>320</v>
      </c>
      <c r="R914">
        <v>47</v>
      </c>
      <c r="S914" s="2">
        <v>18</v>
      </c>
      <c r="T914" t="s">
        <v>288</v>
      </c>
      <c r="U914" t="s">
        <v>291</v>
      </c>
      <c r="V914" t="s">
        <v>292</v>
      </c>
      <c r="W914" s="32"/>
      <c r="X914" s="32"/>
      <c r="Y914" s="26"/>
      <c r="Z914" s="26"/>
      <c r="AA914" s="27">
        <f>IF(TA[[#This Row],[Work Start time on Fault]]="NA","",(TA[[#This Row],[Fault Acknowledgement Time ]]-TA[[#This Row],[Fault Time]])*24)</f>
        <v>0</v>
      </c>
      <c r="AB914" s="27">
        <f>(TA[[#This Row],[Work Start time on Fault]]-TA[[#This Row],[Fault Time]])*24</f>
        <v>0</v>
      </c>
      <c r="AC914" s="26">
        <f>(TA[[#This Row],[Work Completion time on fault]]-TA[[#This Row],[Fault Time]])*24</f>
        <v>0</v>
      </c>
      <c r="AD914" s="27">
        <f>IFERROR((TA[[#This Row],[Work Completion time on fault]]-TA[[#This Row],[Fault Time]])*24,"")</f>
        <v>0</v>
      </c>
      <c r="AE914" t="s">
        <v>319</v>
      </c>
      <c r="AF914" t="s">
        <v>247</v>
      </c>
      <c r="AG914" s="2"/>
      <c r="AH914" s="35">
        <f>1-COS(RADIANS(TA[[#This Row],[Avg. Target Angle during Fault Time (Radians)]]-TA[[#This Row],[Angle of affected equipment ]]))</f>
        <v>0.11705240714107301</v>
      </c>
      <c r="AI914" s="27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43">
        <f t="shared" si="81"/>
        <v>2026</v>
      </c>
      <c r="C915" s="116">
        <f t="shared" si="82"/>
        <v>2025</v>
      </c>
      <c r="D915" s="2" t="s">
        <v>155</v>
      </c>
      <c r="E915" s="2" t="s">
        <v>155</v>
      </c>
      <c r="F915" s="30">
        <v>45778</v>
      </c>
      <c r="G915" s="2">
        <f>DAY(EOMONTH(TA[[#This Row],[Month Year]],0))</f>
        <v>31</v>
      </c>
      <c r="H915" s="21">
        <v>45807</v>
      </c>
      <c r="I915" s="32">
        <f>IFERROR(VLOOKUP(TA[[#This Row],[Date]],Raw_Data[[Date]:[Sunset Time (POA&lt;20 W/m2)]],3,0),"")</f>
        <v>0.25833333333333336</v>
      </c>
      <c r="J915" s="32">
        <f>IFERROR(VLOOKUP(TA[[#This Row],[Date]],Raw_Data[[Date]:[Sunset Time (POA&lt;20 W/m2)]],4,0),"")</f>
        <v>0.77638888888888891</v>
      </c>
      <c r="K915" s="27">
        <f>IFERROR((TA[[#This Row],[Sunset Time (POA&lt;20 W/m2)]]-TA[[#This Row],[Sunrise Time (POA&gt;20 W/m2)]])*24,"")</f>
        <v>12.433333333333332</v>
      </c>
      <c r="L915" s="2" t="s">
        <v>287</v>
      </c>
      <c r="M915" s="33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321</v>
      </c>
      <c r="Q915" s="2" t="s">
        <v>314</v>
      </c>
      <c r="R915">
        <v>30</v>
      </c>
      <c r="S915" s="2">
        <v>57</v>
      </c>
      <c r="T915" t="s">
        <v>288</v>
      </c>
      <c r="U915" t="s">
        <v>291</v>
      </c>
      <c r="V915" t="s">
        <v>292</v>
      </c>
      <c r="W915" s="32"/>
      <c r="X915" s="32"/>
      <c r="Y915" s="26"/>
      <c r="Z915" s="26"/>
      <c r="AA915" s="27">
        <f>IF(TA[[#This Row],[Work Start time on Fault]]="NA","",(TA[[#This Row],[Fault Acknowledgement Time ]]-TA[[#This Row],[Fault Time]])*24)</f>
        <v>0</v>
      </c>
      <c r="AB915" s="27">
        <f>(TA[[#This Row],[Work Start time on Fault]]-TA[[#This Row],[Fault Time]])*24</f>
        <v>0</v>
      </c>
      <c r="AC915" s="26">
        <f>(TA[[#This Row],[Work Completion time on fault]]-TA[[#This Row],[Fault Time]])*24</f>
        <v>0</v>
      </c>
      <c r="AD915" s="27">
        <f>IFERROR((TA[[#This Row],[Work Completion time on fault]]-TA[[#This Row],[Fault Time]])*24,"")</f>
        <v>0</v>
      </c>
      <c r="AE915" t="s">
        <v>319</v>
      </c>
      <c r="AF915" t="s">
        <v>247</v>
      </c>
      <c r="AG915" s="2"/>
      <c r="AH915" s="35">
        <f>1-COS(RADIANS(TA[[#This Row],[Avg. Target Angle during Fault Time (Radians)]]-TA[[#This Row],[Angle of affected equipment ]]))</f>
        <v>0.11705240714107301</v>
      </c>
      <c r="AI915" s="27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43">
        <f t="shared" si="81"/>
        <v>2026</v>
      </c>
      <c r="C916" s="116">
        <f t="shared" si="82"/>
        <v>2025</v>
      </c>
      <c r="D916" s="2" t="s">
        <v>155</v>
      </c>
      <c r="E916" s="2" t="s">
        <v>155</v>
      </c>
      <c r="F916" s="30">
        <v>45778</v>
      </c>
      <c r="G916" s="2">
        <f>DAY(EOMONTH(TA[[#This Row],[Month Year]],0))</f>
        <v>31</v>
      </c>
      <c r="H916" s="21">
        <v>45807</v>
      </c>
      <c r="I916" s="32">
        <f>IFERROR(VLOOKUP(TA[[#This Row],[Date]],Raw_Data[[Date]:[Sunset Time (POA&lt;20 W/m2)]],3,0),"")</f>
        <v>0.25833333333333336</v>
      </c>
      <c r="J916" s="32">
        <f>IFERROR(VLOOKUP(TA[[#This Row],[Date]],Raw_Data[[Date]:[Sunset Time (POA&lt;20 W/m2)]],4,0),"")</f>
        <v>0.77638888888888891</v>
      </c>
      <c r="K916" s="27">
        <f>IFERROR((TA[[#This Row],[Sunset Time (POA&lt;20 W/m2)]]-TA[[#This Row],[Sunrise Time (POA&gt;20 W/m2)]])*24,"")</f>
        <v>12.433333333333332</v>
      </c>
      <c r="L916" s="2" t="s">
        <v>287</v>
      </c>
      <c r="M916" s="33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321</v>
      </c>
      <c r="Q916" s="2" t="s">
        <v>314</v>
      </c>
      <c r="R916">
        <v>31</v>
      </c>
      <c r="S916" s="2">
        <v>61</v>
      </c>
      <c r="T916" t="s">
        <v>288</v>
      </c>
      <c r="U916" t="s">
        <v>291</v>
      </c>
      <c r="V916" t="s">
        <v>292</v>
      </c>
      <c r="W916" s="32"/>
      <c r="X916" s="32"/>
      <c r="Y916" s="26"/>
      <c r="Z916" s="26"/>
      <c r="AA916" s="27">
        <f>IF(TA[[#This Row],[Work Start time on Fault]]="NA","",(TA[[#This Row],[Fault Acknowledgement Time ]]-TA[[#This Row],[Fault Time]])*24)</f>
        <v>0</v>
      </c>
      <c r="AB916" s="27">
        <f>(TA[[#This Row],[Work Start time on Fault]]-TA[[#This Row],[Fault Time]])*24</f>
        <v>0</v>
      </c>
      <c r="AC916" s="26">
        <f>(TA[[#This Row],[Work Completion time on fault]]-TA[[#This Row],[Fault Time]])*24</f>
        <v>0</v>
      </c>
      <c r="AD916" s="27">
        <f>IFERROR((TA[[#This Row],[Work Completion time on fault]]-TA[[#This Row],[Fault Time]])*24,"")</f>
        <v>0</v>
      </c>
      <c r="AE916" t="s">
        <v>319</v>
      </c>
      <c r="AF916" t="s">
        <v>247</v>
      </c>
      <c r="AG916" s="2"/>
      <c r="AH916" s="35">
        <f>1-COS(RADIANS(TA[[#This Row],[Avg. Target Angle during Fault Time (Radians)]]-TA[[#This Row],[Angle of affected equipment ]]))</f>
        <v>0.11705240714107301</v>
      </c>
      <c r="AI916" s="27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43">
        <f t="shared" si="81"/>
        <v>2026</v>
      </c>
      <c r="C917" s="116">
        <f t="shared" si="82"/>
        <v>2025</v>
      </c>
      <c r="D917" s="2" t="s">
        <v>155</v>
      </c>
      <c r="E917" s="2" t="s">
        <v>155</v>
      </c>
      <c r="F917" s="30">
        <v>45778</v>
      </c>
      <c r="G917" s="2">
        <f>DAY(EOMONTH(TA[[#This Row],[Month Year]],0))</f>
        <v>31</v>
      </c>
      <c r="H917" s="21">
        <v>45807</v>
      </c>
      <c r="I917" s="32">
        <f>IFERROR(VLOOKUP(TA[[#This Row],[Date]],Raw_Data[[Date]:[Sunset Time (POA&lt;20 W/m2)]],3,0),"")</f>
        <v>0.25833333333333336</v>
      </c>
      <c r="J917" s="32">
        <f>IFERROR(VLOOKUP(TA[[#This Row],[Date]],Raw_Data[[Date]:[Sunset Time (POA&lt;20 W/m2)]],4,0),"")</f>
        <v>0.77638888888888891</v>
      </c>
      <c r="K917" s="27">
        <f>IFERROR((TA[[#This Row],[Sunset Time (POA&lt;20 W/m2)]]-TA[[#This Row],[Sunrise Time (POA&gt;20 W/m2)]])*24,"")</f>
        <v>12.433333333333332</v>
      </c>
      <c r="L917" s="2" t="s">
        <v>303</v>
      </c>
      <c r="M917" s="33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321</v>
      </c>
      <c r="Q917" s="2" t="s">
        <v>314</v>
      </c>
      <c r="R917">
        <v>26</v>
      </c>
      <c r="S917" s="2">
        <v>37</v>
      </c>
      <c r="T917" t="s">
        <v>288</v>
      </c>
      <c r="U917" t="s">
        <v>291</v>
      </c>
      <c r="V917" t="s">
        <v>292</v>
      </c>
      <c r="W917" s="32"/>
      <c r="X917" s="32"/>
      <c r="Y917" s="26"/>
      <c r="Z917" s="26"/>
      <c r="AA917" s="27">
        <f>IF(TA[[#This Row],[Work Start time on Fault]]="NA","",(TA[[#This Row],[Fault Acknowledgement Time ]]-TA[[#This Row],[Fault Time]])*24)</f>
        <v>0</v>
      </c>
      <c r="AB917" s="27">
        <f>(TA[[#This Row],[Work Start time on Fault]]-TA[[#This Row],[Fault Time]])*24</f>
        <v>0</v>
      </c>
      <c r="AC917" s="26">
        <f>(TA[[#This Row],[Work Completion time on fault]]-TA[[#This Row],[Fault Time]])*24</f>
        <v>0</v>
      </c>
      <c r="AD917" s="27">
        <f>IFERROR((TA[[#This Row],[Work Completion time on fault]]-TA[[#This Row],[Fault Time]])*24,"")</f>
        <v>0</v>
      </c>
      <c r="AE917" t="s">
        <v>319</v>
      </c>
      <c r="AF917" t="s">
        <v>247</v>
      </c>
      <c r="AG917" s="2"/>
      <c r="AH917" s="35">
        <f>1-COS(RADIANS(TA[[#This Row],[Avg. Target Angle during Fault Time (Radians)]]-TA[[#This Row],[Angle of affected equipment ]]))</f>
        <v>0.11705240714107301</v>
      </c>
      <c r="AI917" s="27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43">
        <f t="shared" si="81"/>
        <v>2026</v>
      </c>
      <c r="C918" s="116">
        <f t="shared" si="82"/>
        <v>2025</v>
      </c>
      <c r="D918" s="2" t="s">
        <v>155</v>
      </c>
      <c r="E918" s="2" t="s">
        <v>155</v>
      </c>
      <c r="F918" s="30">
        <v>45778</v>
      </c>
      <c r="G918" s="2">
        <f>DAY(EOMONTH(TA[[#This Row],[Month Year]],0))</f>
        <v>31</v>
      </c>
      <c r="H918" s="21">
        <v>45807</v>
      </c>
      <c r="I918" s="32">
        <f>IFERROR(VLOOKUP(TA[[#This Row],[Date]],Raw_Data[[Date]:[Sunset Time (POA&lt;20 W/m2)]],3,0),"")</f>
        <v>0.25833333333333336</v>
      </c>
      <c r="J918" s="32">
        <f>IFERROR(VLOOKUP(TA[[#This Row],[Date]],Raw_Data[[Date]:[Sunset Time (POA&lt;20 W/m2)]],4,0),"")</f>
        <v>0.77638888888888891</v>
      </c>
      <c r="K918" s="27">
        <f>IFERROR((TA[[#This Row],[Sunset Time (POA&lt;20 W/m2)]]-TA[[#This Row],[Sunrise Time (POA&gt;20 W/m2)]])*24,"")</f>
        <v>12.433333333333332</v>
      </c>
      <c r="L918" s="2" t="s">
        <v>303</v>
      </c>
      <c r="M918" s="33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321</v>
      </c>
      <c r="Q918" s="2" t="s">
        <v>314</v>
      </c>
      <c r="R918">
        <v>27</v>
      </c>
      <c r="S918" s="2">
        <v>42</v>
      </c>
      <c r="T918" t="s">
        <v>288</v>
      </c>
      <c r="U918" t="s">
        <v>291</v>
      </c>
      <c r="V918" t="s">
        <v>292</v>
      </c>
      <c r="W918" s="32">
        <f>IFERROR(VLOOKUP(TA[[#This Row],[Date]],Raw_Data[[Date]:[Sunset Time (POA&lt;20 W/m2)]],3,0),"")</f>
        <v>0.25833333333333336</v>
      </c>
      <c r="X918" s="32">
        <f>IFERROR(VLOOKUP(TA[[#This Row],[Date]],Raw_Data[[Date]:[Sunset Time (POA&lt;20 W/m2)]],3,0),"")</f>
        <v>0.25833333333333336</v>
      </c>
      <c r="Y918" s="26"/>
      <c r="Z918" s="26">
        <v>0.76041666666666663</v>
      </c>
      <c r="AA918" s="27">
        <f>IF(TA[[#This Row],[Work Start time on Fault]]="NA","",(TA[[#This Row],[Fault Acknowledgement Time ]]-TA[[#This Row],[Fault Time]])*24)</f>
        <v>0</v>
      </c>
      <c r="AB918" s="27">
        <f>(TA[[#This Row],[Work Start time on Fault]]-TA[[#This Row],[Fault Time]])*24</f>
        <v>-6.2000000000000011</v>
      </c>
      <c r="AC918" s="26">
        <f>(TA[[#This Row],[Work Completion time on fault]]-TA[[#This Row],[Fault Time]])*24</f>
        <v>12.049999999999997</v>
      </c>
      <c r="AD918" s="27">
        <f>IFERROR((TA[[#This Row],[Work Completion time on fault]]-TA[[#This Row],[Fault Time]])*24,"")</f>
        <v>12.049999999999997</v>
      </c>
      <c r="AE918" t="s">
        <v>300</v>
      </c>
      <c r="AF918" t="s">
        <v>247</v>
      </c>
      <c r="AG918" s="2"/>
      <c r="AH918" s="35">
        <f>1-COS(RADIANS(TA[[#This Row],[Avg. Target Angle during Fault Time (Radians)]]-TA[[#This Row],[Angle of affected equipment ]]))</f>
        <v>0.11705240714107301</v>
      </c>
      <c r="AI918" s="27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43">
        <f t="shared" ref="B919:B931" si="83">YEAR(H919)+IF(MONTH(H919)&gt;=4,1,0)</f>
        <v>2026</v>
      </c>
      <c r="C919" s="116">
        <f t="shared" ref="C919:C931" si="84">YEAR(H919)</f>
        <v>2025</v>
      </c>
      <c r="D919" s="2" t="s">
        <v>155</v>
      </c>
      <c r="E919" s="2" t="s">
        <v>155</v>
      </c>
      <c r="F919" s="30">
        <v>45778</v>
      </c>
      <c r="G919" s="2">
        <f>DAY(EOMONTH(TA[[#This Row],[Month Year]],0))</f>
        <v>31</v>
      </c>
      <c r="H919" s="21">
        <v>45808</v>
      </c>
      <c r="I919" s="32">
        <f>IFERROR(VLOOKUP(TA[[#This Row],[Date]],Raw_Data[[Date]:[Sunset Time (POA&lt;20 W/m2)]],3,0),"")</f>
        <v>0.24444444444444444</v>
      </c>
      <c r="J919" s="32">
        <f>IFERROR(VLOOKUP(TA[[#This Row],[Date]],Raw_Data[[Date]:[Sunset Time (POA&lt;20 W/m2)]],4,0),"")</f>
        <v>0.77569444444444446</v>
      </c>
      <c r="K919" s="27">
        <f>IFERROR((TA[[#This Row],[Sunset Time (POA&lt;20 W/m2)]]-TA[[#This Row],[Sunrise Time (POA&gt;20 W/m2)]])*24,"")</f>
        <v>12.75</v>
      </c>
      <c r="L919" s="2" t="s">
        <v>285</v>
      </c>
      <c r="M919" s="33">
        <f>IFERROR(VLOOKUP(TA[[#This Row],[Affected Equipment]],'Basic Data'!$I$2:$K$40,3,0),"")</f>
        <v>1.7241379310344799E-3</v>
      </c>
      <c r="N919">
        <v>-28</v>
      </c>
      <c r="O919" t="s">
        <v>135</v>
      </c>
      <c r="P919" s="114" t="s">
        <v>309</v>
      </c>
      <c r="Q919" s="113" t="s">
        <v>309</v>
      </c>
      <c r="R919">
        <v>131</v>
      </c>
      <c r="S919" s="2">
        <v>38</v>
      </c>
      <c r="T919" t="s">
        <v>286</v>
      </c>
      <c r="U919" t="s">
        <v>291</v>
      </c>
      <c r="V919" t="s">
        <v>289</v>
      </c>
      <c r="W919" s="32"/>
      <c r="X919" s="32"/>
      <c r="Y919" s="26"/>
      <c r="Z919" s="26"/>
      <c r="AA919" s="27">
        <f>IF(TA[[#This Row],[Work Start time on Fault]]="NA","",(TA[[#This Row],[Fault Acknowledgement Time ]]-TA[[#This Row],[Fault Time]])*24)</f>
        <v>0</v>
      </c>
      <c r="AB919" s="27">
        <f>(TA[[#This Row],[Work Start time on Fault]]-TA[[#This Row],[Fault Time]])*24</f>
        <v>0</v>
      </c>
      <c r="AC919" s="26">
        <f>(TA[[#This Row],[Work Completion time on fault]]-TA[[#This Row],[Fault Time]])*24</f>
        <v>0</v>
      </c>
      <c r="AD919" s="27">
        <f>IFERROR((TA[[#This Row],[Work Completion time on fault]]-TA[[#This Row],[Fault Time]])*24,"")</f>
        <v>0</v>
      </c>
      <c r="AE919" t="s">
        <v>319</v>
      </c>
      <c r="AF919" t="s">
        <v>247</v>
      </c>
      <c r="AG919" s="2"/>
      <c r="AH919" s="35">
        <f>1-COS(RADIANS(TA[[#This Row],[Avg. Target Angle during Fault Time (Radians)]]-TA[[#This Row],[Angle of affected equipment ]]))</f>
        <v>0.11705240714107301</v>
      </c>
      <c r="AI919" s="27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43">
        <f t="shared" si="83"/>
        <v>2026</v>
      </c>
      <c r="C920" s="116">
        <f t="shared" si="84"/>
        <v>2025</v>
      </c>
      <c r="D920" s="2" t="s">
        <v>155</v>
      </c>
      <c r="E920" s="2" t="s">
        <v>155</v>
      </c>
      <c r="F920" s="30">
        <v>45778</v>
      </c>
      <c r="G920" s="2">
        <f>DAY(EOMONTH(TA[[#This Row],[Month Year]],0))</f>
        <v>31</v>
      </c>
      <c r="H920" s="21">
        <v>45808</v>
      </c>
      <c r="I920" s="32">
        <f>IFERROR(VLOOKUP(TA[[#This Row],[Date]],Raw_Data[[Date]:[Sunset Time (POA&lt;20 W/m2)]],3,0),"")</f>
        <v>0.24444444444444444</v>
      </c>
      <c r="J920" s="32">
        <f>IFERROR(VLOOKUP(TA[[#This Row],[Date]],Raw_Data[[Date]:[Sunset Time (POA&lt;20 W/m2)]],4,0),"")</f>
        <v>0.77569444444444446</v>
      </c>
      <c r="K920" s="27">
        <f>IFERROR((TA[[#This Row],[Sunset Time (POA&lt;20 W/m2)]]-TA[[#This Row],[Sunrise Time (POA&gt;20 W/m2)]])*24,"")</f>
        <v>12.75</v>
      </c>
      <c r="L920" s="2" t="s">
        <v>285</v>
      </c>
      <c r="M920" s="33">
        <f>IFERROR(VLOOKUP(TA[[#This Row],[Affected Equipment]],'Basic Data'!$I$2:$K$40,3,0),"")</f>
        <v>1.7241379310344799E-3</v>
      </c>
      <c r="N920">
        <v>-28</v>
      </c>
      <c r="O920" t="s">
        <v>135</v>
      </c>
      <c r="P920" s="114" t="s">
        <v>309</v>
      </c>
      <c r="Q920" s="113" t="s">
        <v>309</v>
      </c>
      <c r="R920">
        <v>131</v>
      </c>
      <c r="S920" s="2">
        <v>39</v>
      </c>
      <c r="T920" t="s">
        <v>286</v>
      </c>
      <c r="U920" t="s">
        <v>291</v>
      </c>
      <c r="V920" t="s">
        <v>289</v>
      </c>
      <c r="W920" s="32"/>
      <c r="X920" s="32"/>
      <c r="Y920" s="26"/>
      <c r="Z920" s="26"/>
      <c r="AA920" s="27">
        <f>IF(TA[[#This Row],[Work Start time on Fault]]="NA","",(TA[[#This Row],[Fault Acknowledgement Time ]]-TA[[#This Row],[Fault Time]])*24)</f>
        <v>0</v>
      </c>
      <c r="AB920" s="27">
        <f>(TA[[#This Row],[Work Start time on Fault]]-TA[[#This Row],[Fault Time]])*24</f>
        <v>0</v>
      </c>
      <c r="AC920" s="26">
        <f>(TA[[#This Row],[Work Completion time on fault]]-TA[[#This Row],[Fault Time]])*24</f>
        <v>0</v>
      </c>
      <c r="AD920" s="27">
        <f>IFERROR((TA[[#This Row],[Work Completion time on fault]]-TA[[#This Row],[Fault Time]])*24,"")</f>
        <v>0</v>
      </c>
      <c r="AE920" t="s">
        <v>319</v>
      </c>
      <c r="AF920" t="s">
        <v>247</v>
      </c>
      <c r="AG920" s="2"/>
      <c r="AH920" s="35">
        <f>1-COS(RADIANS(TA[[#This Row],[Avg. Target Angle during Fault Time (Radians)]]-TA[[#This Row],[Angle of affected equipment ]]))</f>
        <v>0.11705240714107301</v>
      </c>
      <c r="AI920" s="27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43">
        <f t="shared" si="83"/>
        <v>2026</v>
      </c>
      <c r="C921" s="116">
        <f t="shared" si="84"/>
        <v>2025</v>
      </c>
      <c r="D921" s="2" t="s">
        <v>155</v>
      </c>
      <c r="E921" s="2" t="s">
        <v>155</v>
      </c>
      <c r="F921" s="30">
        <v>45778</v>
      </c>
      <c r="G921" s="2">
        <f>DAY(EOMONTH(TA[[#This Row],[Month Year]],0))</f>
        <v>31</v>
      </c>
      <c r="H921" s="21">
        <v>45808</v>
      </c>
      <c r="I921" s="32">
        <f>IFERROR(VLOOKUP(TA[[#This Row],[Date]],Raw_Data[[Date]:[Sunset Time (POA&lt;20 W/m2)]],3,0),"")</f>
        <v>0.24444444444444444</v>
      </c>
      <c r="J921" s="32">
        <f>IFERROR(VLOOKUP(TA[[#This Row],[Date]],Raw_Data[[Date]:[Sunset Time (POA&lt;20 W/m2)]],4,0),"")</f>
        <v>0.77569444444444446</v>
      </c>
      <c r="K921" s="27">
        <f>IFERROR((TA[[#This Row],[Sunset Time (POA&lt;20 W/m2)]]-TA[[#This Row],[Sunrise Time (POA&gt;20 W/m2)]])*24,"")</f>
        <v>12.75</v>
      </c>
      <c r="L921" s="2" t="s">
        <v>287</v>
      </c>
      <c r="M921" s="33">
        <f>IFERROR(VLOOKUP(TA[[#This Row],[Affected Equipment]],'Basic Data'!$I$2:$K$40,3,0),"")</f>
        <v>8.6206896551724102E-3</v>
      </c>
      <c r="N921">
        <v>-28</v>
      </c>
      <c r="O921" t="s">
        <v>135</v>
      </c>
      <c r="P921" s="114" t="s">
        <v>309</v>
      </c>
      <c r="Q921" s="2" t="s">
        <v>312</v>
      </c>
      <c r="R921">
        <v>133</v>
      </c>
      <c r="S921" s="2">
        <v>26</v>
      </c>
      <c r="T921" t="s">
        <v>288</v>
      </c>
      <c r="U921" t="s">
        <v>291</v>
      </c>
      <c r="V921" t="s">
        <v>305</v>
      </c>
      <c r="W921" s="32">
        <f>IFERROR(VLOOKUP(TA[[#This Row],[Date]],Raw_Data[[Date]:[Sunset Time (POA&lt;20 W/m2)]],3,0),"")</f>
        <v>0.24444444444444444</v>
      </c>
      <c r="X921" s="32">
        <f>IFERROR(VLOOKUP(TA[[#This Row],[Date]],Raw_Data[[Date]:[Sunset Time (POA&lt;20 W/m2)]],3,0),"")</f>
        <v>0.24444444444444444</v>
      </c>
      <c r="Y921" s="26"/>
      <c r="Z921" s="26">
        <v>0.76041666666666663</v>
      </c>
      <c r="AA921" s="27">
        <f>IF(TA[[#This Row],[Work Start time on Fault]]="NA","",(TA[[#This Row],[Fault Acknowledgement Time ]]-TA[[#This Row],[Fault Time]])*24)</f>
        <v>0</v>
      </c>
      <c r="AB921" s="27">
        <f>(TA[[#This Row],[Work Start time on Fault]]-TA[[#This Row],[Fault Time]])*24</f>
        <v>-5.8666666666666663</v>
      </c>
      <c r="AC921" s="26">
        <f>(TA[[#This Row],[Work Completion time on fault]]-TA[[#This Row],[Fault Time]])*24</f>
        <v>12.383333333333333</v>
      </c>
      <c r="AD921" s="27">
        <f>IFERROR((TA[[#This Row],[Work Completion time on fault]]-TA[[#This Row],[Fault Time]])*24,"")</f>
        <v>12.383333333333333</v>
      </c>
      <c r="AE921" t="s">
        <v>319</v>
      </c>
      <c r="AF921" t="s">
        <v>247</v>
      </c>
      <c r="AG921" s="2"/>
      <c r="AH921" s="35">
        <f>1-COS(RADIANS(TA[[#This Row],[Avg. Target Angle during Fault Time (Radians)]]-TA[[#This Row],[Angle of affected equipment ]]))</f>
        <v>0.11705240714107301</v>
      </c>
      <c r="AI921" s="27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43">
        <f t="shared" si="83"/>
        <v>2026</v>
      </c>
      <c r="C922" s="116">
        <f t="shared" si="84"/>
        <v>2025</v>
      </c>
      <c r="D922" s="2" t="s">
        <v>155</v>
      </c>
      <c r="E922" s="2" t="s">
        <v>155</v>
      </c>
      <c r="F922" s="30">
        <v>45778</v>
      </c>
      <c r="G922" s="2">
        <f>DAY(EOMONTH(TA[[#This Row],[Month Year]],0))</f>
        <v>31</v>
      </c>
      <c r="H922" s="21">
        <v>45808</v>
      </c>
      <c r="I922" s="32">
        <f>IFERROR(VLOOKUP(TA[[#This Row],[Date]],Raw_Data[[Date]:[Sunset Time (POA&lt;20 W/m2)]],3,0),"")</f>
        <v>0.24444444444444444</v>
      </c>
      <c r="J922" s="32">
        <f>IFERROR(VLOOKUP(TA[[#This Row],[Date]],Raw_Data[[Date]:[Sunset Time (POA&lt;20 W/m2)]],4,0),"")</f>
        <v>0.77569444444444446</v>
      </c>
      <c r="K922" s="27">
        <f>IFERROR((TA[[#This Row],[Sunset Time (POA&lt;20 W/m2)]]-TA[[#This Row],[Sunrise Time (POA&gt;20 W/m2)]])*24,"")</f>
        <v>12.75</v>
      </c>
      <c r="L922" s="2" t="s">
        <v>285</v>
      </c>
      <c r="M922" s="33">
        <f>IFERROR(VLOOKUP(TA[[#This Row],[Affected Equipment]],'Basic Data'!$I$2:$K$40,3,0),"")</f>
        <v>1.7241379310344799E-3</v>
      </c>
      <c r="N922">
        <v>-28</v>
      </c>
      <c r="O922" t="s">
        <v>133</v>
      </c>
      <c r="P922" s="114" t="s">
        <v>307</v>
      </c>
      <c r="Q922" s="113" t="s">
        <v>308</v>
      </c>
      <c r="R922">
        <v>7</v>
      </c>
      <c r="S922" s="2">
        <v>32</v>
      </c>
      <c r="T922" t="s">
        <v>286</v>
      </c>
      <c r="U922" t="s">
        <v>291</v>
      </c>
      <c r="V922" t="s">
        <v>289</v>
      </c>
      <c r="W922" s="32"/>
      <c r="X922" s="32"/>
      <c r="Y922" s="26"/>
      <c r="Z922" s="26"/>
      <c r="AA922" s="27">
        <f>IF(TA[[#This Row],[Work Start time on Fault]]="NA","",(TA[[#This Row],[Fault Acknowledgement Time ]]-TA[[#This Row],[Fault Time]])*24)</f>
        <v>0</v>
      </c>
      <c r="AB922" s="27">
        <f>(TA[[#This Row],[Work Start time on Fault]]-TA[[#This Row],[Fault Time]])*24</f>
        <v>0</v>
      </c>
      <c r="AC922" s="26">
        <f>(TA[[#This Row],[Work Completion time on fault]]-TA[[#This Row],[Fault Time]])*24</f>
        <v>0</v>
      </c>
      <c r="AD922" s="27">
        <f>IFERROR((TA[[#This Row],[Work Completion time on fault]]-TA[[#This Row],[Fault Time]])*24,"")</f>
        <v>0</v>
      </c>
      <c r="AE922" t="s">
        <v>319</v>
      </c>
      <c r="AF922" t="s">
        <v>247</v>
      </c>
      <c r="AG922" s="2"/>
      <c r="AH922" s="35">
        <f>1-COS(RADIANS(TA[[#This Row],[Avg. Target Angle during Fault Time (Radians)]]-TA[[#This Row],[Angle of affected equipment ]]))</f>
        <v>0.11705240714107301</v>
      </c>
      <c r="AI922" s="27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43">
        <f t="shared" si="83"/>
        <v>2026</v>
      </c>
      <c r="C923" s="116">
        <f t="shared" si="84"/>
        <v>2025</v>
      </c>
      <c r="D923" s="2" t="s">
        <v>155</v>
      </c>
      <c r="E923" s="2" t="s">
        <v>155</v>
      </c>
      <c r="F923" s="30">
        <v>45778</v>
      </c>
      <c r="G923" s="2">
        <f>DAY(EOMONTH(TA[[#This Row],[Month Year]],0))</f>
        <v>31</v>
      </c>
      <c r="H923" s="21">
        <v>45808</v>
      </c>
      <c r="I923" s="32">
        <f>IFERROR(VLOOKUP(TA[[#This Row],[Date]],Raw_Data[[Date]:[Sunset Time (POA&lt;20 W/m2)]],3,0),"")</f>
        <v>0.24444444444444444</v>
      </c>
      <c r="J923" s="32">
        <f>IFERROR(VLOOKUP(TA[[#This Row],[Date]],Raw_Data[[Date]:[Sunset Time (POA&lt;20 W/m2)]],4,0),"")</f>
        <v>0.77569444444444446</v>
      </c>
      <c r="K923" s="27">
        <f>IFERROR((TA[[#This Row],[Sunset Time (POA&lt;20 W/m2)]]-TA[[#This Row],[Sunrise Time (POA&gt;20 W/m2)]])*24,"")</f>
        <v>12.75</v>
      </c>
      <c r="L923" s="2" t="s">
        <v>285</v>
      </c>
      <c r="M923" s="33">
        <f>IFERROR(VLOOKUP(TA[[#This Row],[Affected Equipment]],'Basic Data'!$I$2:$K$40,3,0),"")</f>
        <v>1.7241379310344799E-3</v>
      </c>
      <c r="N923">
        <v>-28</v>
      </c>
      <c r="O923" t="s">
        <v>137</v>
      </c>
      <c r="P923" s="114" t="s">
        <v>306</v>
      </c>
      <c r="Q923" s="113" t="s">
        <v>310</v>
      </c>
      <c r="R923">
        <v>166</v>
      </c>
      <c r="S923" s="2">
        <v>91</v>
      </c>
      <c r="T923" t="s">
        <v>286</v>
      </c>
      <c r="U923" t="s">
        <v>291</v>
      </c>
      <c r="V923" t="s">
        <v>289</v>
      </c>
      <c r="W923" s="32"/>
      <c r="X923" s="32"/>
      <c r="Y923" s="26"/>
      <c r="Z923" s="26"/>
      <c r="AA923" s="27">
        <f>IF(TA[[#This Row],[Work Start time on Fault]]="NA","",(TA[[#This Row],[Fault Acknowledgement Time ]]-TA[[#This Row],[Fault Time]])*24)</f>
        <v>0</v>
      </c>
      <c r="AB923" s="27">
        <f>(TA[[#This Row],[Work Start time on Fault]]-TA[[#This Row],[Fault Time]])*24</f>
        <v>0</v>
      </c>
      <c r="AC923" s="26">
        <f>(TA[[#This Row],[Work Completion time on fault]]-TA[[#This Row],[Fault Time]])*24</f>
        <v>0</v>
      </c>
      <c r="AD923" s="27">
        <f>IFERROR((TA[[#This Row],[Work Completion time on fault]]-TA[[#This Row],[Fault Time]])*24,"")</f>
        <v>0</v>
      </c>
      <c r="AE923" t="s">
        <v>319</v>
      </c>
      <c r="AF923" t="s">
        <v>247</v>
      </c>
      <c r="AG923" s="2"/>
      <c r="AH923" s="35">
        <f>1-COS(RADIANS(TA[[#This Row],[Avg. Target Angle during Fault Time (Radians)]]-TA[[#This Row],[Angle of affected equipment ]]))</f>
        <v>0.11705240714107301</v>
      </c>
      <c r="AI923" s="27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43">
        <f t="shared" si="83"/>
        <v>2026</v>
      </c>
      <c r="C924" s="116">
        <f t="shared" si="84"/>
        <v>2025</v>
      </c>
      <c r="D924" s="2" t="s">
        <v>155</v>
      </c>
      <c r="E924" s="2" t="s">
        <v>155</v>
      </c>
      <c r="F924" s="30">
        <v>45778</v>
      </c>
      <c r="G924" s="2">
        <f>DAY(EOMONTH(TA[[#This Row],[Month Year]],0))</f>
        <v>31</v>
      </c>
      <c r="H924" s="21">
        <v>45808</v>
      </c>
      <c r="I924" s="32">
        <f>IFERROR(VLOOKUP(TA[[#This Row],[Date]],Raw_Data[[Date]:[Sunset Time (POA&lt;20 W/m2)]],3,0),"")</f>
        <v>0.24444444444444444</v>
      </c>
      <c r="J924" s="32">
        <f>IFERROR(VLOOKUP(TA[[#This Row],[Date]],Raw_Data[[Date]:[Sunset Time (POA&lt;20 W/m2)]],4,0),"")</f>
        <v>0.77569444444444446</v>
      </c>
      <c r="K924" s="27">
        <f>IFERROR((TA[[#This Row],[Sunset Time (POA&lt;20 W/m2)]]-TA[[#This Row],[Sunrise Time (POA&gt;20 W/m2)]])*24,"")</f>
        <v>12.75</v>
      </c>
      <c r="L924" s="2" t="s">
        <v>285</v>
      </c>
      <c r="M924" s="33">
        <f>IFERROR(VLOOKUP(TA[[#This Row],[Affected Equipment]],'Basic Data'!$I$2:$K$40,3,0),"")</f>
        <v>1.7241379310344799E-3</v>
      </c>
      <c r="N924">
        <v>-28</v>
      </c>
      <c r="O924" t="s">
        <v>133</v>
      </c>
      <c r="P924" s="114" t="s">
        <v>307</v>
      </c>
      <c r="Q924" s="113" t="s">
        <v>307</v>
      </c>
      <c r="R924">
        <v>117</v>
      </c>
      <c r="S924" s="2">
        <v>20</v>
      </c>
      <c r="T924" t="s">
        <v>286</v>
      </c>
      <c r="U924" t="s">
        <v>291</v>
      </c>
      <c r="V924" t="s">
        <v>289</v>
      </c>
      <c r="W924" s="32"/>
      <c r="X924" s="32"/>
      <c r="Y924" s="26"/>
      <c r="Z924" s="26"/>
      <c r="AA924" s="27">
        <f>IF(TA[[#This Row],[Work Start time on Fault]]="NA","",(TA[[#This Row],[Fault Acknowledgement Time ]]-TA[[#This Row],[Fault Time]])*24)</f>
        <v>0</v>
      </c>
      <c r="AB924" s="27">
        <f>(TA[[#This Row],[Work Start time on Fault]]-TA[[#This Row],[Fault Time]])*24</f>
        <v>0</v>
      </c>
      <c r="AC924" s="26">
        <f>(TA[[#This Row],[Work Completion time on fault]]-TA[[#This Row],[Fault Time]])*24</f>
        <v>0</v>
      </c>
      <c r="AD924" s="27">
        <f>IFERROR((TA[[#This Row],[Work Completion time on fault]]-TA[[#This Row],[Fault Time]])*24,"")</f>
        <v>0</v>
      </c>
      <c r="AE924" t="s">
        <v>319</v>
      </c>
      <c r="AF924" t="s">
        <v>247</v>
      </c>
      <c r="AG924" s="2"/>
      <c r="AH924" s="35">
        <f>1-COS(RADIANS(TA[[#This Row],[Avg. Target Angle during Fault Time (Radians)]]-TA[[#This Row],[Angle of affected equipment ]]))</f>
        <v>0.11705240714107301</v>
      </c>
      <c r="AI924" s="27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43">
        <f t="shared" si="83"/>
        <v>2026</v>
      </c>
      <c r="C925" s="116">
        <f t="shared" si="84"/>
        <v>2025</v>
      </c>
      <c r="D925" s="2" t="s">
        <v>155</v>
      </c>
      <c r="E925" s="2" t="s">
        <v>155</v>
      </c>
      <c r="F925" s="30">
        <v>45778</v>
      </c>
      <c r="G925" s="2">
        <f>DAY(EOMONTH(TA[[#This Row],[Month Year]],0))</f>
        <v>31</v>
      </c>
      <c r="H925" s="21">
        <v>45808</v>
      </c>
      <c r="I925" s="32">
        <f>IFERROR(VLOOKUP(TA[[#This Row],[Date]],Raw_Data[[Date]:[Sunset Time (POA&lt;20 W/m2)]],3,0),"")</f>
        <v>0.24444444444444444</v>
      </c>
      <c r="J925" s="32">
        <f>IFERROR(VLOOKUP(TA[[#This Row],[Date]],Raw_Data[[Date]:[Sunset Time (POA&lt;20 W/m2)]],4,0),"")</f>
        <v>0.77569444444444446</v>
      </c>
      <c r="K925" s="27">
        <f>IFERROR((TA[[#This Row],[Sunset Time (POA&lt;20 W/m2)]]-TA[[#This Row],[Sunrise Time (POA&gt;20 W/m2)]])*24,"")</f>
        <v>12.75</v>
      </c>
      <c r="L925" s="2" t="s">
        <v>285</v>
      </c>
      <c r="M925" s="33">
        <f>IFERROR(VLOOKUP(TA[[#This Row],[Affected Equipment]],'Basic Data'!$I$2:$K$40,3,0),"")</f>
        <v>1.7241379310344799E-3</v>
      </c>
      <c r="N925">
        <v>-28</v>
      </c>
      <c r="O925" t="s">
        <v>133</v>
      </c>
      <c r="P925" s="114" t="s">
        <v>307</v>
      </c>
      <c r="Q925" s="113" t="s">
        <v>307</v>
      </c>
      <c r="R925">
        <v>118</v>
      </c>
      <c r="S925" s="2">
        <v>22</v>
      </c>
      <c r="T925" t="s">
        <v>286</v>
      </c>
      <c r="U925" t="s">
        <v>291</v>
      </c>
      <c r="V925" t="s">
        <v>289</v>
      </c>
      <c r="W925" s="32"/>
      <c r="X925" s="32"/>
      <c r="Y925" s="26"/>
      <c r="Z925" s="26"/>
      <c r="AA925" s="27">
        <f>IF(TA[[#This Row],[Work Start time on Fault]]="NA","",(TA[[#This Row],[Fault Acknowledgement Time ]]-TA[[#This Row],[Fault Time]])*24)</f>
        <v>0</v>
      </c>
      <c r="AB925" s="27">
        <f>(TA[[#This Row],[Work Start time on Fault]]-TA[[#This Row],[Fault Time]])*24</f>
        <v>0</v>
      </c>
      <c r="AC925" s="26">
        <f>(TA[[#This Row],[Work Completion time on fault]]-TA[[#This Row],[Fault Time]])*24</f>
        <v>0</v>
      </c>
      <c r="AD925" s="27">
        <f>IFERROR((TA[[#This Row],[Work Completion time on fault]]-TA[[#This Row],[Fault Time]])*24,"")</f>
        <v>0</v>
      </c>
      <c r="AE925" t="s">
        <v>319</v>
      </c>
      <c r="AF925" t="s">
        <v>247</v>
      </c>
      <c r="AG925" s="2"/>
      <c r="AH925" s="35">
        <f>1-COS(RADIANS(TA[[#This Row],[Avg. Target Angle during Fault Time (Radians)]]-TA[[#This Row],[Angle of affected equipment ]]))</f>
        <v>0.11705240714107301</v>
      </c>
      <c r="AI925" s="27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43">
        <f t="shared" si="83"/>
        <v>2026</v>
      </c>
      <c r="C926" s="116">
        <f t="shared" si="84"/>
        <v>2025</v>
      </c>
      <c r="D926" s="2" t="s">
        <v>155</v>
      </c>
      <c r="E926" s="2" t="s">
        <v>155</v>
      </c>
      <c r="F926" s="30">
        <v>45778</v>
      </c>
      <c r="G926" s="2">
        <f>DAY(EOMONTH(TA[[#This Row],[Month Year]],0))</f>
        <v>31</v>
      </c>
      <c r="H926" s="21">
        <v>45808</v>
      </c>
      <c r="I926" s="32">
        <f>IFERROR(VLOOKUP(TA[[#This Row],[Date]],Raw_Data[[Date]:[Sunset Time (POA&lt;20 W/m2)]],3,0),"")</f>
        <v>0.24444444444444444</v>
      </c>
      <c r="J926" s="32">
        <f>IFERROR(VLOOKUP(TA[[#This Row],[Date]],Raw_Data[[Date]:[Sunset Time (POA&lt;20 W/m2)]],4,0),"")</f>
        <v>0.77569444444444446</v>
      </c>
      <c r="K926" s="27">
        <f>IFERROR((TA[[#This Row],[Sunset Time (POA&lt;20 W/m2)]]-TA[[#This Row],[Sunrise Time (POA&gt;20 W/m2)]])*24,"")</f>
        <v>12.75</v>
      </c>
      <c r="L926" s="2" t="s">
        <v>287</v>
      </c>
      <c r="M926" s="33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314</v>
      </c>
      <c r="Q926" s="2" t="s">
        <v>320</v>
      </c>
      <c r="R926">
        <v>45</v>
      </c>
      <c r="S926" s="2">
        <v>8</v>
      </c>
      <c r="T926" t="s">
        <v>288</v>
      </c>
      <c r="U926" t="s">
        <v>291</v>
      </c>
      <c r="V926" t="s">
        <v>292</v>
      </c>
      <c r="W926" s="32"/>
      <c r="X926" s="32"/>
      <c r="Y926" s="26"/>
      <c r="Z926" s="26"/>
      <c r="AA926" s="27">
        <f>IF(TA[[#This Row],[Work Start time on Fault]]="NA","",(TA[[#This Row],[Fault Acknowledgement Time ]]-TA[[#This Row],[Fault Time]])*24)</f>
        <v>0</v>
      </c>
      <c r="AB926" s="27">
        <f>(TA[[#This Row],[Work Start time on Fault]]-TA[[#This Row],[Fault Time]])*24</f>
        <v>0</v>
      </c>
      <c r="AC926" s="26">
        <f>(TA[[#This Row],[Work Completion time on fault]]-TA[[#This Row],[Fault Time]])*24</f>
        <v>0</v>
      </c>
      <c r="AD926" s="27">
        <f>IFERROR((TA[[#This Row],[Work Completion time on fault]]-TA[[#This Row],[Fault Time]])*24,"")</f>
        <v>0</v>
      </c>
      <c r="AE926" t="s">
        <v>319</v>
      </c>
      <c r="AF926" t="s">
        <v>247</v>
      </c>
      <c r="AG926" s="2"/>
      <c r="AH926" s="35">
        <f>1-COS(RADIANS(TA[[#This Row],[Avg. Target Angle during Fault Time (Radians)]]-TA[[#This Row],[Angle of affected equipment ]]))</f>
        <v>0.11705240714107301</v>
      </c>
      <c r="AI926" s="27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43">
        <f t="shared" si="83"/>
        <v>2026</v>
      </c>
      <c r="C927" s="116">
        <f t="shared" si="84"/>
        <v>2025</v>
      </c>
      <c r="D927" s="2" t="s">
        <v>155</v>
      </c>
      <c r="E927" s="2" t="s">
        <v>155</v>
      </c>
      <c r="F927" s="30">
        <v>45778</v>
      </c>
      <c r="G927" s="2">
        <f>DAY(EOMONTH(TA[[#This Row],[Month Year]],0))</f>
        <v>31</v>
      </c>
      <c r="H927" s="21">
        <v>45808</v>
      </c>
      <c r="I927" s="32">
        <f>IFERROR(VLOOKUP(TA[[#This Row],[Date]],Raw_Data[[Date]:[Sunset Time (POA&lt;20 W/m2)]],3,0),"")</f>
        <v>0.24444444444444444</v>
      </c>
      <c r="J927" s="32">
        <f>IFERROR(VLOOKUP(TA[[#This Row],[Date]],Raw_Data[[Date]:[Sunset Time (POA&lt;20 W/m2)]],4,0),"")</f>
        <v>0.77569444444444446</v>
      </c>
      <c r="K927" s="27">
        <f>IFERROR((TA[[#This Row],[Sunset Time (POA&lt;20 W/m2)]]-TA[[#This Row],[Sunrise Time (POA&gt;20 W/m2)]])*24,"")</f>
        <v>12.75</v>
      </c>
      <c r="L927" s="2" t="s">
        <v>287</v>
      </c>
      <c r="M927" s="33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314</v>
      </c>
      <c r="Q927" s="2" t="s">
        <v>320</v>
      </c>
      <c r="R927">
        <v>47</v>
      </c>
      <c r="S927" s="2">
        <v>18</v>
      </c>
      <c r="T927" t="s">
        <v>288</v>
      </c>
      <c r="U927" t="s">
        <v>291</v>
      </c>
      <c r="V927" t="s">
        <v>292</v>
      </c>
      <c r="W927" s="32"/>
      <c r="X927" s="32"/>
      <c r="Y927" s="26"/>
      <c r="Z927" s="26"/>
      <c r="AA927" s="27">
        <f>IF(TA[[#This Row],[Work Start time on Fault]]="NA","",(TA[[#This Row],[Fault Acknowledgement Time ]]-TA[[#This Row],[Fault Time]])*24)</f>
        <v>0</v>
      </c>
      <c r="AB927" s="27">
        <f>(TA[[#This Row],[Work Start time on Fault]]-TA[[#This Row],[Fault Time]])*24</f>
        <v>0</v>
      </c>
      <c r="AC927" s="26">
        <f>(TA[[#This Row],[Work Completion time on fault]]-TA[[#This Row],[Fault Time]])*24</f>
        <v>0</v>
      </c>
      <c r="AD927" s="27">
        <f>IFERROR((TA[[#This Row],[Work Completion time on fault]]-TA[[#This Row],[Fault Time]])*24,"")</f>
        <v>0</v>
      </c>
      <c r="AE927" t="s">
        <v>319</v>
      </c>
      <c r="AF927" t="s">
        <v>247</v>
      </c>
      <c r="AG927" s="2"/>
      <c r="AH927" s="35">
        <f>1-COS(RADIANS(TA[[#This Row],[Avg. Target Angle during Fault Time (Radians)]]-TA[[#This Row],[Angle of affected equipment ]]))</f>
        <v>0.11705240714107301</v>
      </c>
      <c r="AI927" s="27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43">
        <f t="shared" si="83"/>
        <v>2026</v>
      </c>
      <c r="C928" s="116">
        <f t="shared" si="84"/>
        <v>2025</v>
      </c>
      <c r="D928" s="2" t="s">
        <v>155</v>
      </c>
      <c r="E928" s="2" t="s">
        <v>155</v>
      </c>
      <c r="F928" s="30">
        <v>45778</v>
      </c>
      <c r="G928" s="2">
        <f>DAY(EOMONTH(TA[[#This Row],[Month Year]],0))</f>
        <v>31</v>
      </c>
      <c r="H928" s="21">
        <v>45808</v>
      </c>
      <c r="I928" s="32">
        <f>IFERROR(VLOOKUP(TA[[#This Row],[Date]],Raw_Data[[Date]:[Sunset Time (POA&lt;20 W/m2)]],3,0),"")</f>
        <v>0.24444444444444444</v>
      </c>
      <c r="J928" s="32">
        <f>IFERROR(VLOOKUP(TA[[#This Row],[Date]],Raw_Data[[Date]:[Sunset Time (POA&lt;20 W/m2)]],4,0),"")</f>
        <v>0.77569444444444446</v>
      </c>
      <c r="K928" s="27">
        <f>IFERROR((TA[[#This Row],[Sunset Time (POA&lt;20 W/m2)]]-TA[[#This Row],[Sunrise Time (POA&gt;20 W/m2)]])*24,"")</f>
        <v>12.75</v>
      </c>
      <c r="L928" s="2" t="s">
        <v>287</v>
      </c>
      <c r="M928" s="33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321</v>
      </c>
      <c r="Q928" s="2" t="s">
        <v>314</v>
      </c>
      <c r="R928">
        <v>30</v>
      </c>
      <c r="S928" s="2">
        <v>57</v>
      </c>
      <c r="T928" t="s">
        <v>288</v>
      </c>
      <c r="U928" t="s">
        <v>291</v>
      </c>
      <c r="V928" t="s">
        <v>292</v>
      </c>
      <c r="W928" s="32"/>
      <c r="X928" s="32"/>
      <c r="Y928" s="26"/>
      <c r="Z928" s="26"/>
      <c r="AA928" s="27">
        <f>IF(TA[[#This Row],[Work Start time on Fault]]="NA","",(TA[[#This Row],[Fault Acknowledgement Time ]]-TA[[#This Row],[Fault Time]])*24)</f>
        <v>0</v>
      </c>
      <c r="AB928" s="27">
        <f>(TA[[#This Row],[Work Start time on Fault]]-TA[[#This Row],[Fault Time]])*24</f>
        <v>0</v>
      </c>
      <c r="AC928" s="26">
        <f>(TA[[#This Row],[Work Completion time on fault]]-TA[[#This Row],[Fault Time]])*24</f>
        <v>0</v>
      </c>
      <c r="AD928" s="27">
        <f>IFERROR((TA[[#This Row],[Work Completion time on fault]]-TA[[#This Row],[Fault Time]])*24,"")</f>
        <v>0</v>
      </c>
      <c r="AE928" t="s">
        <v>319</v>
      </c>
      <c r="AF928" t="s">
        <v>247</v>
      </c>
      <c r="AG928" s="2"/>
      <c r="AH928" s="35">
        <f>1-COS(RADIANS(TA[[#This Row],[Avg. Target Angle during Fault Time (Radians)]]-TA[[#This Row],[Angle of affected equipment ]]))</f>
        <v>0.11705240714107301</v>
      </c>
      <c r="AI928" s="27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43">
        <f t="shared" si="83"/>
        <v>2026</v>
      </c>
      <c r="C929" s="116">
        <f t="shared" si="84"/>
        <v>2025</v>
      </c>
      <c r="D929" s="2" t="s">
        <v>155</v>
      </c>
      <c r="E929" s="2" t="s">
        <v>155</v>
      </c>
      <c r="F929" s="30">
        <v>45778</v>
      </c>
      <c r="G929" s="2">
        <f>DAY(EOMONTH(TA[[#This Row],[Month Year]],0))</f>
        <v>31</v>
      </c>
      <c r="H929" s="21">
        <v>45808</v>
      </c>
      <c r="I929" s="32">
        <f>IFERROR(VLOOKUP(TA[[#This Row],[Date]],Raw_Data[[Date]:[Sunset Time (POA&lt;20 W/m2)]],3,0),"")</f>
        <v>0.24444444444444444</v>
      </c>
      <c r="J929" s="32">
        <f>IFERROR(VLOOKUP(TA[[#This Row],[Date]],Raw_Data[[Date]:[Sunset Time (POA&lt;20 W/m2)]],4,0),"")</f>
        <v>0.77569444444444446</v>
      </c>
      <c r="K929" s="27">
        <f>IFERROR((TA[[#This Row],[Sunset Time (POA&lt;20 W/m2)]]-TA[[#This Row],[Sunrise Time (POA&gt;20 W/m2)]])*24,"")</f>
        <v>12.75</v>
      </c>
      <c r="L929" s="2" t="s">
        <v>287</v>
      </c>
      <c r="M929" s="33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321</v>
      </c>
      <c r="Q929" s="2" t="s">
        <v>314</v>
      </c>
      <c r="R929">
        <v>31</v>
      </c>
      <c r="S929" s="2">
        <v>61</v>
      </c>
      <c r="T929" t="s">
        <v>288</v>
      </c>
      <c r="U929" t="s">
        <v>291</v>
      </c>
      <c r="V929" t="s">
        <v>292</v>
      </c>
      <c r="W929" s="32"/>
      <c r="X929" s="32"/>
      <c r="Y929" s="26"/>
      <c r="Z929" s="26"/>
      <c r="AA929" s="27">
        <f>IF(TA[[#This Row],[Work Start time on Fault]]="NA","",(TA[[#This Row],[Fault Acknowledgement Time ]]-TA[[#This Row],[Fault Time]])*24)</f>
        <v>0</v>
      </c>
      <c r="AB929" s="27">
        <f>(TA[[#This Row],[Work Start time on Fault]]-TA[[#This Row],[Fault Time]])*24</f>
        <v>0</v>
      </c>
      <c r="AC929" s="26">
        <f>(TA[[#This Row],[Work Completion time on fault]]-TA[[#This Row],[Fault Time]])*24</f>
        <v>0</v>
      </c>
      <c r="AD929" s="27">
        <f>IFERROR((TA[[#This Row],[Work Completion time on fault]]-TA[[#This Row],[Fault Time]])*24,"")</f>
        <v>0</v>
      </c>
      <c r="AE929" t="s">
        <v>319</v>
      </c>
      <c r="AF929" t="s">
        <v>247</v>
      </c>
      <c r="AG929" s="2"/>
      <c r="AH929" s="35">
        <f>1-COS(RADIANS(TA[[#This Row],[Avg. Target Angle during Fault Time (Radians)]]-TA[[#This Row],[Angle of affected equipment ]]))</f>
        <v>0.11705240714107301</v>
      </c>
      <c r="AI929" s="27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43">
        <f t="shared" si="83"/>
        <v>2026</v>
      </c>
      <c r="C930" s="116">
        <f t="shared" si="84"/>
        <v>2025</v>
      </c>
      <c r="D930" s="2" t="s">
        <v>155</v>
      </c>
      <c r="E930" s="2" t="s">
        <v>155</v>
      </c>
      <c r="F930" s="30">
        <v>45778</v>
      </c>
      <c r="G930" s="2">
        <f>DAY(EOMONTH(TA[[#This Row],[Month Year]],0))</f>
        <v>31</v>
      </c>
      <c r="H930" s="21">
        <v>45808</v>
      </c>
      <c r="I930" s="32">
        <f>IFERROR(VLOOKUP(TA[[#This Row],[Date]],Raw_Data[[Date]:[Sunset Time (POA&lt;20 W/m2)]],3,0),"")</f>
        <v>0.24444444444444444</v>
      </c>
      <c r="J930" s="32">
        <f>IFERROR(VLOOKUP(TA[[#This Row],[Date]],Raw_Data[[Date]:[Sunset Time (POA&lt;20 W/m2)]],4,0),"")</f>
        <v>0.77569444444444446</v>
      </c>
      <c r="K930" s="27">
        <f>IFERROR((TA[[#This Row],[Sunset Time (POA&lt;20 W/m2)]]-TA[[#This Row],[Sunrise Time (POA&gt;20 W/m2)]])*24,"")</f>
        <v>12.75</v>
      </c>
      <c r="L930" s="2" t="s">
        <v>303</v>
      </c>
      <c r="M930" s="33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321</v>
      </c>
      <c r="Q930" s="2" t="s">
        <v>314</v>
      </c>
      <c r="R930">
        <v>26</v>
      </c>
      <c r="S930" s="2">
        <v>37</v>
      </c>
      <c r="T930" t="s">
        <v>288</v>
      </c>
      <c r="U930" t="s">
        <v>291</v>
      </c>
      <c r="V930" t="s">
        <v>292</v>
      </c>
      <c r="W930" s="32"/>
      <c r="X930" s="32"/>
      <c r="Y930" s="26"/>
      <c r="Z930" s="26"/>
      <c r="AA930" s="27">
        <f>IF(TA[[#This Row],[Work Start time on Fault]]="NA","",(TA[[#This Row],[Fault Acknowledgement Time ]]-TA[[#This Row],[Fault Time]])*24)</f>
        <v>0</v>
      </c>
      <c r="AB930" s="27">
        <f>(TA[[#This Row],[Work Start time on Fault]]-TA[[#This Row],[Fault Time]])*24</f>
        <v>0</v>
      </c>
      <c r="AC930" s="26">
        <f>(TA[[#This Row],[Work Completion time on fault]]-TA[[#This Row],[Fault Time]])*24</f>
        <v>0</v>
      </c>
      <c r="AD930" s="27">
        <f>IFERROR((TA[[#This Row],[Work Completion time on fault]]-TA[[#This Row],[Fault Time]])*24,"")</f>
        <v>0</v>
      </c>
      <c r="AE930" t="s">
        <v>319</v>
      </c>
      <c r="AF930" t="s">
        <v>247</v>
      </c>
      <c r="AG930" s="2"/>
      <c r="AH930" s="35">
        <f>1-COS(RADIANS(TA[[#This Row],[Avg. Target Angle during Fault Time (Radians)]]-TA[[#This Row],[Angle of affected equipment ]]))</f>
        <v>0.11705240714107301</v>
      </c>
      <c r="AI930" s="27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43">
        <f t="shared" si="83"/>
        <v>2026</v>
      </c>
      <c r="C931" s="116">
        <f t="shared" si="84"/>
        <v>2025</v>
      </c>
      <c r="D931" s="2" t="s">
        <v>155</v>
      </c>
      <c r="E931" s="2" t="s">
        <v>155</v>
      </c>
      <c r="F931" s="30">
        <v>45778</v>
      </c>
      <c r="G931" s="2">
        <f>DAY(EOMONTH(TA[[#This Row],[Month Year]],0))</f>
        <v>31</v>
      </c>
      <c r="H931" s="21">
        <v>45808</v>
      </c>
      <c r="I931" s="32">
        <f>IFERROR(VLOOKUP(TA[[#This Row],[Date]],Raw_Data[[Date]:[Sunset Time (POA&lt;20 W/m2)]],3,0),"")</f>
        <v>0.24444444444444444</v>
      </c>
      <c r="J931" s="32">
        <f>IFERROR(VLOOKUP(TA[[#This Row],[Date]],Raw_Data[[Date]:[Sunset Time (POA&lt;20 W/m2)]],4,0),"")</f>
        <v>0.77569444444444446</v>
      </c>
      <c r="K931" s="27">
        <f>IFERROR((TA[[#This Row],[Sunset Time (POA&lt;20 W/m2)]]-TA[[#This Row],[Sunrise Time (POA&gt;20 W/m2)]])*24,"")</f>
        <v>12.75</v>
      </c>
      <c r="L931" s="2" t="s">
        <v>303</v>
      </c>
      <c r="M931" s="33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321</v>
      </c>
      <c r="Q931" s="2" t="s">
        <v>314</v>
      </c>
      <c r="R931">
        <v>27</v>
      </c>
      <c r="S931" s="2">
        <v>42</v>
      </c>
      <c r="T931" t="s">
        <v>288</v>
      </c>
      <c r="U931" t="s">
        <v>291</v>
      </c>
      <c r="V931" t="s">
        <v>292</v>
      </c>
      <c r="W931" s="32">
        <f>IFERROR(VLOOKUP(TA[[#This Row],[Date]],Raw_Data[[Date]:[Sunset Time (POA&lt;20 W/m2)]],3,0),"")</f>
        <v>0.24444444444444444</v>
      </c>
      <c r="X931" s="32">
        <f>IFERROR(VLOOKUP(TA[[#This Row],[Date]],Raw_Data[[Date]:[Sunset Time (POA&lt;20 W/m2)]],3,0),"")</f>
        <v>0.24444444444444444</v>
      </c>
      <c r="Y931" s="26"/>
      <c r="Z931" s="26">
        <v>0.76041666666666663</v>
      </c>
      <c r="AA931" s="27">
        <f>IF(TA[[#This Row],[Work Start time on Fault]]="NA","",(TA[[#This Row],[Fault Acknowledgement Time ]]-TA[[#This Row],[Fault Time]])*24)</f>
        <v>0</v>
      </c>
      <c r="AB931" s="27">
        <f>(TA[[#This Row],[Work Start time on Fault]]-TA[[#This Row],[Fault Time]])*24</f>
        <v>-5.8666666666666663</v>
      </c>
      <c r="AC931" s="26">
        <f>(TA[[#This Row],[Work Completion time on fault]]-TA[[#This Row],[Fault Time]])*24</f>
        <v>12.383333333333333</v>
      </c>
      <c r="AD931" s="27">
        <f>IFERROR((TA[[#This Row],[Work Completion time on fault]]-TA[[#This Row],[Fault Time]])*24,"")</f>
        <v>12.383333333333333</v>
      </c>
      <c r="AE931" t="s">
        <v>300</v>
      </c>
      <c r="AF931" t="s">
        <v>247</v>
      </c>
      <c r="AG931" s="2"/>
      <c r="AH931" s="35">
        <f>1-COS(RADIANS(TA[[#This Row],[Avg. Target Angle during Fault Time (Radians)]]-TA[[#This Row],[Angle of affected equipment ]]))</f>
        <v>0.11705240714107301</v>
      </c>
      <c r="AI931" s="27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43">
        <f t="shared" ref="B932:B944" si="85">YEAR(H932)+IF(MONTH(H932)&gt;=4,1,0)</f>
        <v>2026</v>
      </c>
      <c r="C932" s="116">
        <f t="shared" ref="C932:C944" si="86">YEAR(H932)</f>
        <v>2025</v>
      </c>
      <c r="D932" s="2" t="s">
        <v>155</v>
      </c>
      <c r="E932" s="2" t="s">
        <v>155</v>
      </c>
      <c r="F932" s="30">
        <v>45809</v>
      </c>
      <c r="G932" s="2">
        <f>DAY(EOMONTH(TA[[#This Row],[Month Year]],0))</f>
        <v>30</v>
      </c>
      <c r="H932" s="21">
        <v>45809</v>
      </c>
      <c r="I932" s="32">
        <f>IFERROR(VLOOKUP(TA[[#This Row],[Date]],Raw_Data[[Date]:[Sunset Time (POA&lt;20 W/m2)]],3,0),"")</f>
        <v>0.24236111111111111</v>
      </c>
      <c r="J932" s="32">
        <f>IFERROR(VLOOKUP(TA[[#This Row],[Date]],Raw_Data[[Date]:[Sunset Time (POA&lt;20 W/m2)]],4,0),"")</f>
        <v>0.77361111111111114</v>
      </c>
      <c r="K932" s="27">
        <f>IFERROR((TA[[#This Row],[Sunset Time (POA&lt;20 W/m2)]]-TA[[#This Row],[Sunrise Time (POA&gt;20 W/m2)]])*24,"")</f>
        <v>12.75</v>
      </c>
      <c r="L932" s="2" t="s">
        <v>285</v>
      </c>
      <c r="M932" s="33">
        <f>IFERROR(VLOOKUP(TA[[#This Row],[Affected Equipment]],'Basic Data'!$I$2:$K$40,3,0),"")</f>
        <v>1.7241379310344799E-3</v>
      </c>
      <c r="N932">
        <v>-28</v>
      </c>
      <c r="O932" t="s">
        <v>135</v>
      </c>
      <c r="P932" s="114" t="s">
        <v>309</v>
      </c>
      <c r="Q932" s="113" t="s">
        <v>309</v>
      </c>
      <c r="R932">
        <v>131</v>
      </c>
      <c r="S932" s="2">
        <v>38</v>
      </c>
      <c r="T932" t="s">
        <v>286</v>
      </c>
      <c r="U932" t="s">
        <v>291</v>
      </c>
      <c r="V932" t="s">
        <v>289</v>
      </c>
      <c r="W932" s="32"/>
      <c r="X932" s="32"/>
      <c r="Y932" s="26"/>
      <c r="Z932" s="26"/>
      <c r="AA932" s="27">
        <f>IF(TA[[#This Row],[Work Start time on Fault]]="NA","",(TA[[#This Row],[Fault Acknowledgement Time ]]-TA[[#This Row],[Fault Time]])*24)</f>
        <v>0</v>
      </c>
      <c r="AB932" s="27">
        <f>(TA[[#This Row],[Work Start time on Fault]]-TA[[#This Row],[Fault Time]])*24</f>
        <v>0</v>
      </c>
      <c r="AC932" s="26">
        <f>(TA[[#This Row],[Work Completion time on fault]]-TA[[#This Row],[Fault Time]])*24</f>
        <v>0</v>
      </c>
      <c r="AD932" s="27">
        <f>IFERROR((TA[[#This Row],[Work Completion time on fault]]-TA[[#This Row],[Fault Time]])*24,"")</f>
        <v>0</v>
      </c>
      <c r="AE932" t="s">
        <v>319</v>
      </c>
      <c r="AF932" t="s">
        <v>247</v>
      </c>
      <c r="AG932" s="2"/>
      <c r="AH932" s="35">
        <f>1-COS(RADIANS(TA[[#This Row],[Avg. Target Angle during Fault Time (Radians)]]-TA[[#This Row],[Angle of affected equipment ]]))</f>
        <v>0.11705240714107301</v>
      </c>
      <c r="AI932" s="27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43">
        <f t="shared" si="85"/>
        <v>2026</v>
      </c>
      <c r="C933" s="116">
        <f t="shared" si="86"/>
        <v>2025</v>
      </c>
      <c r="D933" s="2" t="s">
        <v>155</v>
      </c>
      <c r="E933" s="2" t="s">
        <v>155</v>
      </c>
      <c r="F933" s="30">
        <v>45809</v>
      </c>
      <c r="G933" s="2">
        <f>DAY(EOMONTH(TA[[#This Row],[Month Year]],0))</f>
        <v>30</v>
      </c>
      <c r="H933" s="21">
        <v>45809</v>
      </c>
      <c r="I933" s="32">
        <f>IFERROR(VLOOKUP(TA[[#This Row],[Date]],Raw_Data[[Date]:[Sunset Time (POA&lt;20 W/m2)]],3,0),"")</f>
        <v>0.24236111111111111</v>
      </c>
      <c r="J933" s="32">
        <f>IFERROR(VLOOKUP(TA[[#This Row],[Date]],Raw_Data[[Date]:[Sunset Time (POA&lt;20 W/m2)]],4,0),"")</f>
        <v>0.77361111111111114</v>
      </c>
      <c r="K933" s="27">
        <f>IFERROR((TA[[#This Row],[Sunset Time (POA&lt;20 W/m2)]]-TA[[#This Row],[Sunrise Time (POA&gt;20 W/m2)]])*24,"")</f>
        <v>12.75</v>
      </c>
      <c r="L933" s="2" t="s">
        <v>285</v>
      </c>
      <c r="M933" s="33">
        <f>IFERROR(VLOOKUP(TA[[#This Row],[Affected Equipment]],'Basic Data'!$I$2:$K$40,3,0),"")</f>
        <v>1.7241379310344799E-3</v>
      </c>
      <c r="N933">
        <v>-28</v>
      </c>
      <c r="O933" t="s">
        <v>135</v>
      </c>
      <c r="P933" s="114" t="s">
        <v>309</v>
      </c>
      <c r="Q933" s="113" t="s">
        <v>309</v>
      </c>
      <c r="R933">
        <v>131</v>
      </c>
      <c r="S933" s="2">
        <v>39</v>
      </c>
      <c r="T933" t="s">
        <v>286</v>
      </c>
      <c r="U933" t="s">
        <v>291</v>
      </c>
      <c r="V933" t="s">
        <v>289</v>
      </c>
      <c r="W933" s="32"/>
      <c r="X933" s="32"/>
      <c r="Y933" s="26"/>
      <c r="Z933" s="26"/>
      <c r="AA933" s="27">
        <f>IF(TA[[#This Row],[Work Start time on Fault]]="NA","",(TA[[#This Row],[Fault Acknowledgement Time ]]-TA[[#This Row],[Fault Time]])*24)</f>
        <v>0</v>
      </c>
      <c r="AB933" s="27">
        <f>(TA[[#This Row],[Work Start time on Fault]]-TA[[#This Row],[Fault Time]])*24</f>
        <v>0</v>
      </c>
      <c r="AC933" s="26">
        <f>(TA[[#This Row],[Work Completion time on fault]]-TA[[#This Row],[Fault Time]])*24</f>
        <v>0</v>
      </c>
      <c r="AD933" s="27">
        <f>IFERROR((TA[[#This Row],[Work Completion time on fault]]-TA[[#This Row],[Fault Time]])*24,"")</f>
        <v>0</v>
      </c>
      <c r="AE933" t="s">
        <v>319</v>
      </c>
      <c r="AF933" t="s">
        <v>247</v>
      </c>
      <c r="AG933" s="2"/>
      <c r="AH933" s="35">
        <f>1-COS(RADIANS(TA[[#This Row],[Avg. Target Angle during Fault Time (Radians)]]-TA[[#This Row],[Angle of affected equipment ]]))</f>
        <v>0.11705240714107301</v>
      </c>
      <c r="AI933" s="27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43">
        <f t="shared" si="85"/>
        <v>2026</v>
      </c>
      <c r="C934" s="116">
        <f t="shared" si="86"/>
        <v>2025</v>
      </c>
      <c r="D934" s="2" t="s">
        <v>155</v>
      </c>
      <c r="E934" s="2" t="s">
        <v>155</v>
      </c>
      <c r="F934" s="30">
        <v>45809</v>
      </c>
      <c r="G934" s="2">
        <f>DAY(EOMONTH(TA[[#This Row],[Month Year]],0))</f>
        <v>30</v>
      </c>
      <c r="H934" s="21">
        <v>45809</v>
      </c>
      <c r="I934" s="32">
        <f>IFERROR(VLOOKUP(TA[[#This Row],[Date]],Raw_Data[[Date]:[Sunset Time (POA&lt;20 W/m2)]],3,0),"")</f>
        <v>0.24236111111111111</v>
      </c>
      <c r="J934" s="32">
        <f>IFERROR(VLOOKUP(TA[[#This Row],[Date]],Raw_Data[[Date]:[Sunset Time (POA&lt;20 W/m2)]],4,0),"")</f>
        <v>0.77361111111111114</v>
      </c>
      <c r="K934" s="27">
        <f>IFERROR((TA[[#This Row],[Sunset Time (POA&lt;20 W/m2)]]-TA[[#This Row],[Sunrise Time (POA&gt;20 W/m2)]])*24,"")</f>
        <v>12.75</v>
      </c>
      <c r="L934" s="2" t="s">
        <v>287</v>
      </c>
      <c r="M934" s="33">
        <f>IFERROR(VLOOKUP(TA[[#This Row],[Affected Equipment]],'Basic Data'!$I$2:$K$40,3,0),"")</f>
        <v>8.6206896551724102E-3</v>
      </c>
      <c r="N934">
        <v>-28</v>
      </c>
      <c r="O934" t="s">
        <v>135</v>
      </c>
      <c r="P934" s="114" t="s">
        <v>309</v>
      </c>
      <c r="Q934" s="2" t="s">
        <v>312</v>
      </c>
      <c r="R934">
        <v>133</v>
      </c>
      <c r="S934" s="2">
        <v>26</v>
      </c>
      <c r="T934" t="s">
        <v>288</v>
      </c>
      <c r="U934" t="s">
        <v>291</v>
      </c>
      <c r="V934" t="s">
        <v>305</v>
      </c>
      <c r="W934" s="32">
        <f>IFERROR(VLOOKUP(TA[[#This Row],[Date]],Raw_Data[[Date]:[Sunset Time (POA&lt;20 W/m2)]],3,0),"")</f>
        <v>0.24236111111111111</v>
      </c>
      <c r="X934" s="32">
        <f>IFERROR(VLOOKUP(TA[[#This Row],[Date]],Raw_Data[[Date]:[Sunset Time (POA&lt;20 W/m2)]],3,0),"")</f>
        <v>0.24236111111111111</v>
      </c>
      <c r="Y934" s="26"/>
      <c r="Z934" s="26">
        <v>0.76041666666666663</v>
      </c>
      <c r="AA934" s="27">
        <f>IF(TA[[#This Row],[Work Start time on Fault]]="NA","",(TA[[#This Row],[Fault Acknowledgement Time ]]-TA[[#This Row],[Fault Time]])*24)</f>
        <v>0</v>
      </c>
      <c r="AB934" s="27">
        <f>(TA[[#This Row],[Work Start time on Fault]]-TA[[#This Row],[Fault Time]])*24</f>
        <v>-5.8166666666666664</v>
      </c>
      <c r="AC934" s="26">
        <f>(TA[[#This Row],[Work Completion time on fault]]-TA[[#This Row],[Fault Time]])*24</f>
        <v>12.433333333333332</v>
      </c>
      <c r="AD934" s="27">
        <f>IFERROR((TA[[#This Row],[Work Completion time on fault]]-TA[[#This Row],[Fault Time]])*24,"")</f>
        <v>12.433333333333332</v>
      </c>
      <c r="AE934" t="s">
        <v>319</v>
      </c>
      <c r="AF934" t="s">
        <v>247</v>
      </c>
      <c r="AG934" s="2"/>
      <c r="AH934" s="35">
        <f>1-COS(RADIANS(TA[[#This Row],[Avg. Target Angle during Fault Time (Radians)]]-TA[[#This Row],[Angle of affected equipment ]]))</f>
        <v>0.11705240714107301</v>
      </c>
      <c r="AI934" s="27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43">
        <f t="shared" si="85"/>
        <v>2026</v>
      </c>
      <c r="C935" s="116">
        <f t="shared" si="86"/>
        <v>2025</v>
      </c>
      <c r="D935" s="2" t="s">
        <v>155</v>
      </c>
      <c r="E935" s="2" t="s">
        <v>155</v>
      </c>
      <c r="F935" s="30">
        <v>45809</v>
      </c>
      <c r="G935" s="2">
        <f>DAY(EOMONTH(TA[[#This Row],[Month Year]],0))</f>
        <v>30</v>
      </c>
      <c r="H935" s="21">
        <v>45809</v>
      </c>
      <c r="I935" s="32">
        <f>IFERROR(VLOOKUP(TA[[#This Row],[Date]],Raw_Data[[Date]:[Sunset Time (POA&lt;20 W/m2)]],3,0),"")</f>
        <v>0.24236111111111111</v>
      </c>
      <c r="J935" s="32">
        <f>IFERROR(VLOOKUP(TA[[#This Row],[Date]],Raw_Data[[Date]:[Sunset Time (POA&lt;20 W/m2)]],4,0),"")</f>
        <v>0.77361111111111114</v>
      </c>
      <c r="K935" s="27">
        <f>IFERROR((TA[[#This Row],[Sunset Time (POA&lt;20 W/m2)]]-TA[[#This Row],[Sunrise Time (POA&gt;20 W/m2)]])*24,"")</f>
        <v>12.75</v>
      </c>
      <c r="L935" s="2" t="s">
        <v>285</v>
      </c>
      <c r="M935" s="33">
        <f>IFERROR(VLOOKUP(TA[[#This Row],[Affected Equipment]],'Basic Data'!$I$2:$K$40,3,0),"")</f>
        <v>1.7241379310344799E-3</v>
      </c>
      <c r="N935">
        <v>-28</v>
      </c>
      <c r="O935" t="s">
        <v>133</v>
      </c>
      <c r="P935" s="114" t="s">
        <v>307</v>
      </c>
      <c r="Q935" s="113" t="s">
        <v>308</v>
      </c>
      <c r="R935">
        <v>7</v>
      </c>
      <c r="S935" s="2">
        <v>32</v>
      </c>
      <c r="T935" t="s">
        <v>286</v>
      </c>
      <c r="U935" t="s">
        <v>291</v>
      </c>
      <c r="V935" t="s">
        <v>289</v>
      </c>
      <c r="W935" s="32"/>
      <c r="X935" s="32"/>
      <c r="Y935" s="26"/>
      <c r="Z935" s="26"/>
      <c r="AA935" s="27">
        <f>IF(TA[[#This Row],[Work Start time on Fault]]="NA","",(TA[[#This Row],[Fault Acknowledgement Time ]]-TA[[#This Row],[Fault Time]])*24)</f>
        <v>0</v>
      </c>
      <c r="AB935" s="27">
        <f>(TA[[#This Row],[Work Start time on Fault]]-TA[[#This Row],[Fault Time]])*24</f>
        <v>0</v>
      </c>
      <c r="AC935" s="26">
        <f>(TA[[#This Row],[Work Completion time on fault]]-TA[[#This Row],[Fault Time]])*24</f>
        <v>0</v>
      </c>
      <c r="AD935" s="27">
        <f>IFERROR((TA[[#This Row],[Work Completion time on fault]]-TA[[#This Row],[Fault Time]])*24,"")</f>
        <v>0</v>
      </c>
      <c r="AE935" t="s">
        <v>319</v>
      </c>
      <c r="AF935" t="s">
        <v>247</v>
      </c>
      <c r="AG935" s="2"/>
      <c r="AH935" s="35">
        <f>1-COS(RADIANS(TA[[#This Row],[Avg. Target Angle during Fault Time (Radians)]]-TA[[#This Row],[Angle of affected equipment ]]))</f>
        <v>0.11705240714107301</v>
      </c>
      <c r="AI935" s="27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43">
        <f t="shared" si="85"/>
        <v>2026</v>
      </c>
      <c r="C936" s="116">
        <f t="shared" si="86"/>
        <v>2025</v>
      </c>
      <c r="D936" s="2" t="s">
        <v>155</v>
      </c>
      <c r="E936" s="2" t="s">
        <v>155</v>
      </c>
      <c r="F936" s="30">
        <v>45809</v>
      </c>
      <c r="G936" s="2">
        <f>DAY(EOMONTH(TA[[#This Row],[Month Year]],0))</f>
        <v>30</v>
      </c>
      <c r="H936" s="21">
        <v>45809</v>
      </c>
      <c r="I936" s="32">
        <f>IFERROR(VLOOKUP(TA[[#This Row],[Date]],Raw_Data[[Date]:[Sunset Time (POA&lt;20 W/m2)]],3,0),"")</f>
        <v>0.24236111111111111</v>
      </c>
      <c r="J936" s="32">
        <f>IFERROR(VLOOKUP(TA[[#This Row],[Date]],Raw_Data[[Date]:[Sunset Time (POA&lt;20 W/m2)]],4,0),"")</f>
        <v>0.77361111111111114</v>
      </c>
      <c r="K936" s="27">
        <f>IFERROR((TA[[#This Row],[Sunset Time (POA&lt;20 W/m2)]]-TA[[#This Row],[Sunrise Time (POA&gt;20 W/m2)]])*24,"")</f>
        <v>12.75</v>
      </c>
      <c r="L936" s="2" t="s">
        <v>285</v>
      </c>
      <c r="M936" s="33">
        <f>IFERROR(VLOOKUP(TA[[#This Row],[Affected Equipment]],'Basic Data'!$I$2:$K$40,3,0),"")</f>
        <v>1.7241379310344799E-3</v>
      </c>
      <c r="N936">
        <v>-28</v>
      </c>
      <c r="O936" t="s">
        <v>137</v>
      </c>
      <c r="P936" s="114" t="s">
        <v>306</v>
      </c>
      <c r="Q936" s="113" t="s">
        <v>310</v>
      </c>
      <c r="R936">
        <v>166</v>
      </c>
      <c r="S936" s="2">
        <v>91</v>
      </c>
      <c r="T936" t="s">
        <v>286</v>
      </c>
      <c r="U936" t="s">
        <v>291</v>
      </c>
      <c r="V936" t="s">
        <v>289</v>
      </c>
      <c r="W936" s="32"/>
      <c r="X936" s="32"/>
      <c r="Y936" s="26"/>
      <c r="Z936" s="26"/>
      <c r="AA936" s="27">
        <f>IF(TA[[#This Row],[Work Start time on Fault]]="NA","",(TA[[#This Row],[Fault Acknowledgement Time ]]-TA[[#This Row],[Fault Time]])*24)</f>
        <v>0</v>
      </c>
      <c r="AB936" s="27">
        <f>(TA[[#This Row],[Work Start time on Fault]]-TA[[#This Row],[Fault Time]])*24</f>
        <v>0</v>
      </c>
      <c r="AC936" s="26">
        <f>(TA[[#This Row],[Work Completion time on fault]]-TA[[#This Row],[Fault Time]])*24</f>
        <v>0</v>
      </c>
      <c r="AD936" s="27">
        <f>IFERROR((TA[[#This Row],[Work Completion time on fault]]-TA[[#This Row],[Fault Time]])*24,"")</f>
        <v>0</v>
      </c>
      <c r="AE936" t="s">
        <v>319</v>
      </c>
      <c r="AF936" t="s">
        <v>247</v>
      </c>
      <c r="AG936" s="2"/>
      <c r="AH936" s="35">
        <f>1-COS(RADIANS(TA[[#This Row],[Avg. Target Angle during Fault Time (Radians)]]-TA[[#This Row],[Angle of affected equipment ]]))</f>
        <v>0.11705240714107301</v>
      </c>
      <c r="AI936" s="27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43">
        <f t="shared" si="85"/>
        <v>2026</v>
      </c>
      <c r="C937" s="116">
        <f t="shared" si="86"/>
        <v>2025</v>
      </c>
      <c r="D937" s="2" t="s">
        <v>155</v>
      </c>
      <c r="E937" s="2" t="s">
        <v>155</v>
      </c>
      <c r="F937" s="30">
        <v>45809</v>
      </c>
      <c r="G937" s="2">
        <f>DAY(EOMONTH(TA[[#This Row],[Month Year]],0))</f>
        <v>30</v>
      </c>
      <c r="H937" s="21">
        <v>45809</v>
      </c>
      <c r="I937" s="32">
        <f>IFERROR(VLOOKUP(TA[[#This Row],[Date]],Raw_Data[[Date]:[Sunset Time (POA&lt;20 W/m2)]],3,0),"")</f>
        <v>0.24236111111111111</v>
      </c>
      <c r="J937" s="32">
        <f>IFERROR(VLOOKUP(TA[[#This Row],[Date]],Raw_Data[[Date]:[Sunset Time (POA&lt;20 W/m2)]],4,0),"")</f>
        <v>0.77361111111111114</v>
      </c>
      <c r="K937" s="27">
        <f>IFERROR((TA[[#This Row],[Sunset Time (POA&lt;20 W/m2)]]-TA[[#This Row],[Sunrise Time (POA&gt;20 W/m2)]])*24,"")</f>
        <v>12.75</v>
      </c>
      <c r="L937" s="2" t="s">
        <v>285</v>
      </c>
      <c r="M937" s="33">
        <f>IFERROR(VLOOKUP(TA[[#This Row],[Affected Equipment]],'Basic Data'!$I$2:$K$40,3,0),"")</f>
        <v>1.7241379310344799E-3</v>
      </c>
      <c r="N937">
        <v>-28</v>
      </c>
      <c r="O937" t="s">
        <v>133</v>
      </c>
      <c r="P937" s="114" t="s">
        <v>307</v>
      </c>
      <c r="Q937" s="113" t="s">
        <v>307</v>
      </c>
      <c r="R937">
        <v>117</v>
      </c>
      <c r="S937" s="2">
        <v>20</v>
      </c>
      <c r="T937" t="s">
        <v>286</v>
      </c>
      <c r="U937" t="s">
        <v>291</v>
      </c>
      <c r="V937" t="s">
        <v>289</v>
      </c>
      <c r="W937" s="32"/>
      <c r="X937" s="32"/>
      <c r="Y937" s="26"/>
      <c r="Z937" s="26"/>
      <c r="AA937" s="27">
        <f>IF(TA[[#This Row],[Work Start time on Fault]]="NA","",(TA[[#This Row],[Fault Acknowledgement Time ]]-TA[[#This Row],[Fault Time]])*24)</f>
        <v>0</v>
      </c>
      <c r="AB937" s="27">
        <f>(TA[[#This Row],[Work Start time on Fault]]-TA[[#This Row],[Fault Time]])*24</f>
        <v>0</v>
      </c>
      <c r="AC937" s="26">
        <f>(TA[[#This Row],[Work Completion time on fault]]-TA[[#This Row],[Fault Time]])*24</f>
        <v>0</v>
      </c>
      <c r="AD937" s="27">
        <f>IFERROR((TA[[#This Row],[Work Completion time on fault]]-TA[[#This Row],[Fault Time]])*24,"")</f>
        <v>0</v>
      </c>
      <c r="AE937" t="s">
        <v>319</v>
      </c>
      <c r="AF937" t="s">
        <v>247</v>
      </c>
      <c r="AG937" s="2"/>
      <c r="AH937" s="35">
        <f>1-COS(RADIANS(TA[[#This Row],[Avg. Target Angle during Fault Time (Radians)]]-TA[[#This Row],[Angle of affected equipment ]]))</f>
        <v>0.11705240714107301</v>
      </c>
      <c r="AI937" s="27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43">
        <f t="shared" si="85"/>
        <v>2026</v>
      </c>
      <c r="C938" s="116">
        <f t="shared" si="86"/>
        <v>2025</v>
      </c>
      <c r="D938" s="2" t="s">
        <v>155</v>
      </c>
      <c r="E938" s="2" t="s">
        <v>155</v>
      </c>
      <c r="F938" s="30">
        <v>45809</v>
      </c>
      <c r="G938" s="2">
        <f>DAY(EOMONTH(TA[[#This Row],[Month Year]],0))</f>
        <v>30</v>
      </c>
      <c r="H938" s="21">
        <v>45809</v>
      </c>
      <c r="I938" s="32">
        <f>IFERROR(VLOOKUP(TA[[#This Row],[Date]],Raw_Data[[Date]:[Sunset Time (POA&lt;20 W/m2)]],3,0),"")</f>
        <v>0.24236111111111111</v>
      </c>
      <c r="J938" s="32">
        <f>IFERROR(VLOOKUP(TA[[#This Row],[Date]],Raw_Data[[Date]:[Sunset Time (POA&lt;20 W/m2)]],4,0),"")</f>
        <v>0.77361111111111114</v>
      </c>
      <c r="K938" s="27">
        <f>IFERROR((TA[[#This Row],[Sunset Time (POA&lt;20 W/m2)]]-TA[[#This Row],[Sunrise Time (POA&gt;20 W/m2)]])*24,"")</f>
        <v>12.75</v>
      </c>
      <c r="L938" s="2" t="s">
        <v>285</v>
      </c>
      <c r="M938" s="33">
        <f>IFERROR(VLOOKUP(TA[[#This Row],[Affected Equipment]],'Basic Data'!$I$2:$K$40,3,0),"")</f>
        <v>1.7241379310344799E-3</v>
      </c>
      <c r="N938">
        <v>-28</v>
      </c>
      <c r="O938" t="s">
        <v>133</v>
      </c>
      <c r="P938" s="114" t="s">
        <v>307</v>
      </c>
      <c r="Q938" s="113" t="s">
        <v>307</v>
      </c>
      <c r="R938">
        <v>118</v>
      </c>
      <c r="S938" s="2">
        <v>22</v>
      </c>
      <c r="T938" t="s">
        <v>286</v>
      </c>
      <c r="U938" t="s">
        <v>291</v>
      </c>
      <c r="V938" t="s">
        <v>289</v>
      </c>
      <c r="W938" s="32"/>
      <c r="X938" s="32"/>
      <c r="Y938" s="26"/>
      <c r="Z938" s="26"/>
      <c r="AA938" s="27">
        <f>IF(TA[[#This Row],[Work Start time on Fault]]="NA","",(TA[[#This Row],[Fault Acknowledgement Time ]]-TA[[#This Row],[Fault Time]])*24)</f>
        <v>0</v>
      </c>
      <c r="AB938" s="27">
        <f>(TA[[#This Row],[Work Start time on Fault]]-TA[[#This Row],[Fault Time]])*24</f>
        <v>0</v>
      </c>
      <c r="AC938" s="26">
        <f>(TA[[#This Row],[Work Completion time on fault]]-TA[[#This Row],[Fault Time]])*24</f>
        <v>0</v>
      </c>
      <c r="AD938" s="27">
        <f>IFERROR((TA[[#This Row],[Work Completion time on fault]]-TA[[#This Row],[Fault Time]])*24,"")</f>
        <v>0</v>
      </c>
      <c r="AE938" t="s">
        <v>319</v>
      </c>
      <c r="AF938" t="s">
        <v>247</v>
      </c>
      <c r="AG938" s="2"/>
      <c r="AH938" s="35">
        <f>1-COS(RADIANS(TA[[#This Row],[Avg. Target Angle during Fault Time (Radians)]]-TA[[#This Row],[Angle of affected equipment ]]))</f>
        <v>0.11705240714107301</v>
      </c>
      <c r="AI938" s="27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43">
        <f t="shared" si="85"/>
        <v>2026</v>
      </c>
      <c r="C939" s="116">
        <f t="shared" si="86"/>
        <v>2025</v>
      </c>
      <c r="D939" s="2" t="s">
        <v>155</v>
      </c>
      <c r="E939" s="2" t="s">
        <v>155</v>
      </c>
      <c r="F939" s="30">
        <v>45809</v>
      </c>
      <c r="G939" s="2">
        <f>DAY(EOMONTH(TA[[#This Row],[Month Year]],0))</f>
        <v>30</v>
      </c>
      <c r="H939" s="21">
        <v>45809</v>
      </c>
      <c r="I939" s="32">
        <f>IFERROR(VLOOKUP(TA[[#This Row],[Date]],Raw_Data[[Date]:[Sunset Time (POA&lt;20 W/m2)]],3,0),"")</f>
        <v>0.24236111111111111</v>
      </c>
      <c r="J939" s="32">
        <f>IFERROR(VLOOKUP(TA[[#This Row],[Date]],Raw_Data[[Date]:[Sunset Time (POA&lt;20 W/m2)]],4,0),"")</f>
        <v>0.77361111111111114</v>
      </c>
      <c r="K939" s="27">
        <f>IFERROR((TA[[#This Row],[Sunset Time (POA&lt;20 W/m2)]]-TA[[#This Row],[Sunrise Time (POA&gt;20 W/m2)]])*24,"")</f>
        <v>12.75</v>
      </c>
      <c r="L939" s="2" t="s">
        <v>287</v>
      </c>
      <c r="M939" s="33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314</v>
      </c>
      <c r="Q939" s="2" t="s">
        <v>320</v>
      </c>
      <c r="R939">
        <v>45</v>
      </c>
      <c r="S939" s="2">
        <v>8</v>
      </c>
      <c r="T939" t="s">
        <v>288</v>
      </c>
      <c r="U939" t="s">
        <v>291</v>
      </c>
      <c r="V939" t="s">
        <v>292</v>
      </c>
      <c r="W939" s="32"/>
      <c r="X939" s="32"/>
      <c r="Y939" s="26"/>
      <c r="Z939" s="26"/>
      <c r="AA939" s="27">
        <f>IF(TA[[#This Row],[Work Start time on Fault]]="NA","",(TA[[#This Row],[Fault Acknowledgement Time ]]-TA[[#This Row],[Fault Time]])*24)</f>
        <v>0</v>
      </c>
      <c r="AB939" s="27">
        <f>(TA[[#This Row],[Work Start time on Fault]]-TA[[#This Row],[Fault Time]])*24</f>
        <v>0</v>
      </c>
      <c r="AC939" s="26">
        <f>(TA[[#This Row],[Work Completion time on fault]]-TA[[#This Row],[Fault Time]])*24</f>
        <v>0</v>
      </c>
      <c r="AD939" s="27">
        <f>IFERROR((TA[[#This Row],[Work Completion time on fault]]-TA[[#This Row],[Fault Time]])*24,"")</f>
        <v>0</v>
      </c>
      <c r="AE939" t="s">
        <v>319</v>
      </c>
      <c r="AF939" t="s">
        <v>247</v>
      </c>
      <c r="AG939" s="2"/>
      <c r="AH939" s="35">
        <f>1-COS(RADIANS(TA[[#This Row],[Avg. Target Angle during Fault Time (Radians)]]-TA[[#This Row],[Angle of affected equipment ]]))</f>
        <v>0.11705240714107301</v>
      </c>
      <c r="AI939" s="27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43">
        <f t="shared" si="85"/>
        <v>2026</v>
      </c>
      <c r="C940" s="116">
        <f t="shared" si="86"/>
        <v>2025</v>
      </c>
      <c r="D940" s="2" t="s">
        <v>155</v>
      </c>
      <c r="E940" s="2" t="s">
        <v>155</v>
      </c>
      <c r="F940" s="30">
        <v>45809</v>
      </c>
      <c r="G940" s="2">
        <f>DAY(EOMONTH(TA[[#This Row],[Month Year]],0))</f>
        <v>30</v>
      </c>
      <c r="H940" s="21">
        <v>45809</v>
      </c>
      <c r="I940" s="32">
        <f>IFERROR(VLOOKUP(TA[[#This Row],[Date]],Raw_Data[[Date]:[Sunset Time (POA&lt;20 W/m2)]],3,0),"")</f>
        <v>0.24236111111111111</v>
      </c>
      <c r="J940" s="32">
        <f>IFERROR(VLOOKUP(TA[[#This Row],[Date]],Raw_Data[[Date]:[Sunset Time (POA&lt;20 W/m2)]],4,0),"")</f>
        <v>0.77361111111111114</v>
      </c>
      <c r="K940" s="27">
        <f>IFERROR((TA[[#This Row],[Sunset Time (POA&lt;20 W/m2)]]-TA[[#This Row],[Sunrise Time (POA&gt;20 W/m2)]])*24,"")</f>
        <v>12.75</v>
      </c>
      <c r="L940" s="2" t="s">
        <v>287</v>
      </c>
      <c r="M940" s="33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314</v>
      </c>
      <c r="Q940" s="2" t="s">
        <v>320</v>
      </c>
      <c r="R940">
        <v>47</v>
      </c>
      <c r="S940" s="2">
        <v>18</v>
      </c>
      <c r="T940" t="s">
        <v>288</v>
      </c>
      <c r="U940" t="s">
        <v>291</v>
      </c>
      <c r="V940" t="s">
        <v>292</v>
      </c>
      <c r="W940" s="32"/>
      <c r="X940" s="32"/>
      <c r="Y940" s="26"/>
      <c r="Z940" s="26"/>
      <c r="AA940" s="27">
        <f>IF(TA[[#This Row],[Work Start time on Fault]]="NA","",(TA[[#This Row],[Fault Acknowledgement Time ]]-TA[[#This Row],[Fault Time]])*24)</f>
        <v>0</v>
      </c>
      <c r="AB940" s="27">
        <f>(TA[[#This Row],[Work Start time on Fault]]-TA[[#This Row],[Fault Time]])*24</f>
        <v>0</v>
      </c>
      <c r="AC940" s="26">
        <f>(TA[[#This Row],[Work Completion time on fault]]-TA[[#This Row],[Fault Time]])*24</f>
        <v>0</v>
      </c>
      <c r="AD940" s="27">
        <f>IFERROR((TA[[#This Row],[Work Completion time on fault]]-TA[[#This Row],[Fault Time]])*24,"")</f>
        <v>0</v>
      </c>
      <c r="AE940" t="s">
        <v>319</v>
      </c>
      <c r="AF940" t="s">
        <v>247</v>
      </c>
      <c r="AG940" s="2"/>
      <c r="AH940" s="35">
        <f>1-COS(RADIANS(TA[[#This Row],[Avg. Target Angle during Fault Time (Radians)]]-TA[[#This Row],[Angle of affected equipment ]]))</f>
        <v>0.11705240714107301</v>
      </c>
      <c r="AI940" s="27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43">
        <f t="shared" si="85"/>
        <v>2026</v>
      </c>
      <c r="C941" s="116">
        <f t="shared" si="86"/>
        <v>2025</v>
      </c>
      <c r="D941" s="2" t="s">
        <v>155</v>
      </c>
      <c r="E941" s="2" t="s">
        <v>155</v>
      </c>
      <c r="F941" s="30">
        <v>45809</v>
      </c>
      <c r="G941" s="2">
        <f>DAY(EOMONTH(TA[[#This Row],[Month Year]],0))</f>
        <v>30</v>
      </c>
      <c r="H941" s="21">
        <v>45809</v>
      </c>
      <c r="I941" s="32">
        <f>IFERROR(VLOOKUP(TA[[#This Row],[Date]],Raw_Data[[Date]:[Sunset Time (POA&lt;20 W/m2)]],3,0),"")</f>
        <v>0.24236111111111111</v>
      </c>
      <c r="J941" s="32">
        <f>IFERROR(VLOOKUP(TA[[#This Row],[Date]],Raw_Data[[Date]:[Sunset Time (POA&lt;20 W/m2)]],4,0),"")</f>
        <v>0.77361111111111114</v>
      </c>
      <c r="K941" s="27">
        <f>IFERROR((TA[[#This Row],[Sunset Time (POA&lt;20 W/m2)]]-TA[[#This Row],[Sunrise Time (POA&gt;20 W/m2)]])*24,"")</f>
        <v>12.75</v>
      </c>
      <c r="L941" s="2" t="s">
        <v>287</v>
      </c>
      <c r="M941" s="33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321</v>
      </c>
      <c r="Q941" s="2" t="s">
        <v>314</v>
      </c>
      <c r="R941">
        <v>30</v>
      </c>
      <c r="S941" s="2">
        <v>57</v>
      </c>
      <c r="T941" t="s">
        <v>288</v>
      </c>
      <c r="U941" t="s">
        <v>291</v>
      </c>
      <c r="V941" t="s">
        <v>292</v>
      </c>
      <c r="W941" s="32"/>
      <c r="X941" s="32"/>
      <c r="Y941" s="26"/>
      <c r="Z941" s="26"/>
      <c r="AA941" s="27">
        <f>IF(TA[[#This Row],[Work Start time on Fault]]="NA","",(TA[[#This Row],[Fault Acknowledgement Time ]]-TA[[#This Row],[Fault Time]])*24)</f>
        <v>0</v>
      </c>
      <c r="AB941" s="27">
        <f>(TA[[#This Row],[Work Start time on Fault]]-TA[[#This Row],[Fault Time]])*24</f>
        <v>0</v>
      </c>
      <c r="AC941" s="26">
        <f>(TA[[#This Row],[Work Completion time on fault]]-TA[[#This Row],[Fault Time]])*24</f>
        <v>0</v>
      </c>
      <c r="AD941" s="27">
        <f>IFERROR((TA[[#This Row],[Work Completion time on fault]]-TA[[#This Row],[Fault Time]])*24,"")</f>
        <v>0</v>
      </c>
      <c r="AE941" t="s">
        <v>319</v>
      </c>
      <c r="AF941" t="s">
        <v>247</v>
      </c>
      <c r="AG941" s="2"/>
      <c r="AH941" s="35">
        <f>1-COS(RADIANS(TA[[#This Row],[Avg. Target Angle during Fault Time (Radians)]]-TA[[#This Row],[Angle of affected equipment ]]))</f>
        <v>0.11705240714107301</v>
      </c>
      <c r="AI941" s="27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43">
        <f t="shared" si="85"/>
        <v>2026</v>
      </c>
      <c r="C942" s="116">
        <f t="shared" si="86"/>
        <v>2025</v>
      </c>
      <c r="D942" s="2" t="s">
        <v>155</v>
      </c>
      <c r="E942" s="2" t="s">
        <v>155</v>
      </c>
      <c r="F942" s="30">
        <v>45809</v>
      </c>
      <c r="G942" s="2">
        <f>DAY(EOMONTH(TA[[#This Row],[Month Year]],0))</f>
        <v>30</v>
      </c>
      <c r="H942" s="21">
        <v>45809</v>
      </c>
      <c r="I942" s="32">
        <f>IFERROR(VLOOKUP(TA[[#This Row],[Date]],Raw_Data[[Date]:[Sunset Time (POA&lt;20 W/m2)]],3,0),"")</f>
        <v>0.24236111111111111</v>
      </c>
      <c r="J942" s="32">
        <f>IFERROR(VLOOKUP(TA[[#This Row],[Date]],Raw_Data[[Date]:[Sunset Time (POA&lt;20 W/m2)]],4,0),"")</f>
        <v>0.77361111111111114</v>
      </c>
      <c r="K942" s="27">
        <f>IFERROR((TA[[#This Row],[Sunset Time (POA&lt;20 W/m2)]]-TA[[#This Row],[Sunrise Time (POA&gt;20 W/m2)]])*24,"")</f>
        <v>12.75</v>
      </c>
      <c r="L942" s="2" t="s">
        <v>287</v>
      </c>
      <c r="M942" s="33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321</v>
      </c>
      <c r="Q942" s="2" t="s">
        <v>314</v>
      </c>
      <c r="R942">
        <v>31</v>
      </c>
      <c r="S942" s="2">
        <v>61</v>
      </c>
      <c r="T942" t="s">
        <v>288</v>
      </c>
      <c r="U942" t="s">
        <v>291</v>
      </c>
      <c r="V942" t="s">
        <v>292</v>
      </c>
      <c r="W942" s="32"/>
      <c r="X942" s="32"/>
      <c r="Y942" s="26"/>
      <c r="Z942" s="26"/>
      <c r="AA942" s="27">
        <f>IF(TA[[#This Row],[Work Start time on Fault]]="NA","",(TA[[#This Row],[Fault Acknowledgement Time ]]-TA[[#This Row],[Fault Time]])*24)</f>
        <v>0</v>
      </c>
      <c r="AB942" s="27">
        <f>(TA[[#This Row],[Work Start time on Fault]]-TA[[#This Row],[Fault Time]])*24</f>
        <v>0</v>
      </c>
      <c r="AC942" s="26">
        <f>(TA[[#This Row],[Work Completion time on fault]]-TA[[#This Row],[Fault Time]])*24</f>
        <v>0</v>
      </c>
      <c r="AD942" s="27">
        <f>IFERROR((TA[[#This Row],[Work Completion time on fault]]-TA[[#This Row],[Fault Time]])*24,"")</f>
        <v>0</v>
      </c>
      <c r="AE942" t="s">
        <v>319</v>
      </c>
      <c r="AF942" t="s">
        <v>247</v>
      </c>
      <c r="AG942" s="2"/>
      <c r="AH942" s="35">
        <f>1-COS(RADIANS(TA[[#This Row],[Avg. Target Angle during Fault Time (Radians)]]-TA[[#This Row],[Angle of affected equipment ]]))</f>
        <v>0.11705240714107301</v>
      </c>
      <c r="AI942" s="27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43">
        <f t="shared" si="85"/>
        <v>2026</v>
      </c>
      <c r="C943" s="116">
        <f t="shared" si="86"/>
        <v>2025</v>
      </c>
      <c r="D943" s="2" t="s">
        <v>155</v>
      </c>
      <c r="E943" s="2" t="s">
        <v>155</v>
      </c>
      <c r="F943" s="30">
        <v>45809</v>
      </c>
      <c r="G943" s="2">
        <f>DAY(EOMONTH(TA[[#This Row],[Month Year]],0))</f>
        <v>30</v>
      </c>
      <c r="H943" s="21">
        <v>45809</v>
      </c>
      <c r="I943" s="32">
        <f>IFERROR(VLOOKUP(TA[[#This Row],[Date]],Raw_Data[[Date]:[Sunset Time (POA&lt;20 W/m2)]],3,0),"")</f>
        <v>0.24236111111111111</v>
      </c>
      <c r="J943" s="32">
        <f>IFERROR(VLOOKUP(TA[[#This Row],[Date]],Raw_Data[[Date]:[Sunset Time (POA&lt;20 W/m2)]],4,0),"")</f>
        <v>0.77361111111111114</v>
      </c>
      <c r="K943" s="27">
        <f>IFERROR((TA[[#This Row],[Sunset Time (POA&lt;20 W/m2)]]-TA[[#This Row],[Sunrise Time (POA&gt;20 W/m2)]])*24,"")</f>
        <v>12.75</v>
      </c>
      <c r="L943" s="2" t="s">
        <v>303</v>
      </c>
      <c r="M943" s="33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321</v>
      </c>
      <c r="Q943" s="2" t="s">
        <v>314</v>
      </c>
      <c r="R943">
        <v>26</v>
      </c>
      <c r="S943" s="2">
        <v>37</v>
      </c>
      <c r="T943" t="s">
        <v>288</v>
      </c>
      <c r="U943" t="s">
        <v>291</v>
      </c>
      <c r="V943" t="s">
        <v>292</v>
      </c>
      <c r="W943" s="32"/>
      <c r="X943" s="32"/>
      <c r="Y943" s="26"/>
      <c r="Z943" s="26"/>
      <c r="AA943" s="27">
        <f>IF(TA[[#This Row],[Work Start time on Fault]]="NA","",(TA[[#This Row],[Fault Acknowledgement Time ]]-TA[[#This Row],[Fault Time]])*24)</f>
        <v>0</v>
      </c>
      <c r="AB943" s="27">
        <f>(TA[[#This Row],[Work Start time on Fault]]-TA[[#This Row],[Fault Time]])*24</f>
        <v>0</v>
      </c>
      <c r="AC943" s="26">
        <f>(TA[[#This Row],[Work Completion time on fault]]-TA[[#This Row],[Fault Time]])*24</f>
        <v>0</v>
      </c>
      <c r="AD943" s="27">
        <f>IFERROR((TA[[#This Row],[Work Completion time on fault]]-TA[[#This Row],[Fault Time]])*24,"")</f>
        <v>0</v>
      </c>
      <c r="AE943" t="s">
        <v>319</v>
      </c>
      <c r="AF943" t="s">
        <v>247</v>
      </c>
      <c r="AG943" s="2"/>
      <c r="AH943" s="35">
        <f>1-COS(RADIANS(TA[[#This Row],[Avg. Target Angle during Fault Time (Radians)]]-TA[[#This Row],[Angle of affected equipment ]]))</f>
        <v>0.11705240714107301</v>
      </c>
      <c r="AI943" s="27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43">
        <f t="shared" si="85"/>
        <v>2026</v>
      </c>
      <c r="C944" s="116">
        <f t="shared" si="86"/>
        <v>2025</v>
      </c>
      <c r="D944" s="2" t="s">
        <v>155</v>
      </c>
      <c r="E944" s="2" t="s">
        <v>155</v>
      </c>
      <c r="F944" s="30">
        <v>45809</v>
      </c>
      <c r="G944" s="2">
        <f>DAY(EOMONTH(TA[[#This Row],[Month Year]],0))</f>
        <v>30</v>
      </c>
      <c r="H944" s="21">
        <v>45809</v>
      </c>
      <c r="I944" s="32">
        <f>IFERROR(VLOOKUP(TA[[#This Row],[Date]],Raw_Data[[Date]:[Sunset Time (POA&lt;20 W/m2)]],3,0),"")</f>
        <v>0.24236111111111111</v>
      </c>
      <c r="J944" s="32">
        <f>IFERROR(VLOOKUP(TA[[#This Row],[Date]],Raw_Data[[Date]:[Sunset Time (POA&lt;20 W/m2)]],4,0),"")</f>
        <v>0.77361111111111114</v>
      </c>
      <c r="K944" s="27">
        <f>IFERROR((TA[[#This Row],[Sunset Time (POA&lt;20 W/m2)]]-TA[[#This Row],[Sunrise Time (POA&gt;20 W/m2)]])*24,"")</f>
        <v>12.75</v>
      </c>
      <c r="L944" s="2" t="s">
        <v>303</v>
      </c>
      <c r="M944" s="33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321</v>
      </c>
      <c r="Q944" s="2" t="s">
        <v>314</v>
      </c>
      <c r="R944">
        <v>27</v>
      </c>
      <c r="S944" s="2">
        <v>42</v>
      </c>
      <c r="T944" t="s">
        <v>288</v>
      </c>
      <c r="U944" t="s">
        <v>291</v>
      </c>
      <c r="V944" t="s">
        <v>292</v>
      </c>
      <c r="W944" s="32">
        <f>IFERROR(VLOOKUP(TA[[#This Row],[Date]],Raw_Data[[Date]:[Sunset Time (POA&lt;20 W/m2)]],3,0),"")</f>
        <v>0.24236111111111111</v>
      </c>
      <c r="X944" s="32">
        <f>IFERROR(VLOOKUP(TA[[#This Row],[Date]],Raw_Data[[Date]:[Sunset Time (POA&lt;20 W/m2)]],3,0),"")</f>
        <v>0.24236111111111111</v>
      </c>
      <c r="Y944" s="26"/>
      <c r="Z944" s="26">
        <v>0.76041666666666663</v>
      </c>
      <c r="AA944" s="27">
        <f>IF(TA[[#This Row],[Work Start time on Fault]]="NA","",(TA[[#This Row],[Fault Acknowledgement Time ]]-TA[[#This Row],[Fault Time]])*24)</f>
        <v>0</v>
      </c>
      <c r="AB944" s="27">
        <f>(TA[[#This Row],[Work Start time on Fault]]-TA[[#This Row],[Fault Time]])*24</f>
        <v>-5.8166666666666664</v>
      </c>
      <c r="AC944" s="26">
        <f>(TA[[#This Row],[Work Completion time on fault]]-TA[[#This Row],[Fault Time]])*24</f>
        <v>12.433333333333332</v>
      </c>
      <c r="AD944" s="27">
        <f>IFERROR((TA[[#This Row],[Work Completion time on fault]]-TA[[#This Row],[Fault Time]])*24,"")</f>
        <v>12.433333333333332</v>
      </c>
      <c r="AE944" t="s">
        <v>300</v>
      </c>
      <c r="AF944" t="s">
        <v>247</v>
      </c>
      <c r="AG944" s="2"/>
      <c r="AH944" s="35">
        <f>1-COS(RADIANS(TA[[#This Row],[Avg. Target Angle during Fault Time (Radians)]]-TA[[#This Row],[Angle of affected equipment ]]))</f>
        <v>0.11705240714107301</v>
      </c>
      <c r="AI944" s="27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43">
        <f t="shared" ref="B945:B957" si="88">YEAR(H945)+IF(MONTH(H945)&gt;=4,1,0)</f>
        <v>2026</v>
      </c>
      <c r="C945" s="116">
        <f t="shared" ref="C945:C957" si="89">YEAR(H945)</f>
        <v>2025</v>
      </c>
      <c r="D945" s="2" t="s">
        <v>155</v>
      </c>
      <c r="E945" s="2" t="s">
        <v>155</v>
      </c>
      <c r="F945" s="30">
        <v>45809</v>
      </c>
      <c r="G945" s="2">
        <f>DAY(EOMONTH(TA[[#This Row],[Month Year]],0))</f>
        <v>30</v>
      </c>
      <c r="H945" s="21">
        <v>45810</v>
      </c>
      <c r="I945" s="32">
        <f>IFERROR(VLOOKUP(TA[[#This Row],[Date]],Raw_Data[[Date]:[Sunset Time (POA&lt;20 W/m2)]],3,0),"")</f>
        <v>0.24166666666666667</v>
      </c>
      <c r="J945" s="32">
        <f>IFERROR(VLOOKUP(TA[[#This Row],[Date]],Raw_Data[[Date]:[Sunset Time (POA&lt;20 W/m2)]],4,0),"")</f>
        <v>0.77083333333333337</v>
      </c>
      <c r="K945" s="27">
        <f>IFERROR((TA[[#This Row],[Sunset Time (POA&lt;20 W/m2)]]-TA[[#This Row],[Sunrise Time (POA&gt;20 W/m2)]])*24,"")</f>
        <v>12.7</v>
      </c>
      <c r="L945" s="2" t="s">
        <v>285</v>
      </c>
      <c r="M945" s="33">
        <f>IFERROR(VLOOKUP(TA[[#This Row],[Affected Equipment]],'Basic Data'!$I$2:$K$40,3,0),"")</f>
        <v>1.7241379310344799E-3</v>
      </c>
      <c r="N945">
        <v>-28</v>
      </c>
      <c r="O945" t="s">
        <v>135</v>
      </c>
      <c r="P945" s="114" t="s">
        <v>309</v>
      </c>
      <c r="Q945" s="113" t="s">
        <v>309</v>
      </c>
      <c r="R945">
        <v>131</v>
      </c>
      <c r="S945" s="2">
        <v>38</v>
      </c>
      <c r="T945" t="s">
        <v>286</v>
      </c>
      <c r="U945" t="s">
        <v>291</v>
      </c>
      <c r="V945" t="s">
        <v>289</v>
      </c>
      <c r="W945" s="32"/>
      <c r="X945" s="32"/>
      <c r="Y945" s="26"/>
      <c r="Z945" s="26"/>
      <c r="AA945" s="27">
        <f>IF(TA[[#This Row],[Work Start time on Fault]]="NA","",(TA[[#This Row],[Fault Acknowledgement Time ]]-TA[[#This Row],[Fault Time]])*24)</f>
        <v>0</v>
      </c>
      <c r="AB945" s="27">
        <f>(TA[[#This Row],[Work Start time on Fault]]-TA[[#This Row],[Fault Time]])*24</f>
        <v>0</v>
      </c>
      <c r="AC945" s="26">
        <f>(TA[[#This Row],[Work Completion time on fault]]-TA[[#This Row],[Fault Time]])*24</f>
        <v>0</v>
      </c>
      <c r="AD945" s="27">
        <f>IFERROR((TA[[#This Row],[Work Completion time on fault]]-TA[[#This Row],[Fault Time]])*24,"")</f>
        <v>0</v>
      </c>
      <c r="AE945" t="s">
        <v>319</v>
      </c>
      <c r="AF945" t="s">
        <v>247</v>
      </c>
      <c r="AG945" s="2"/>
      <c r="AH945" s="35">
        <f>1-COS(RADIANS(TA[[#This Row],[Avg. Target Angle during Fault Time (Radians)]]-TA[[#This Row],[Angle of affected equipment ]]))</f>
        <v>0.11705240714107301</v>
      </c>
      <c r="AI945" s="27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43">
        <f t="shared" si="88"/>
        <v>2026</v>
      </c>
      <c r="C946" s="116">
        <f t="shared" si="89"/>
        <v>2025</v>
      </c>
      <c r="D946" s="2" t="s">
        <v>155</v>
      </c>
      <c r="E946" s="2" t="s">
        <v>155</v>
      </c>
      <c r="F946" s="30">
        <v>45809</v>
      </c>
      <c r="G946" s="2">
        <f>DAY(EOMONTH(TA[[#This Row],[Month Year]],0))</f>
        <v>30</v>
      </c>
      <c r="H946" s="21">
        <v>45810</v>
      </c>
      <c r="I946" s="32">
        <f>IFERROR(VLOOKUP(TA[[#This Row],[Date]],Raw_Data[[Date]:[Sunset Time (POA&lt;20 W/m2)]],3,0),"")</f>
        <v>0.24166666666666667</v>
      </c>
      <c r="J946" s="32">
        <f>IFERROR(VLOOKUP(TA[[#This Row],[Date]],Raw_Data[[Date]:[Sunset Time (POA&lt;20 W/m2)]],4,0),"")</f>
        <v>0.77083333333333337</v>
      </c>
      <c r="K946" s="27">
        <f>IFERROR((TA[[#This Row],[Sunset Time (POA&lt;20 W/m2)]]-TA[[#This Row],[Sunrise Time (POA&gt;20 W/m2)]])*24,"")</f>
        <v>12.7</v>
      </c>
      <c r="L946" s="2" t="s">
        <v>285</v>
      </c>
      <c r="M946" s="33">
        <f>IFERROR(VLOOKUP(TA[[#This Row],[Affected Equipment]],'Basic Data'!$I$2:$K$40,3,0),"")</f>
        <v>1.7241379310344799E-3</v>
      </c>
      <c r="N946">
        <v>-28</v>
      </c>
      <c r="O946" t="s">
        <v>135</v>
      </c>
      <c r="P946" s="114" t="s">
        <v>309</v>
      </c>
      <c r="Q946" s="113" t="s">
        <v>309</v>
      </c>
      <c r="R946">
        <v>131</v>
      </c>
      <c r="S946" s="2">
        <v>39</v>
      </c>
      <c r="T946" t="s">
        <v>286</v>
      </c>
      <c r="U946" t="s">
        <v>291</v>
      </c>
      <c r="V946" t="s">
        <v>289</v>
      </c>
      <c r="W946" s="32"/>
      <c r="X946" s="32"/>
      <c r="Y946" s="26"/>
      <c r="Z946" s="26"/>
      <c r="AA946" s="27">
        <f>IF(TA[[#This Row],[Work Start time on Fault]]="NA","",(TA[[#This Row],[Fault Acknowledgement Time ]]-TA[[#This Row],[Fault Time]])*24)</f>
        <v>0</v>
      </c>
      <c r="AB946" s="27">
        <f>(TA[[#This Row],[Work Start time on Fault]]-TA[[#This Row],[Fault Time]])*24</f>
        <v>0</v>
      </c>
      <c r="AC946" s="26">
        <f>(TA[[#This Row],[Work Completion time on fault]]-TA[[#This Row],[Fault Time]])*24</f>
        <v>0</v>
      </c>
      <c r="AD946" s="27">
        <f>IFERROR((TA[[#This Row],[Work Completion time on fault]]-TA[[#This Row],[Fault Time]])*24,"")</f>
        <v>0</v>
      </c>
      <c r="AE946" t="s">
        <v>319</v>
      </c>
      <c r="AF946" t="s">
        <v>247</v>
      </c>
      <c r="AG946" s="2"/>
      <c r="AH946" s="35">
        <f>1-COS(RADIANS(TA[[#This Row],[Avg. Target Angle during Fault Time (Radians)]]-TA[[#This Row],[Angle of affected equipment ]]))</f>
        <v>0.11705240714107301</v>
      </c>
      <c r="AI946" s="27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43">
        <f t="shared" si="88"/>
        <v>2026</v>
      </c>
      <c r="C947" s="116">
        <f t="shared" si="89"/>
        <v>2025</v>
      </c>
      <c r="D947" s="2" t="s">
        <v>155</v>
      </c>
      <c r="E947" s="2" t="s">
        <v>155</v>
      </c>
      <c r="F947" s="30">
        <v>45809</v>
      </c>
      <c r="G947" s="2">
        <f>DAY(EOMONTH(TA[[#This Row],[Month Year]],0))</f>
        <v>30</v>
      </c>
      <c r="H947" s="21">
        <v>45810</v>
      </c>
      <c r="I947" s="32">
        <f>IFERROR(VLOOKUP(TA[[#This Row],[Date]],Raw_Data[[Date]:[Sunset Time (POA&lt;20 W/m2)]],3,0),"")</f>
        <v>0.24166666666666667</v>
      </c>
      <c r="J947" s="32">
        <f>IFERROR(VLOOKUP(TA[[#This Row],[Date]],Raw_Data[[Date]:[Sunset Time (POA&lt;20 W/m2)]],4,0),"")</f>
        <v>0.77083333333333337</v>
      </c>
      <c r="K947" s="27">
        <f>IFERROR((TA[[#This Row],[Sunset Time (POA&lt;20 W/m2)]]-TA[[#This Row],[Sunrise Time (POA&gt;20 W/m2)]])*24,"")</f>
        <v>12.7</v>
      </c>
      <c r="L947" s="2" t="s">
        <v>287</v>
      </c>
      <c r="M947" s="33">
        <f>IFERROR(VLOOKUP(TA[[#This Row],[Affected Equipment]],'Basic Data'!$I$2:$K$40,3,0),"")</f>
        <v>8.6206896551724102E-3</v>
      </c>
      <c r="N947">
        <v>-28</v>
      </c>
      <c r="O947" t="s">
        <v>135</v>
      </c>
      <c r="P947" s="114" t="s">
        <v>309</v>
      </c>
      <c r="Q947" s="2" t="s">
        <v>312</v>
      </c>
      <c r="R947">
        <v>133</v>
      </c>
      <c r="S947" s="2">
        <v>26</v>
      </c>
      <c r="T947" t="s">
        <v>288</v>
      </c>
      <c r="U947" t="s">
        <v>291</v>
      </c>
      <c r="V947" t="s">
        <v>305</v>
      </c>
      <c r="W947" s="32">
        <f>IFERROR(VLOOKUP(TA[[#This Row],[Date]],Raw_Data[[Date]:[Sunset Time (POA&lt;20 W/m2)]],3,0),"")</f>
        <v>0.24166666666666667</v>
      </c>
      <c r="X947" s="32">
        <f>IFERROR(VLOOKUP(TA[[#This Row],[Date]],Raw_Data[[Date]:[Sunset Time (POA&lt;20 W/m2)]],3,0),"")</f>
        <v>0.24166666666666667</v>
      </c>
      <c r="Y947" s="26"/>
      <c r="Z947" s="26">
        <v>0.76041666666666663</v>
      </c>
      <c r="AA947" s="27">
        <f>IF(TA[[#This Row],[Work Start time on Fault]]="NA","",(TA[[#This Row],[Fault Acknowledgement Time ]]-TA[[#This Row],[Fault Time]])*24)</f>
        <v>0</v>
      </c>
      <c r="AB947" s="27">
        <f>(TA[[#This Row],[Work Start time on Fault]]-TA[[#This Row],[Fault Time]])*24</f>
        <v>-5.8</v>
      </c>
      <c r="AC947" s="26">
        <f>(TA[[#This Row],[Work Completion time on fault]]-TA[[#This Row],[Fault Time]])*24</f>
        <v>12.45</v>
      </c>
      <c r="AD947" s="27">
        <f>IFERROR((TA[[#This Row],[Work Completion time on fault]]-TA[[#This Row],[Fault Time]])*24,"")</f>
        <v>12.45</v>
      </c>
      <c r="AE947" t="s">
        <v>319</v>
      </c>
      <c r="AF947" t="s">
        <v>247</v>
      </c>
      <c r="AG947" s="2"/>
      <c r="AH947" s="35">
        <f>1-COS(RADIANS(TA[[#This Row],[Avg. Target Angle during Fault Time (Radians)]]-TA[[#This Row],[Angle of affected equipment ]]))</f>
        <v>0.11705240714107301</v>
      </c>
      <c r="AI947" s="27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43">
        <f t="shared" si="88"/>
        <v>2026</v>
      </c>
      <c r="C948" s="116">
        <f t="shared" si="89"/>
        <v>2025</v>
      </c>
      <c r="D948" s="2" t="s">
        <v>155</v>
      </c>
      <c r="E948" s="2" t="s">
        <v>155</v>
      </c>
      <c r="F948" s="30">
        <v>45809</v>
      </c>
      <c r="G948" s="2">
        <f>DAY(EOMONTH(TA[[#This Row],[Month Year]],0))</f>
        <v>30</v>
      </c>
      <c r="H948" s="21">
        <v>45810</v>
      </c>
      <c r="I948" s="32">
        <f>IFERROR(VLOOKUP(TA[[#This Row],[Date]],Raw_Data[[Date]:[Sunset Time (POA&lt;20 W/m2)]],3,0),"")</f>
        <v>0.24166666666666667</v>
      </c>
      <c r="J948" s="32">
        <f>IFERROR(VLOOKUP(TA[[#This Row],[Date]],Raw_Data[[Date]:[Sunset Time (POA&lt;20 W/m2)]],4,0),"")</f>
        <v>0.77083333333333337</v>
      </c>
      <c r="K948" s="27">
        <f>IFERROR((TA[[#This Row],[Sunset Time (POA&lt;20 W/m2)]]-TA[[#This Row],[Sunrise Time (POA&gt;20 W/m2)]])*24,"")</f>
        <v>12.7</v>
      </c>
      <c r="L948" s="2" t="s">
        <v>285</v>
      </c>
      <c r="M948" s="33">
        <f>IFERROR(VLOOKUP(TA[[#This Row],[Affected Equipment]],'Basic Data'!$I$2:$K$40,3,0),"")</f>
        <v>1.7241379310344799E-3</v>
      </c>
      <c r="N948">
        <v>-28</v>
      </c>
      <c r="O948" t="s">
        <v>133</v>
      </c>
      <c r="P948" s="114" t="s">
        <v>307</v>
      </c>
      <c r="Q948" s="113" t="s">
        <v>308</v>
      </c>
      <c r="R948">
        <v>7</v>
      </c>
      <c r="S948" s="2">
        <v>32</v>
      </c>
      <c r="T948" t="s">
        <v>286</v>
      </c>
      <c r="U948" t="s">
        <v>291</v>
      </c>
      <c r="V948" t="s">
        <v>289</v>
      </c>
      <c r="W948" s="32"/>
      <c r="X948" s="32"/>
      <c r="Y948" s="26"/>
      <c r="Z948" s="26"/>
      <c r="AA948" s="27">
        <f>IF(TA[[#This Row],[Work Start time on Fault]]="NA","",(TA[[#This Row],[Fault Acknowledgement Time ]]-TA[[#This Row],[Fault Time]])*24)</f>
        <v>0</v>
      </c>
      <c r="AB948" s="27">
        <f>(TA[[#This Row],[Work Start time on Fault]]-TA[[#This Row],[Fault Time]])*24</f>
        <v>0</v>
      </c>
      <c r="AC948" s="26">
        <f>(TA[[#This Row],[Work Completion time on fault]]-TA[[#This Row],[Fault Time]])*24</f>
        <v>0</v>
      </c>
      <c r="AD948" s="27">
        <f>IFERROR((TA[[#This Row],[Work Completion time on fault]]-TA[[#This Row],[Fault Time]])*24,"")</f>
        <v>0</v>
      </c>
      <c r="AE948" t="s">
        <v>319</v>
      </c>
      <c r="AF948" t="s">
        <v>247</v>
      </c>
      <c r="AG948" s="2"/>
      <c r="AH948" s="35">
        <f>1-COS(RADIANS(TA[[#This Row],[Avg. Target Angle during Fault Time (Radians)]]-TA[[#This Row],[Angle of affected equipment ]]))</f>
        <v>0.11705240714107301</v>
      </c>
      <c r="AI948" s="27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43">
        <f t="shared" si="88"/>
        <v>2026</v>
      </c>
      <c r="C949" s="116">
        <f t="shared" si="89"/>
        <v>2025</v>
      </c>
      <c r="D949" s="2" t="s">
        <v>155</v>
      </c>
      <c r="E949" s="2" t="s">
        <v>155</v>
      </c>
      <c r="F949" s="30">
        <v>45809</v>
      </c>
      <c r="G949" s="2">
        <f>DAY(EOMONTH(TA[[#This Row],[Month Year]],0))</f>
        <v>30</v>
      </c>
      <c r="H949" s="21">
        <v>45810</v>
      </c>
      <c r="I949" s="32">
        <f>IFERROR(VLOOKUP(TA[[#This Row],[Date]],Raw_Data[[Date]:[Sunset Time (POA&lt;20 W/m2)]],3,0),"")</f>
        <v>0.24166666666666667</v>
      </c>
      <c r="J949" s="32">
        <f>IFERROR(VLOOKUP(TA[[#This Row],[Date]],Raw_Data[[Date]:[Sunset Time (POA&lt;20 W/m2)]],4,0),"")</f>
        <v>0.77083333333333337</v>
      </c>
      <c r="K949" s="27">
        <f>IFERROR((TA[[#This Row],[Sunset Time (POA&lt;20 W/m2)]]-TA[[#This Row],[Sunrise Time (POA&gt;20 W/m2)]])*24,"")</f>
        <v>12.7</v>
      </c>
      <c r="L949" s="2" t="s">
        <v>285</v>
      </c>
      <c r="M949" s="33">
        <f>IFERROR(VLOOKUP(TA[[#This Row],[Affected Equipment]],'Basic Data'!$I$2:$K$40,3,0),"")</f>
        <v>1.7241379310344799E-3</v>
      </c>
      <c r="N949">
        <v>-28</v>
      </c>
      <c r="O949" t="s">
        <v>137</v>
      </c>
      <c r="P949" s="114" t="s">
        <v>306</v>
      </c>
      <c r="Q949" s="113" t="s">
        <v>310</v>
      </c>
      <c r="R949">
        <v>166</v>
      </c>
      <c r="S949" s="2">
        <v>91</v>
      </c>
      <c r="T949" t="s">
        <v>286</v>
      </c>
      <c r="U949" t="s">
        <v>291</v>
      </c>
      <c r="V949" t="s">
        <v>289</v>
      </c>
      <c r="W949" s="32"/>
      <c r="X949" s="32"/>
      <c r="Y949" s="26"/>
      <c r="Z949" s="26"/>
      <c r="AA949" s="27">
        <f>IF(TA[[#This Row],[Work Start time on Fault]]="NA","",(TA[[#This Row],[Fault Acknowledgement Time ]]-TA[[#This Row],[Fault Time]])*24)</f>
        <v>0</v>
      </c>
      <c r="AB949" s="27">
        <f>(TA[[#This Row],[Work Start time on Fault]]-TA[[#This Row],[Fault Time]])*24</f>
        <v>0</v>
      </c>
      <c r="AC949" s="26">
        <f>(TA[[#This Row],[Work Completion time on fault]]-TA[[#This Row],[Fault Time]])*24</f>
        <v>0</v>
      </c>
      <c r="AD949" s="27">
        <f>IFERROR((TA[[#This Row],[Work Completion time on fault]]-TA[[#This Row],[Fault Time]])*24,"")</f>
        <v>0</v>
      </c>
      <c r="AE949" t="s">
        <v>319</v>
      </c>
      <c r="AF949" t="s">
        <v>247</v>
      </c>
      <c r="AG949" s="2"/>
      <c r="AH949" s="35">
        <f>1-COS(RADIANS(TA[[#This Row],[Avg. Target Angle during Fault Time (Radians)]]-TA[[#This Row],[Angle of affected equipment ]]))</f>
        <v>0.11705240714107301</v>
      </c>
      <c r="AI949" s="27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43">
        <f t="shared" si="88"/>
        <v>2026</v>
      </c>
      <c r="C950" s="116">
        <f t="shared" si="89"/>
        <v>2025</v>
      </c>
      <c r="D950" s="2" t="s">
        <v>155</v>
      </c>
      <c r="E950" s="2" t="s">
        <v>155</v>
      </c>
      <c r="F950" s="30">
        <v>45809</v>
      </c>
      <c r="G950" s="2">
        <f>DAY(EOMONTH(TA[[#This Row],[Month Year]],0))</f>
        <v>30</v>
      </c>
      <c r="H950" s="21">
        <v>45810</v>
      </c>
      <c r="I950" s="32">
        <f>IFERROR(VLOOKUP(TA[[#This Row],[Date]],Raw_Data[[Date]:[Sunset Time (POA&lt;20 W/m2)]],3,0),"")</f>
        <v>0.24166666666666667</v>
      </c>
      <c r="J950" s="32">
        <f>IFERROR(VLOOKUP(TA[[#This Row],[Date]],Raw_Data[[Date]:[Sunset Time (POA&lt;20 W/m2)]],4,0),"")</f>
        <v>0.77083333333333337</v>
      </c>
      <c r="K950" s="27">
        <f>IFERROR((TA[[#This Row],[Sunset Time (POA&lt;20 W/m2)]]-TA[[#This Row],[Sunrise Time (POA&gt;20 W/m2)]])*24,"")</f>
        <v>12.7</v>
      </c>
      <c r="L950" s="2" t="s">
        <v>285</v>
      </c>
      <c r="M950" s="33">
        <f>IFERROR(VLOOKUP(TA[[#This Row],[Affected Equipment]],'Basic Data'!$I$2:$K$40,3,0),"")</f>
        <v>1.7241379310344799E-3</v>
      </c>
      <c r="N950">
        <v>-28</v>
      </c>
      <c r="O950" t="s">
        <v>133</v>
      </c>
      <c r="P950" s="114" t="s">
        <v>307</v>
      </c>
      <c r="Q950" s="113" t="s">
        <v>307</v>
      </c>
      <c r="R950">
        <v>117</v>
      </c>
      <c r="S950" s="2">
        <v>20</v>
      </c>
      <c r="T950" t="s">
        <v>286</v>
      </c>
      <c r="U950" t="s">
        <v>291</v>
      </c>
      <c r="V950" t="s">
        <v>289</v>
      </c>
      <c r="W950" s="32"/>
      <c r="X950" s="32"/>
      <c r="Y950" s="26"/>
      <c r="Z950" s="26"/>
      <c r="AA950" s="27">
        <f>IF(TA[[#This Row],[Work Start time on Fault]]="NA","",(TA[[#This Row],[Fault Acknowledgement Time ]]-TA[[#This Row],[Fault Time]])*24)</f>
        <v>0</v>
      </c>
      <c r="AB950" s="27">
        <f>(TA[[#This Row],[Work Start time on Fault]]-TA[[#This Row],[Fault Time]])*24</f>
        <v>0</v>
      </c>
      <c r="AC950" s="26">
        <f>(TA[[#This Row],[Work Completion time on fault]]-TA[[#This Row],[Fault Time]])*24</f>
        <v>0</v>
      </c>
      <c r="AD950" s="27">
        <f>IFERROR((TA[[#This Row],[Work Completion time on fault]]-TA[[#This Row],[Fault Time]])*24,"")</f>
        <v>0</v>
      </c>
      <c r="AE950" t="s">
        <v>319</v>
      </c>
      <c r="AF950" t="s">
        <v>247</v>
      </c>
      <c r="AG950" s="2"/>
      <c r="AH950" s="35">
        <f>1-COS(RADIANS(TA[[#This Row],[Avg. Target Angle during Fault Time (Radians)]]-TA[[#This Row],[Angle of affected equipment ]]))</f>
        <v>0.11705240714107301</v>
      </c>
      <c r="AI950" s="27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43">
        <f t="shared" si="88"/>
        <v>2026</v>
      </c>
      <c r="C951" s="116">
        <f t="shared" si="89"/>
        <v>2025</v>
      </c>
      <c r="D951" s="2" t="s">
        <v>155</v>
      </c>
      <c r="E951" s="2" t="s">
        <v>155</v>
      </c>
      <c r="F951" s="30">
        <v>45809</v>
      </c>
      <c r="G951" s="2">
        <f>DAY(EOMONTH(TA[[#This Row],[Month Year]],0))</f>
        <v>30</v>
      </c>
      <c r="H951" s="21">
        <v>45810</v>
      </c>
      <c r="I951" s="32">
        <f>IFERROR(VLOOKUP(TA[[#This Row],[Date]],Raw_Data[[Date]:[Sunset Time (POA&lt;20 W/m2)]],3,0),"")</f>
        <v>0.24166666666666667</v>
      </c>
      <c r="J951" s="32">
        <f>IFERROR(VLOOKUP(TA[[#This Row],[Date]],Raw_Data[[Date]:[Sunset Time (POA&lt;20 W/m2)]],4,0),"")</f>
        <v>0.77083333333333337</v>
      </c>
      <c r="K951" s="27">
        <f>IFERROR((TA[[#This Row],[Sunset Time (POA&lt;20 W/m2)]]-TA[[#This Row],[Sunrise Time (POA&gt;20 W/m2)]])*24,"")</f>
        <v>12.7</v>
      </c>
      <c r="L951" s="2" t="s">
        <v>285</v>
      </c>
      <c r="M951" s="33">
        <f>IFERROR(VLOOKUP(TA[[#This Row],[Affected Equipment]],'Basic Data'!$I$2:$K$40,3,0),"")</f>
        <v>1.7241379310344799E-3</v>
      </c>
      <c r="N951">
        <v>-28</v>
      </c>
      <c r="O951" t="s">
        <v>133</v>
      </c>
      <c r="P951" s="114" t="s">
        <v>307</v>
      </c>
      <c r="Q951" s="113" t="s">
        <v>307</v>
      </c>
      <c r="R951">
        <v>118</v>
      </c>
      <c r="S951" s="2">
        <v>22</v>
      </c>
      <c r="T951" t="s">
        <v>286</v>
      </c>
      <c r="U951" t="s">
        <v>291</v>
      </c>
      <c r="V951" t="s">
        <v>289</v>
      </c>
      <c r="W951" s="32"/>
      <c r="X951" s="32"/>
      <c r="Y951" s="26"/>
      <c r="Z951" s="26"/>
      <c r="AA951" s="27">
        <f>IF(TA[[#This Row],[Work Start time on Fault]]="NA","",(TA[[#This Row],[Fault Acknowledgement Time ]]-TA[[#This Row],[Fault Time]])*24)</f>
        <v>0</v>
      </c>
      <c r="AB951" s="27">
        <f>(TA[[#This Row],[Work Start time on Fault]]-TA[[#This Row],[Fault Time]])*24</f>
        <v>0</v>
      </c>
      <c r="AC951" s="26">
        <f>(TA[[#This Row],[Work Completion time on fault]]-TA[[#This Row],[Fault Time]])*24</f>
        <v>0</v>
      </c>
      <c r="AD951" s="27">
        <f>IFERROR((TA[[#This Row],[Work Completion time on fault]]-TA[[#This Row],[Fault Time]])*24,"")</f>
        <v>0</v>
      </c>
      <c r="AE951" t="s">
        <v>319</v>
      </c>
      <c r="AF951" t="s">
        <v>247</v>
      </c>
      <c r="AG951" s="2"/>
      <c r="AH951" s="35">
        <f>1-COS(RADIANS(TA[[#This Row],[Avg. Target Angle during Fault Time (Radians)]]-TA[[#This Row],[Angle of affected equipment ]]))</f>
        <v>0.11705240714107301</v>
      </c>
      <c r="AI951" s="27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43">
        <f t="shared" si="88"/>
        <v>2026</v>
      </c>
      <c r="C952" s="116">
        <f t="shared" si="89"/>
        <v>2025</v>
      </c>
      <c r="D952" s="2" t="s">
        <v>155</v>
      </c>
      <c r="E952" s="2" t="s">
        <v>155</v>
      </c>
      <c r="F952" s="30">
        <v>45809</v>
      </c>
      <c r="G952" s="2">
        <f>DAY(EOMONTH(TA[[#This Row],[Month Year]],0))</f>
        <v>30</v>
      </c>
      <c r="H952" s="21">
        <v>45810</v>
      </c>
      <c r="I952" s="32">
        <f>IFERROR(VLOOKUP(TA[[#This Row],[Date]],Raw_Data[[Date]:[Sunset Time (POA&lt;20 W/m2)]],3,0),"")</f>
        <v>0.24166666666666667</v>
      </c>
      <c r="J952" s="32">
        <f>IFERROR(VLOOKUP(TA[[#This Row],[Date]],Raw_Data[[Date]:[Sunset Time (POA&lt;20 W/m2)]],4,0),"")</f>
        <v>0.77083333333333337</v>
      </c>
      <c r="K952" s="27">
        <f>IFERROR((TA[[#This Row],[Sunset Time (POA&lt;20 W/m2)]]-TA[[#This Row],[Sunrise Time (POA&gt;20 W/m2)]])*24,"")</f>
        <v>12.7</v>
      </c>
      <c r="L952" s="2" t="s">
        <v>287</v>
      </c>
      <c r="M952" s="33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314</v>
      </c>
      <c r="Q952" s="2" t="s">
        <v>320</v>
      </c>
      <c r="R952">
        <v>45</v>
      </c>
      <c r="S952" s="2">
        <v>8</v>
      </c>
      <c r="T952" t="s">
        <v>288</v>
      </c>
      <c r="U952" t="s">
        <v>291</v>
      </c>
      <c r="V952" t="s">
        <v>292</v>
      </c>
      <c r="W952" s="32"/>
      <c r="X952" s="32"/>
      <c r="Y952" s="26"/>
      <c r="Z952" s="26"/>
      <c r="AA952" s="27">
        <f>IF(TA[[#This Row],[Work Start time on Fault]]="NA","",(TA[[#This Row],[Fault Acknowledgement Time ]]-TA[[#This Row],[Fault Time]])*24)</f>
        <v>0</v>
      </c>
      <c r="AB952" s="27">
        <f>(TA[[#This Row],[Work Start time on Fault]]-TA[[#This Row],[Fault Time]])*24</f>
        <v>0</v>
      </c>
      <c r="AC952" s="26">
        <f>(TA[[#This Row],[Work Completion time on fault]]-TA[[#This Row],[Fault Time]])*24</f>
        <v>0</v>
      </c>
      <c r="AD952" s="27">
        <f>IFERROR((TA[[#This Row],[Work Completion time on fault]]-TA[[#This Row],[Fault Time]])*24,"")</f>
        <v>0</v>
      </c>
      <c r="AE952" t="s">
        <v>319</v>
      </c>
      <c r="AF952" t="s">
        <v>247</v>
      </c>
      <c r="AG952" s="2"/>
      <c r="AH952" s="35">
        <f>1-COS(RADIANS(TA[[#This Row],[Avg. Target Angle during Fault Time (Radians)]]-TA[[#This Row],[Angle of affected equipment ]]))</f>
        <v>0.11705240714107301</v>
      </c>
      <c r="AI952" s="27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43">
        <f t="shared" si="88"/>
        <v>2026</v>
      </c>
      <c r="C953" s="116">
        <f t="shared" si="89"/>
        <v>2025</v>
      </c>
      <c r="D953" s="2" t="s">
        <v>155</v>
      </c>
      <c r="E953" s="2" t="s">
        <v>155</v>
      </c>
      <c r="F953" s="30">
        <v>45809</v>
      </c>
      <c r="G953" s="2">
        <f>DAY(EOMONTH(TA[[#This Row],[Month Year]],0))</f>
        <v>30</v>
      </c>
      <c r="H953" s="21">
        <v>45810</v>
      </c>
      <c r="I953" s="32">
        <f>IFERROR(VLOOKUP(TA[[#This Row],[Date]],Raw_Data[[Date]:[Sunset Time (POA&lt;20 W/m2)]],3,0),"")</f>
        <v>0.24166666666666667</v>
      </c>
      <c r="J953" s="32">
        <f>IFERROR(VLOOKUP(TA[[#This Row],[Date]],Raw_Data[[Date]:[Sunset Time (POA&lt;20 W/m2)]],4,0),"")</f>
        <v>0.77083333333333337</v>
      </c>
      <c r="K953" s="27">
        <f>IFERROR((TA[[#This Row],[Sunset Time (POA&lt;20 W/m2)]]-TA[[#This Row],[Sunrise Time (POA&gt;20 W/m2)]])*24,"")</f>
        <v>12.7</v>
      </c>
      <c r="L953" s="2" t="s">
        <v>287</v>
      </c>
      <c r="M953" s="33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314</v>
      </c>
      <c r="Q953" s="2" t="s">
        <v>320</v>
      </c>
      <c r="R953">
        <v>47</v>
      </c>
      <c r="S953" s="2">
        <v>18</v>
      </c>
      <c r="T953" t="s">
        <v>288</v>
      </c>
      <c r="U953" t="s">
        <v>291</v>
      </c>
      <c r="V953" t="s">
        <v>292</v>
      </c>
      <c r="W953" s="32"/>
      <c r="X953" s="32"/>
      <c r="Y953" s="26"/>
      <c r="Z953" s="26"/>
      <c r="AA953" s="27">
        <f>IF(TA[[#This Row],[Work Start time on Fault]]="NA","",(TA[[#This Row],[Fault Acknowledgement Time ]]-TA[[#This Row],[Fault Time]])*24)</f>
        <v>0</v>
      </c>
      <c r="AB953" s="27">
        <f>(TA[[#This Row],[Work Start time on Fault]]-TA[[#This Row],[Fault Time]])*24</f>
        <v>0</v>
      </c>
      <c r="AC953" s="26">
        <f>(TA[[#This Row],[Work Completion time on fault]]-TA[[#This Row],[Fault Time]])*24</f>
        <v>0</v>
      </c>
      <c r="AD953" s="27">
        <f>IFERROR((TA[[#This Row],[Work Completion time on fault]]-TA[[#This Row],[Fault Time]])*24,"")</f>
        <v>0</v>
      </c>
      <c r="AE953" t="s">
        <v>319</v>
      </c>
      <c r="AF953" t="s">
        <v>247</v>
      </c>
      <c r="AG953" s="2"/>
      <c r="AH953" s="35">
        <f>1-COS(RADIANS(TA[[#This Row],[Avg. Target Angle during Fault Time (Radians)]]-TA[[#This Row],[Angle of affected equipment ]]))</f>
        <v>0.11705240714107301</v>
      </c>
      <c r="AI953" s="27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43">
        <f t="shared" si="88"/>
        <v>2026</v>
      </c>
      <c r="C954" s="116">
        <f t="shared" si="89"/>
        <v>2025</v>
      </c>
      <c r="D954" s="2" t="s">
        <v>155</v>
      </c>
      <c r="E954" s="2" t="s">
        <v>155</v>
      </c>
      <c r="F954" s="30">
        <v>45809</v>
      </c>
      <c r="G954" s="2">
        <f>DAY(EOMONTH(TA[[#This Row],[Month Year]],0))</f>
        <v>30</v>
      </c>
      <c r="H954" s="21">
        <v>45810</v>
      </c>
      <c r="I954" s="32">
        <f>IFERROR(VLOOKUP(TA[[#This Row],[Date]],Raw_Data[[Date]:[Sunset Time (POA&lt;20 W/m2)]],3,0),"")</f>
        <v>0.24166666666666667</v>
      </c>
      <c r="J954" s="32">
        <f>IFERROR(VLOOKUP(TA[[#This Row],[Date]],Raw_Data[[Date]:[Sunset Time (POA&lt;20 W/m2)]],4,0),"")</f>
        <v>0.77083333333333337</v>
      </c>
      <c r="K954" s="27">
        <f>IFERROR((TA[[#This Row],[Sunset Time (POA&lt;20 W/m2)]]-TA[[#This Row],[Sunrise Time (POA&gt;20 W/m2)]])*24,"")</f>
        <v>12.7</v>
      </c>
      <c r="L954" s="2" t="s">
        <v>287</v>
      </c>
      <c r="M954" s="33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321</v>
      </c>
      <c r="Q954" s="2" t="s">
        <v>314</v>
      </c>
      <c r="R954">
        <v>30</v>
      </c>
      <c r="S954" s="2">
        <v>57</v>
      </c>
      <c r="T954" t="s">
        <v>288</v>
      </c>
      <c r="U954" t="s">
        <v>291</v>
      </c>
      <c r="V954" t="s">
        <v>292</v>
      </c>
      <c r="W954" s="32"/>
      <c r="X954" s="32"/>
      <c r="Y954" s="26"/>
      <c r="Z954" s="26"/>
      <c r="AA954" s="27">
        <f>IF(TA[[#This Row],[Work Start time on Fault]]="NA","",(TA[[#This Row],[Fault Acknowledgement Time ]]-TA[[#This Row],[Fault Time]])*24)</f>
        <v>0</v>
      </c>
      <c r="AB954" s="27">
        <f>(TA[[#This Row],[Work Start time on Fault]]-TA[[#This Row],[Fault Time]])*24</f>
        <v>0</v>
      </c>
      <c r="AC954" s="26">
        <f>(TA[[#This Row],[Work Completion time on fault]]-TA[[#This Row],[Fault Time]])*24</f>
        <v>0</v>
      </c>
      <c r="AD954" s="27">
        <f>IFERROR((TA[[#This Row],[Work Completion time on fault]]-TA[[#This Row],[Fault Time]])*24,"")</f>
        <v>0</v>
      </c>
      <c r="AE954" t="s">
        <v>319</v>
      </c>
      <c r="AF954" t="s">
        <v>247</v>
      </c>
      <c r="AG954" s="2"/>
      <c r="AH954" s="35">
        <f>1-COS(RADIANS(TA[[#This Row],[Avg. Target Angle during Fault Time (Radians)]]-TA[[#This Row],[Angle of affected equipment ]]))</f>
        <v>0.11705240714107301</v>
      </c>
      <c r="AI954" s="27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43">
        <f t="shared" si="88"/>
        <v>2026</v>
      </c>
      <c r="C955" s="116">
        <f t="shared" si="89"/>
        <v>2025</v>
      </c>
      <c r="D955" s="2" t="s">
        <v>155</v>
      </c>
      <c r="E955" s="2" t="s">
        <v>155</v>
      </c>
      <c r="F955" s="30">
        <v>45809</v>
      </c>
      <c r="G955" s="2">
        <f>DAY(EOMONTH(TA[[#This Row],[Month Year]],0))</f>
        <v>30</v>
      </c>
      <c r="H955" s="21">
        <v>45810</v>
      </c>
      <c r="I955" s="32">
        <f>IFERROR(VLOOKUP(TA[[#This Row],[Date]],Raw_Data[[Date]:[Sunset Time (POA&lt;20 W/m2)]],3,0),"")</f>
        <v>0.24166666666666667</v>
      </c>
      <c r="J955" s="32">
        <f>IFERROR(VLOOKUP(TA[[#This Row],[Date]],Raw_Data[[Date]:[Sunset Time (POA&lt;20 W/m2)]],4,0),"")</f>
        <v>0.77083333333333337</v>
      </c>
      <c r="K955" s="27">
        <f>IFERROR((TA[[#This Row],[Sunset Time (POA&lt;20 W/m2)]]-TA[[#This Row],[Sunrise Time (POA&gt;20 W/m2)]])*24,"")</f>
        <v>12.7</v>
      </c>
      <c r="L955" s="2" t="s">
        <v>287</v>
      </c>
      <c r="M955" s="33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321</v>
      </c>
      <c r="Q955" s="2" t="s">
        <v>314</v>
      </c>
      <c r="R955">
        <v>31</v>
      </c>
      <c r="S955" s="2">
        <v>61</v>
      </c>
      <c r="T955" t="s">
        <v>288</v>
      </c>
      <c r="U955" t="s">
        <v>291</v>
      </c>
      <c r="V955" t="s">
        <v>292</v>
      </c>
      <c r="W955" s="32"/>
      <c r="X955" s="32"/>
      <c r="Y955" s="26"/>
      <c r="Z955" s="26"/>
      <c r="AA955" s="27">
        <f>IF(TA[[#This Row],[Work Start time on Fault]]="NA","",(TA[[#This Row],[Fault Acknowledgement Time ]]-TA[[#This Row],[Fault Time]])*24)</f>
        <v>0</v>
      </c>
      <c r="AB955" s="27">
        <f>(TA[[#This Row],[Work Start time on Fault]]-TA[[#This Row],[Fault Time]])*24</f>
        <v>0</v>
      </c>
      <c r="AC955" s="26">
        <f>(TA[[#This Row],[Work Completion time on fault]]-TA[[#This Row],[Fault Time]])*24</f>
        <v>0</v>
      </c>
      <c r="AD955" s="27">
        <f>IFERROR((TA[[#This Row],[Work Completion time on fault]]-TA[[#This Row],[Fault Time]])*24,"")</f>
        <v>0</v>
      </c>
      <c r="AE955" t="s">
        <v>319</v>
      </c>
      <c r="AF955" t="s">
        <v>247</v>
      </c>
      <c r="AG955" s="2"/>
      <c r="AH955" s="35">
        <f>1-COS(RADIANS(TA[[#This Row],[Avg. Target Angle during Fault Time (Radians)]]-TA[[#This Row],[Angle of affected equipment ]]))</f>
        <v>0.11705240714107301</v>
      </c>
      <c r="AI955" s="27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43">
        <f t="shared" si="88"/>
        <v>2026</v>
      </c>
      <c r="C956" s="116">
        <f t="shared" si="89"/>
        <v>2025</v>
      </c>
      <c r="D956" s="2" t="s">
        <v>155</v>
      </c>
      <c r="E956" s="2" t="s">
        <v>155</v>
      </c>
      <c r="F956" s="30">
        <v>45809</v>
      </c>
      <c r="G956" s="2">
        <f>DAY(EOMONTH(TA[[#This Row],[Month Year]],0))</f>
        <v>30</v>
      </c>
      <c r="H956" s="21">
        <v>45810</v>
      </c>
      <c r="I956" s="32">
        <f>IFERROR(VLOOKUP(TA[[#This Row],[Date]],Raw_Data[[Date]:[Sunset Time (POA&lt;20 W/m2)]],3,0),"")</f>
        <v>0.24166666666666667</v>
      </c>
      <c r="J956" s="32">
        <f>IFERROR(VLOOKUP(TA[[#This Row],[Date]],Raw_Data[[Date]:[Sunset Time (POA&lt;20 W/m2)]],4,0),"")</f>
        <v>0.77083333333333337</v>
      </c>
      <c r="K956" s="27">
        <f>IFERROR((TA[[#This Row],[Sunset Time (POA&lt;20 W/m2)]]-TA[[#This Row],[Sunrise Time (POA&gt;20 W/m2)]])*24,"")</f>
        <v>12.7</v>
      </c>
      <c r="L956" s="2" t="s">
        <v>303</v>
      </c>
      <c r="M956" s="33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321</v>
      </c>
      <c r="Q956" s="2" t="s">
        <v>314</v>
      </c>
      <c r="R956">
        <v>26</v>
      </c>
      <c r="S956" s="2">
        <v>37</v>
      </c>
      <c r="T956" t="s">
        <v>288</v>
      </c>
      <c r="U956" t="s">
        <v>291</v>
      </c>
      <c r="V956" t="s">
        <v>292</v>
      </c>
      <c r="W956" s="32"/>
      <c r="X956" s="32"/>
      <c r="Y956" s="26"/>
      <c r="Z956" s="26"/>
      <c r="AA956" s="27">
        <f>IF(TA[[#This Row],[Work Start time on Fault]]="NA","",(TA[[#This Row],[Fault Acknowledgement Time ]]-TA[[#This Row],[Fault Time]])*24)</f>
        <v>0</v>
      </c>
      <c r="AB956" s="27">
        <f>(TA[[#This Row],[Work Start time on Fault]]-TA[[#This Row],[Fault Time]])*24</f>
        <v>0</v>
      </c>
      <c r="AC956" s="26">
        <f>(TA[[#This Row],[Work Completion time on fault]]-TA[[#This Row],[Fault Time]])*24</f>
        <v>0</v>
      </c>
      <c r="AD956" s="27">
        <f>IFERROR((TA[[#This Row],[Work Completion time on fault]]-TA[[#This Row],[Fault Time]])*24,"")</f>
        <v>0</v>
      </c>
      <c r="AE956" t="s">
        <v>319</v>
      </c>
      <c r="AF956" t="s">
        <v>247</v>
      </c>
      <c r="AG956" s="2"/>
      <c r="AH956" s="35">
        <f>1-COS(RADIANS(TA[[#This Row],[Avg. Target Angle during Fault Time (Radians)]]-TA[[#This Row],[Angle of affected equipment ]]))</f>
        <v>0.11705240714107301</v>
      </c>
      <c r="AI956" s="27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43">
        <f t="shared" si="88"/>
        <v>2026</v>
      </c>
      <c r="C957" s="116">
        <f t="shared" si="89"/>
        <v>2025</v>
      </c>
      <c r="D957" s="2" t="s">
        <v>155</v>
      </c>
      <c r="E957" s="2" t="s">
        <v>155</v>
      </c>
      <c r="F957" s="30">
        <v>45809</v>
      </c>
      <c r="G957" s="2">
        <f>DAY(EOMONTH(TA[[#This Row],[Month Year]],0))</f>
        <v>30</v>
      </c>
      <c r="H957" s="21">
        <v>45810</v>
      </c>
      <c r="I957" s="32">
        <f>IFERROR(VLOOKUP(TA[[#This Row],[Date]],Raw_Data[[Date]:[Sunset Time (POA&lt;20 W/m2)]],3,0),"")</f>
        <v>0.24166666666666667</v>
      </c>
      <c r="J957" s="32">
        <f>IFERROR(VLOOKUP(TA[[#This Row],[Date]],Raw_Data[[Date]:[Sunset Time (POA&lt;20 W/m2)]],4,0),"")</f>
        <v>0.77083333333333337</v>
      </c>
      <c r="K957" s="27">
        <f>IFERROR((TA[[#This Row],[Sunset Time (POA&lt;20 W/m2)]]-TA[[#This Row],[Sunrise Time (POA&gt;20 W/m2)]])*24,"")</f>
        <v>12.7</v>
      </c>
      <c r="L957" s="2" t="s">
        <v>303</v>
      </c>
      <c r="M957" s="33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321</v>
      </c>
      <c r="Q957" s="2" t="s">
        <v>314</v>
      </c>
      <c r="R957">
        <v>27</v>
      </c>
      <c r="S957" s="2">
        <v>42</v>
      </c>
      <c r="T957" t="s">
        <v>288</v>
      </c>
      <c r="U957" t="s">
        <v>291</v>
      </c>
      <c r="V957" t="s">
        <v>292</v>
      </c>
      <c r="W957" s="32">
        <f>IFERROR(VLOOKUP(TA[[#This Row],[Date]],Raw_Data[[Date]:[Sunset Time (POA&lt;20 W/m2)]],3,0),"")</f>
        <v>0.24166666666666667</v>
      </c>
      <c r="X957" s="32">
        <f>IFERROR(VLOOKUP(TA[[#This Row],[Date]],Raw_Data[[Date]:[Sunset Time (POA&lt;20 W/m2)]],3,0),"")</f>
        <v>0.24166666666666667</v>
      </c>
      <c r="Y957" s="26"/>
      <c r="Z957" s="26">
        <v>0.76041666666666663</v>
      </c>
      <c r="AA957" s="27">
        <f>IF(TA[[#This Row],[Work Start time on Fault]]="NA","",(TA[[#This Row],[Fault Acknowledgement Time ]]-TA[[#This Row],[Fault Time]])*24)</f>
        <v>0</v>
      </c>
      <c r="AB957" s="27">
        <f>(TA[[#This Row],[Work Start time on Fault]]-TA[[#This Row],[Fault Time]])*24</f>
        <v>-5.8</v>
      </c>
      <c r="AC957" s="26">
        <f>(TA[[#This Row],[Work Completion time on fault]]-TA[[#This Row],[Fault Time]])*24</f>
        <v>12.45</v>
      </c>
      <c r="AD957" s="27">
        <f>IFERROR((TA[[#This Row],[Work Completion time on fault]]-TA[[#This Row],[Fault Time]])*24,"")</f>
        <v>12.45</v>
      </c>
      <c r="AE957" t="s">
        <v>300</v>
      </c>
      <c r="AF957" t="s">
        <v>247</v>
      </c>
      <c r="AG957" s="2"/>
      <c r="AH957" s="35">
        <f>1-COS(RADIANS(TA[[#This Row],[Avg. Target Angle during Fault Time (Radians)]]-TA[[#This Row],[Angle of affected equipment ]]))</f>
        <v>0.11705240714107301</v>
      </c>
      <c r="AI957" s="27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43">
        <f t="shared" ref="B958:B970" si="90">YEAR(H958)+IF(MONTH(H958)&gt;=4,1,0)</f>
        <v>2026</v>
      </c>
      <c r="C958" s="116">
        <f t="shared" ref="C958:C970" si="91">YEAR(H958)</f>
        <v>2025</v>
      </c>
      <c r="D958" s="2" t="s">
        <v>155</v>
      </c>
      <c r="E958" s="2" t="s">
        <v>155</v>
      </c>
      <c r="F958" s="30">
        <v>45809</v>
      </c>
      <c r="G958" s="2">
        <f>DAY(EOMONTH(TA[[#This Row],[Month Year]],0))</f>
        <v>30</v>
      </c>
      <c r="H958" s="21">
        <v>45811</v>
      </c>
      <c r="I958" s="32">
        <f>IFERROR(VLOOKUP(TA[[#This Row],[Date]],Raw_Data[[Date]:[Sunset Time (POA&lt;20 W/m2)]],3,0),"")</f>
        <v>0.24374999999999999</v>
      </c>
      <c r="J958" s="32">
        <f>IFERROR(VLOOKUP(TA[[#This Row],[Date]],Raw_Data[[Date]:[Sunset Time (POA&lt;20 W/m2)]],4,0),"")</f>
        <v>0.77361111111111114</v>
      </c>
      <c r="K958" s="27">
        <f>IFERROR((TA[[#This Row],[Sunset Time (POA&lt;20 W/m2)]]-TA[[#This Row],[Sunrise Time (POA&gt;20 W/m2)]])*24,"")</f>
        <v>12.716666666666667</v>
      </c>
      <c r="L958" s="2" t="s">
        <v>285</v>
      </c>
      <c r="M958" s="33">
        <f>IFERROR(VLOOKUP(TA[[#This Row],[Affected Equipment]],'Basic Data'!$I$2:$K$40,3,0),"")</f>
        <v>1.7241379310344799E-3</v>
      </c>
      <c r="N958">
        <v>-28</v>
      </c>
      <c r="O958" t="s">
        <v>135</v>
      </c>
      <c r="P958" s="114" t="s">
        <v>309</v>
      </c>
      <c r="Q958" s="113" t="s">
        <v>309</v>
      </c>
      <c r="R958">
        <v>131</v>
      </c>
      <c r="S958" s="2">
        <v>38</v>
      </c>
      <c r="T958" t="s">
        <v>286</v>
      </c>
      <c r="U958" t="s">
        <v>291</v>
      </c>
      <c r="V958" t="s">
        <v>289</v>
      </c>
      <c r="W958" s="32"/>
      <c r="X958" s="32"/>
      <c r="Y958" s="26"/>
      <c r="Z958" s="26"/>
      <c r="AA958" s="27">
        <f>IF(TA[[#This Row],[Work Start time on Fault]]="NA","",(TA[[#This Row],[Fault Acknowledgement Time ]]-TA[[#This Row],[Fault Time]])*24)</f>
        <v>0</v>
      </c>
      <c r="AB958" s="27">
        <f>(TA[[#This Row],[Work Start time on Fault]]-TA[[#This Row],[Fault Time]])*24</f>
        <v>0</v>
      </c>
      <c r="AC958" s="26">
        <f>(TA[[#This Row],[Work Completion time on fault]]-TA[[#This Row],[Fault Time]])*24</f>
        <v>0</v>
      </c>
      <c r="AD958" s="27">
        <f>IFERROR((TA[[#This Row],[Work Completion time on fault]]-TA[[#This Row],[Fault Time]])*24,"")</f>
        <v>0</v>
      </c>
      <c r="AE958" t="s">
        <v>319</v>
      </c>
      <c r="AF958" t="s">
        <v>247</v>
      </c>
      <c r="AG958" s="2"/>
      <c r="AH958" s="35">
        <f>1-COS(RADIANS(TA[[#This Row],[Avg. Target Angle during Fault Time (Radians)]]-TA[[#This Row],[Angle of affected equipment ]]))</f>
        <v>0.11705240714107301</v>
      </c>
      <c r="AI958" s="27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43">
        <f t="shared" si="90"/>
        <v>2026</v>
      </c>
      <c r="C959" s="116">
        <f t="shared" si="91"/>
        <v>2025</v>
      </c>
      <c r="D959" s="2" t="s">
        <v>155</v>
      </c>
      <c r="E959" s="2" t="s">
        <v>155</v>
      </c>
      <c r="F959" s="30">
        <v>45809</v>
      </c>
      <c r="G959" s="2">
        <f>DAY(EOMONTH(TA[[#This Row],[Month Year]],0))</f>
        <v>30</v>
      </c>
      <c r="H959" s="21">
        <v>45811</v>
      </c>
      <c r="I959" s="32">
        <f>IFERROR(VLOOKUP(TA[[#This Row],[Date]],Raw_Data[[Date]:[Sunset Time (POA&lt;20 W/m2)]],3,0),"")</f>
        <v>0.24374999999999999</v>
      </c>
      <c r="J959" s="32">
        <f>IFERROR(VLOOKUP(TA[[#This Row],[Date]],Raw_Data[[Date]:[Sunset Time (POA&lt;20 W/m2)]],4,0),"")</f>
        <v>0.77361111111111114</v>
      </c>
      <c r="K959" s="27">
        <f>IFERROR((TA[[#This Row],[Sunset Time (POA&lt;20 W/m2)]]-TA[[#This Row],[Sunrise Time (POA&gt;20 W/m2)]])*24,"")</f>
        <v>12.716666666666667</v>
      </c>
      <c r="L959" s="2" t="s">
        <v>285</v>
      </c>
      <c r="M959" s="33">
        <f>IFERROR(VLOOKUP(TA[[#This Row],[Affected Equipment]],'Basic Data'!$I$2:$K$40,3,0),"")</f>
        <v>1.7241379310344799E-3</v>
      </c>
      <c r="N959">
        <v>-28</v>
      </c>
      <c r="O959" t="s">
        <v>135</v>
      </c>
      <c r="P959" s="114" t="s">
        <v>309</v>
      </c>
      <c r="Q959" s="113" t="s">
        <v>309</v>
      </c>
      <c r="R959">
        <v>131</v>
      </c>
      <c r="S959" s="2">
        <v>39</v>
      </c>
      <c r="T959" t="s">
        <v>286</v>
      </c>
      <c r="U959" t="s">
        <v>291</v>
      </c>
      <c r="V959" t="s">
        <v>289</v>
      </c>
      <c r="W959" s="32"/>
      <c r="X959" s="32"/>
      <c r="Y959" s="26"/>
      <c r="Z959" s="26"/>
      <c r="AA959" s="27">
        <f>IF(TA[[#This Row],[Work Start time on Fault]]="NA","",(TA[[#This Row],[Fault Acknowledgement Time ]]-TA[[#This Row],[Fault Time]])*24)</f>
        <v>0</v>
      </c>
      <c r="AB959" s="27">
        <f>(TA[[#This Row],[Work Start time on Fault]]-TA[[#This Row],[Fault Time]])*24</f>
        <v>0</v>
      </c>
      <c r="AC959" s="26">
        <f>(TA[[#This Row],[Work Completion time on fault]]-TA[[#This Row],[Fault Time]])*24</f>
        <v>0</v>
      </c>
      <c r="AD959" s="27">
        <f>IFERROR((TA[[#This Row],[Work Completion time on fault]]-TA[[#This Row],[Fault Time]])*24,"")</f>
        <v>0</v>
      </c>
      <c r="AE959" t="s">
        <v>319</v>
      </c>
      <c r="AF959" t="s">
        <v>247</v>
      </c>
      <c r="AG959" s="2"/>
      <c r="AH959" s="35">
        <f>1-COS(RADIANS(TA[[#This Row],[Avg. Target Angle during Fault Time (Radians)]]-TA[[#This Row],[Angle of affected equipment ]]))</f>
        <v>0.11705240714107301</v>
      </c>
      <c r="AI959" s="27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43">
        <f t="shared" si="90"/>
        <v>2026</v>
      </c>
      <c r="C960" s="116">
        <f t="shared" si="91"/>
        <v>2025</v>
      </c>
      <c r="D960" s="2" t="s">
        <v>155</v>
      </c>
      <c r="E960" s="2" t="s">
        <v>155</v>
      </c>
      <c r="F960" s="30">
        <v>45809</v>
      </c>
      <c r="G960" s="2">
        <f>DAY(EOMONTH(TA[[#This Row],[Month Year]],0))</f>
        <v>30</v>
      </c>
      <c r="H960" s="21">
        <v>45811</v>
      </c>
      <c r="I960" s="32">
        <f>IFERROR(VLOOKUP(TA[[#This Row],[Date]],Raw_Data[[Date]:[Sunset Time (POA&lt;20 W/m2)]],3,0),"")</f>
        <v>0.24374999999999999</v>
      </c>
      <c r="J960" s="32">
        <f>IFERROR(VLOOKUP(TA[[#This Row],[Date]],Raw_Data[[Date]:[Sunset Time (POA&lt;20 W/m2)]],4,0),"")</f>
        <v>0.77361111111111114</v>
      </c>
      <c r="K960" s="27">
        <f>IFERROR((TA[[#This Row],[Sunset Time (POA&lt;20 W/m2)]]-TA[[#This Row],[Sunrise Time (POA&gt;20 W/m2)]])*24,"")</f>
        <v>12.716666666666667</v>
      </c>
      <c r="L960" s="2" t="s">
        <v>287</v>
      </c>
      <c r="M960" s="33">
        <f>IFERROR(VLOOKUP(TA[[#This Row],[Affected Equipment]],'Basic Data'!$I$2:$K$40,3,0),"")</f>
        <v>8.6206896551724102E-3</v>
      </c>
      <c r="N960">
        <v>-28</v>
      </c>
      <c r="O960" t="s">
        <v>135</v>
      </c>
      <c r="P960" s="114" t="s">
        <v>309</v>
      </c>
      <c r="Q960" s="2" t="s">
        <v>312</v>
      </c>
      <c r="R960">
        <v>133</v>
      </c>
      <c r="S960" s="2">
        <v>26</v>
      </c>
      <c r="T960" t="s">
        <v>288</v>
      </c>
      <c r="U960" t="s">
        <v>291</v>
      </c>
      <c r="V960" t="s">
        <v>305</v>
      </c>
      <c r="W960" s="32">
        <f>IFERROR(VLOOKUP(TA[[#This Row],[Date]],Raw_Data[[Date]:[Sunset Time (POA&lt;20 W/m2)]],3,0),"")</f>
        <v>0.24374999999999999</v>
      </c>
      <c r="X960" s="32">
        <f>IFERROR(VLOOKUP(TA[[#This Row],[Date]],Raw_Data[[Date]:[Sunset Time (POA&lt;20 W/m2)]],3,0),"")</f>
        <v>0.24374999999999999</v>
      </c>
      <c r="Y960" s="26"/>
      <c r="Z960" s="26">
        <v>0.76041666666666663</v>
      </c>
      <c r="AA960" s="27">
        <f>IF(TA[[#This Row],[Work Start time on Fault]]="NA","",(TA[[#This Row],[Fault Acknowledgement Time ]]-TA[[#This Row],[Fault Time]])*24)</f>
        <v>0</v>
      </c>
      <c r="AB960" s="27">
        <f>(TA[[#This Row],[Work Start time on Fault]]-TA[[#This Row],[Fault Time]])*24</f>
        <v>-5.85</v>
      </c>
      <c r="AC960" s="26">
        <f>(TA[[#This Row],[Work Completion time on fault]]-TA[[#This Row],[Fault Time]])*24</f>
        <v>12.399999999999999</v>
      </c>
      <c r="AD960" s="27">
        <f>IFERROR((TA[[#This Row],[Work Completion time on fault]]-TA[[#This Row],[Fault Time]])*24,"")</f>
        <v>12.399999999999999</v>
      </c>
      <c r="AE960" t="s">
        <v>319</v>
      </c>
      <c r="AF960" t="s">
        <v>247</v>
      </c>
      <c r="AG960" s="2"/>
      <c r="AH960" s="35">
        <f>1-COS(RADIANS(TA[[#This Row],[Avg. Target Angle during Fault Time (Radians)]]-TA[[#This Row],[Angle of affected equipment ]]))</f>
        <v>0.11705240714107301</v>
      </c>
      <c r="AI960" s="27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43">
        <f t="shared" si="90"/>
        <v>2026</v>
      </c>
      <c r="C961" s="116">
        <f t="shared" si="91"/>
        <v>2025</v>
      </c>
      <c r="D961" s="2" t="s">
        <v>155</v>
      </c>
      <c r="E961" s="2" t="s">
        <v>155</v>
      </c>
      <c r="F961" s="30">
        <v>45809</v>
      </c>
      <c r="G961" s="2">
        <f>DAY(EOMONTH(TA[[#This Row],[Month Year]],0))</f>
        <v>30</v>
      </c>
      <c r="H961" s="21">
        <v>45811</v>
      </c>
      <c r="I961" s="32">
        <f>IFERROR(VLOOKUP(TA[[#This Row],[Date]],Raw_Data[[Date]:[Sunset Time (POA&lt;20 W/m2)]],3,0),"")</f>
        <v>0.24374999999999999</v>
      </c>
      <c r="J961" s="32">
        <f>IFERROR(VLOOKUP(TA[[#This Row],[Date]],Raw_Data[[Date]:[Sunset Time (POA&lt;20 W/m2)]],4,0),"")</f>
        <v>0.77361111111111114</v>
      </c>
      <c r="K961" s="27">
        <f>IFERROR((TA[[#This Row],[Sunset Time (POA&lt;20 W/m2)]]-TA[[#This Row],[Sunrise Time (POA&gt;20 W/m2)]])*24,"")</f>
        <v>12.716666666666667</v>
      </c>
      <c r="L961" s="2" t="s">
        <v>285</v>
      </c>
      <c r="M961" s="33">
        <f>IFERROR(VLOOKUP(TA[[#This Row],[Affected Equipment]],'Basic Data'!$I$2:$K$40,3,0),"")</f>
        <v>1.7241379310344799E-3</v>
      </c>
      <c r="N961">
        <v>-28</v>
      </c>
      <c r="O961" t="s">
        <v>133</v>
      </c>
      <c r="P961" s="114" t="s">
        <v>307</v>
      </c>
      <c r="Q961" s="113" t="s">
        <v>308</v>
      </c>
      <c r="R961">
        <v>7</v>
      </c>
      <c r="S961" s="2">
        <v>32</v>
      </c>
      <c r="T961" t="s">
        <v>286</v>
      </c>
      <c r="U961" t="s">
        <v>291</v>
      </c>
      <c r="V961" t="s">
        <v>289</v>
      </c>
      <c r="W961" s="32"/>
      <c r="X961" s="32"/>
      <c r="Y961" s="26"/>
      <c r="Z961" s="26"/>
      <c r="AA961" s="27">
        <f>IF(TA[[#This Row],[Work Start time on Fault]]="NA","",(TA[[#This Row],[Fault Acknowledgement Time ]]-TA[[#This Row],[Fault Time]])*24)</f>
        <v>0</v>
      </c>
      <c r="AB961" s="27">
        <f>(TA[[#This Row],[Work Start time on Fault]]-TA[[#This Row],[Fault Time]])*24</f>
        <v>0</v>
      </c>
      <c r="AC961" s="26">
        <f>(TA[[#This Row],[Work Completion time on fault]]-TA[[#This Row],[Fault Time]])*24</f>
        <v>0</v>
      </c>
      <c r="AD961" s="27">
        <f>IFERROR((TA[[#This Row],[Work Completion time on fault]]-TA[[#This Row],[Fault Time]])*24,"")</f>
        <v>0</v>
      </c>
      <c r="AE961" t="s">
        <v>319</v>
      </c>
      <c r="AF961" t="s">
        <v>247</v>
      </c>
      <c r="AG961" s="2"/>
      <c r="AH961" s="35">
        <f>1-COS(RADIANS(TA[[#This Row],[Avg. Target Angle during Fault Time (Radians)]]-TA[[#This Row],[Angle of affected equipment ]]))</f>
        <v>0.11705240714107301</v>
      </c>
      <c r="AI961" s="27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43">
        <f t="shared" si="90"/>
        <v>2026</v>
      </c>
      <c r="C962" s="116">
        <f t="shared" si="91"/>
        <v>2025</v>
      </c>
      <c r="D962" s="2" t="s">
        <v>155</v>
      </c>
      <c r="E962" s="2" t="s">
        <v>155</v>
      </c>
      <c r="F962" s="30">
        <v>45809</v>
      </c>
      <c r="G962" s="2">
        <f>DAY(EOMONTH(TA[[#This Row],[Month Year]],0))</f>
        <v>30</v>
      </c>
      <c r="H962" s="21">
        <v>45811</v>
      </c>
      <c r="I962" s="32">
        <f>IFERROR(VLOOKUP(TA[[#This Row],[Date]],Raw_Data[[Date]:[Sunset Time (POA&lt;20 W/m2)]],3,0),"")</f>
        <v>0.24374999999999999</v>
      </c>
      <c r="J962" s="32">
        <f>IFERROR(VLOOKUP(TA[[#This Row],[Date]],Raw_Data[[Date]:[Sunset Time (POA&lt;20 W/m2)]],4,0),"")</f>
        <v>0.77361111111111114</v>
      </c>
      <c r="K962" s="27">
        <f>IFERROR((TA[[#This Row],[Sunset Time (POA&lt;20 W/m2)]]-TA[[#This Row],[Sunrise Time (POA&gt;20 W/m2)]])*24,"")</f>
        <v>12.716666666666667</v>
      </c>
      <c r="L962" s="2" t="s">
        <v>285</v>
      </c>
      <c r="M962" s="33">
        <f>IFERROR(VLOOKUP(TA[[#This Row],[Affected Equipment]],'Basic Data'!$I$2:$K$40,3,0),"")</f>
        <v>1.7241379310344799E-3</v>
      </c>
      <c r="N962">
        <v>-28</v>
      </c>
      <c r="O962" t="s">
        <v>137</v>
      </c>
      <c r="P962" s="114" t="s">
        <v>306</v>
      </c>
      <c r="Q962" s="113" t="s">
        <v>310</v>
      </c>
      <c r="R962">
        <v>166</v>
      </c>
      <c r="S962" s="2">
        <v>91</v>
      </c>
      <c r="T962" t="s">
        <v>286</v>
      </c>
      <c r="U962" t="s">
        <v>291</v>
      </c>
      <c r="V962" t="s">
        <v>289</v>
      </c>
      <c r="W962" s="32"/>
      <c r="X962" s="32"/>
      <c r="Y962" s="26"/>
      <c r="Z962" s="26"/>
      <c r="AA962" s="27">
        <f>IF(TA[[#This Row],[Work Start time on Fault]]="NA","",(TA[[#This Row],[Fault Acknowledgement Time ]]-TA[[#This Row],[Fault Time]])*24)</f>
        <v>0</v>
      </c>
      <c r="AB962" s="27">
        <f>(TA[[#This Row],[Work Start time on Fault]]-TA[[#This Row],[Fault Time]])*24</f>
        <v>0</v>
      </c>
      <c r="AC962" s="26">
        <f>(TA[[#This Row],[Work Completion time on fault]]-TA[[#This Row],[Fault Time]])*24</f>
        <v>0</v>
      </c>
      <c r="AD962" s="27">
        <f>IFERROR((TA[[#This Row],[Work Completion time on fault]]-TA[[#This Row],[Fault Time]])*24,"")</f>
        <v>0</v>
      </c>
      <c r="AE962" t="s">
        <v>319</v>
      </c>
      <c r="AF962" t="s">
        <v>247</v>
      </c>
      <c r="AG962" s="2"/>
      <c r="AH962" s="35">
        <f>1-COS(RADIANS(TA[[#This Row],[Avg. Target Angle during Fault Time (Radians)]]-TA[[#This Row],[Angle of affected equipment ]]))</f>
        <v>0.11705240714107301</v>
      </c>
      <c r="AI962" s="27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43">
        <f t="shared" si="90"/>
        <v>2026</v>
      </c>
      <c r="C963" s="116">
        <f t="shared" si="91"/>
        <v>2025</v>
      </c>
      <c r="D963" s="2" t="s">
        <v>155</v>
      </c>
      <c r="E963" s="2" t="s">
        <v>155</v>
      </c>
      <c r="F963" s="30">
        <v>45809</v>
      </c>
      <c r="G963" s="2">
        <f>DAY(EOMONTH(TA[[#This Row],[Month Year]],0))</f>
        <v>30</v>
      </c>
      <c r="H963" s="21">
        <v>45811</v>
      </c>
      <c r="I963" s="32">
        <f>IFERROR(VLOOKUP(TA[[#This Row],[Date]],Raw_Data[[Date]:[Sunset Time (POA&lt;20 W/m2)]],3,0),"")</f>
        <v>0.24374999999999999</v>
      </c>
      <c r="J963" s="32">
        <f>IFERROR(VLOOKUP(TA[[#This Row],[Date]],Raw_Data[[Date]:[Sunset Time (POA&lt;20 W/m2)]],4,0),"")</f>
        <v>0.77361111111111114</v>
      </c>
      <c r="K963" s="27">
        <f>IFERROR((TA[[#This Row],[Sunset Time (POA&lt;20 W/m2)]]-TA[[#This Row],[Sunrise Time (POA&gt;20 W/m2)]])*24,"")</f>
        <v>12.716666666666667</v>
      </c>
      <c r="L963" s="2" t="s">
        <v>285</v>
      </c>
      <c r="M963" s="33">
        <f>IFERROR(VLOOKUP(TA[[#This Row],[Affected Equipment]],'Basic Data'!$I$2:$K$40,3,0),"")</f>
        <v>1.7241379310344799E-3</v>
      </c>
      <c r="N963">
        <v>-28</v>
      </c>
      <c r="O963" t="s">
        <v>133</v>
      </c>
      <c r="P963" s="114" t="s">
        <v>307</v>
      </c>
      <c r="Q963" s="113" t="s">
        <v>307</v>
      </c>
      <c r="R963">
        <v>117</v>
      </c>
      <c r="S963" s="2">
        <v>20</v>
      </c>
      <c r="T963" t="s">
        <v>286</v>
      </c>
      <c r="U963" t="s">
        <v>291</v>
      </c>
      <c r="V963" t="s">
        <v>289</v>
      </c>
      <c r="W963" s="32"/>
      <c r="X963" s="32"/>
      <c r="Y963" s="26"/>
      <c r="Z963" s="26"/>
      <c r="AA963" s="27">
        <f>IF(TA[[#This Row],[Work Start time on Fault]]="NA","",(TA[[#This Row],[Fault Acknowledgement Time ]]-TA[[#This Row],[Fault Time]])*24)</f>
        <v>0</v>
      </c>
      <c r="AB963" s="27">
        <f>(TA[[#This Row],[Work Start time on Fault]]-TA[[#This Row],[Fault Time]])*24</f>
        <v>0</v>
      </c>
      <c r="AC963" s="26">
        <f>(TA[[#This Row],[Work Completion time on fault]]-TA[[#This Row],[Fault Time]])*24</f>
        <v>0</v>
      </c>
      <c r="AD963" s="27">
        <f>IFERROR((TA[[#This Row],[Work Completion time on fault]]-TA[[#This Row],[Fault Time]])*24,"")</f>
        <v>0</v>
      </c>
      <c r="AE963" t="s">
        <v>319</v>
      </c>
      <c r="AF963" t="s">
        <v>247</v>
      </c>
      <c r="AG963" s="2"/>
      <c r="AH963" s="35">
        <f>1-COS(RADIANS(TA[[#This Row],[Avg. Target Angle during Fault Time (Radians)]]-TA[[#This Row],[Angle of affected equipment ]]))</f>
        <v>0.11705240714107301</v>
      </c>
      <c r="AI963" s="27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43">
        <f t="shared" si="90"/>
        <v>2026</v>
      </c>
      <c r="C964" s="116">
        <f t="shared" si="91"/>
        <v>2025</v>
      </c>
      <c r="D964" s="2" t="s">
        <v>155</v>
      </c>
      <c r="E964" s="2" t="s">
        <v>155</v>
      </c>
      <c r="F964" s="30">
        <v>45809</v>
      </c>
      <c r="G964" s="2">
        <f>DAY(EOMONTH(TA[[#This Row],[Month Year]],0))</f>
        <v>30</v>
      </c>
      <c r="H964" s="21">
        <v>45811</v>
      </c>
      <c r="I964" s="32">
        <f>IFERROR(VLOOKUP(TA[[#This Row],[Date]],Raw_Data[[Date]:[Sunset Time (POA&lt;20 W/m2)]],3,0),"")</f>
        <v>0.24374999999999999</v>
      </c>
      <c r="J964" s="32">
        <f>IFERROR(VLOOKUP(TA[[#This Row],[Date]],Raw_Data[[Date]:[Sunset Time (POA&lt;20 W/m2)]],4,0),"")</f>
        <v>0.77361111111111114</v>
      </c>
      <c r="K964" s="27">
        <f>IFERROR((TA[[#This Row],[Sunset Time (POA&lt;20 W/m2)]]-TA[[#This Row],[Sunrise Time (POA&gt;20 W/m2)]])*24,"")</f>
        <v>12.716666666666667</v>
      </c>
      <c r="L964" s="2" t="s">
        <v>285</v>
      </c>
      <c r="M964" s="33">
        <f>IFERROR(VLOOKUP(TA[[#This Row],[Affected Equipment]],'Basic Data'!$I$2:$K$40,3,0),"")</f>
        <v>1.7241379310344799E-3</v>
      </c>
      <c r="N964">
        <v>-28</v>
      </c>
      <c r="O964" t="s">
        <v>133</v>
      </c>
      <c r="P964" s="114" t="s">
        <v>307</v>
      </c>
      <c r="Q964" s="113" t="s">
        <v>307</v>
      </c>
      <c r="R964">
        <v>118</v>
      </c>
      <c r="S964" s="2">
        <v>22</v>
      </c>
      <c r="T964" t="s">
        <v>286</v>
      </c>
      <c r="U964" t="s">
        <v>291</v>
      </c>
      <c r="V964" t="s">
        <v>289</v>
      </c>
      <c r="W964" s="32"/>
      <c r="X964" s="32"/>
      <c r="Y964" s="26"/>
      <c r="Z964" s="26"/>
      <c r="AA964" s="27">
        <f>IF(TA[[#This Row],[Work Start time on Fault]]="NA","",(TA[[#This Row],[Fault Acknowledgement Time ]]-TA[[#This Row],[Fault Time]])*24)</f>
        <v>0</v>
      </c>
      <c r="AB964" s="27">
        <f>(TA[[#This Row],[Work Start time on Fault]]-TA[[#This Row],[Fault Time]])*24</f>
        <v>0</v>
      </c>
      <c r="AC964" s="26">
        <f>(TA[[#This Row],[Work Completion time on fault]]-TA[[#This Row],[Fault Time]])*24</f>
        <v>0</v>
      </c>
      <c r="AD964" s="27">
        <f>IFERROR((TA[[#This Row],[Work Completion time on fault]]-TA[[#This Row],[Fault Time]])*24,"")</f>
        <v>0</v>
      </c>
      <c r="AE964" t="s">
        <v>319</v>
      </c>
      <c r="AF964" t="s">
        <v>247</v>
      </c>
      <c r="AG964" s="2"/>
      <c r="AH964" s="35">
        <f>1-COS(RADIANS(TA[[#This Row],[Avg. Target Angle during Fault Time (Radians)]]-TA[[#This Row],[Angle of affected equipment ]]))</f>
        <v>0.11705240714107301</v>
      </c>
      <c r="AI964" s="27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43">
        <f t="shared" si="90"/>
        <v>2026</v>
      </c>
      <c r="C965" s="116">
        <f t="shared" si="91"/>
        <v>2025</v>
      </c>
      <c r="D965" s="2" t="s">
        <v>155</v>
      </c>
      <c r="E965" s="2" t="s">
        <v>155</v>
      </c>
      <c r="F965" s="30">
        <v>45809</v>
      </c>
      <c r="G965" s="2">
        <f>DAY(EOMONTH(TA[[#This Row],[Month Year]],0))</f>
        <v>30</v>
      </c>
      <c r="H965" s="21">
        <v>45811</v>
      </c>
      <c r="I965" s="32">
        <f>IFERROR(VLOOKUP(TA[[#This Row],[Date]],Raw_Data[[Date]:[Sunset Time (POA&lt;20 W/m2)]],3,0),"")</f>
        <v>0.24374999999999999</v>
      </c>
      <c r="J965" s="32">
        <f>IFERROR(VLOOKUP(TA[[#This Row],[Date]],Raw_Data[[Date]:[Sunset Time (POA&lt;20 W/m2)]],4,0),"")</f>
        <v>0.77361111111111114</v>
      </c>
      <c r="K965" s="27">
        <f>IFERROR((TA[[#This Row],[Sunset Time (POA&lt;20 W/m2)]]-TA[[#This Row],[Sunrise Time (POA&gt;20 W/m2)]])*24,"")</f>
        <v>12.716666666666667</v>
      </c>
      <c r="L965" s="2" t="s">
        <v>287</v>
      </c>
      <c r="M965" s="33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314</v>
      </c>
      <c r="Q965" s="2" t="s">
        <v>320</v>
      </c>
      <c r="R965">
        <v>45</v>
      </c>
      <c r="S965" s="2">
        <v>8</v>
      </c>
      <c r="T965" t="s">
        <v>288</v>
      </c>
      <c r="U965" t="s">
        <v>291</v>
      </c>
      <c r="V965" t="s">
        <v>292</v>
      </c>
      <c r="W965" s="32"/>
      <c r="X965" s="32"/>
      <c r="Y965" s="26"/>
      <c r="Z965" s="26"/>
      <c r="AA965" s="27">
        <f>IF(TA[[#This Row],[Work Start time on Fault]]="NA","",(TA[[#This Row],[Fault Acknowledgement Time ]]-TA[[#This Row],[Fault Time]])*24)</f>
        <v>0</v>
      </c>
      <c r="AB965" s="27">
        <f>(TA[[#This Row],[Work Start time on Fault]]-TA[[#This Row],[Fault Time]])*24</f>
        <v>0</v>
      </c>
      <c r="AC965" s="26">
        <f>(TA[[#This Row],[Work Completion time on fault]]-TA[[#This Row],[Fault Time]])*24</f>
        <v>0</v>
      </c>
      <c r="AD965" s="27">
        <f>IFERROR((TA[[#This Row],[Work Completion time on fault]]-TA[[#This Row],[Fault Time]])*24,"")</f>
        <v>0</v>
      </c>
      <c r="AE965" t="s">
        <v>319</v>
      </c>
      <c r="AF965" t="s">
        <v>247</v>
      </c>
      <c r="AG965" s="2"/>
      <c r="AH965" s="35">
        <f>1-COS(RADIANS(TA[[#This Row],[Avg. Target Angle during Fault Time (Radians)]]-TA[[#This Row],[Angle of affected equipment ]]))</f>
        <v>0.11705240714107301</v>
      </c>
      <c r="AI965" s="27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43">
        <f t="shared" si="90"/>
        <v>2026</v>
      </c>
      <c r="C966" s="116">
        <f t="shared" si="91"/>
        <v>2025</v>
      </c>
      <c r="D966" s="2" t="s">
        <v>155</v>
      </c>
      <c r="E966" s="2" t="s">
        <v>155</v>
      </c>
      <c r="F966" s="30">
        <v>45809</v>
      </c>
      <c r="G966" s="2">
        <f>DAY(EOMONTH(TA[[#This Row],[Month Year]],0))</f>
        <v>30</v>
      </c>
      <c r="H966" s="21">
        <v>45811</v>
      </c>
      <c r="I966" s="32">
        <f>IFERROR(VLOOKUP(TA[[#This Row],[Date]],Raw_Data[[Date]:[Sunset Time (POA&lt;20 W/m2)]],3,0),"")</f>
        <v>0.24374999999999999</v>
      </c>
      <c r="J966" s="32">
        <f>IFERROR(VLOOKUP(TA[[#This Row],[Date]],Raw_Data[[Date]:[Sunset Time (POA&lt;20 W/m2)]],4,0),"")</f>
        <v>0.77361111111111114</v>
      </c>
      <c r="K966" s="27">
        <f>IFERROR((TA[[#This Row],[Sunset Time (POA&lt;20 W/m2)]]-TA[[#This Row],[Sunrise Time (POA&gt;20 W/m2)]])*24,"")</f>
        <v>12.716666666666667</v>
      </c>
      <c r="L966" s="2" t="s">
        <v>287</v>
      </c>
      <c r="M966" s="33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314</v>
      </c>
      <c r="Q966" s="2" t="s">
        <v>320</v>
      </c>
      <c r="R966">
        <v>47</v>
      </c>
      <c r="S966" s="2">
        <v>18</v>
      </c>
      <c r="T966" t="s">
        <v>288</v>
      </c>
      <c r="U966" t="s">
        <v>291</v>
      </c>
      <c r="V966" t="s">
        <v>292</v>
      </c>
      <c r="W966" s="32"/>
      <c r="X966" s="32"/>
      <c r="Y966" s="26"/>
      <c r="Z966" s="26"/>
      <c r="AA966" s="27">
        <f>IF(TA[[#This Row],[Work Start time on Fault]]="NA","",(TA[[#This Row],[Fault Acknowledgement Time ]]-TA[[#This Row],[Fault Time]])*24)</f>
        <v>0</v>
      </c>
      <c r="AB966" s="27">
        <f>(TA[[#This Row],[Work Start time on Fault]]-TA[[#This Row],[Fault Time]])*24</f>
        <v>0</v>
      </c>
      <c r="AC966" s="26">
        <f>(TA[[#This Row],[Work Completion time on fault]]-TA[[#This Row],[Fault Time]])*24</f>
        <v>0</v>
      </c>
      <c r="AD966" s="27">
        <f>IFERROR((TA[[#This Row],[Work Completion time on fault]]-TA[[#This Row],[Fault Time]])*24,"")</f>
        <v>0</v>
      </c>
      <c r="AE966" t="s">
        <v>319</v>
      </c>
      <c r="AF966" t="s">
        <v>247</v>
      </c>
      <c r="AG966" s="2"/>
      <c r="AH966" s="35">
        <f>1-COS(RADIANS(TA[[#This Row],[Avg. Target Angle during Fault Time (Radians)]]-TA[[#This Row],[Angle of affected equipment ]]))</f>
        <v>0.11705240714107301</v>
      </c>
      <c r="AI966" s="27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43">
        <f t="shared" si="90"/>
        <v>2026</v>
      </c>
      <c r="C967" s="116">
        <f t="shared" si="91"/>
        <v>2025</v>
      </c>
      <c r="D967" s="2" t="s">
        <v>155</v>
      </c>
      <c r="E967" s="2" t="s">
        <v>155</v>
      </c>
      <c r="F967" s="30">
        <v>45809</v>
      </c>
      <c r="G967" s="2">
        <f>DAY(EOMONTH(TA[[#This Row],[Month Year]],0))</f>
        <v>30</v>
      </c>
      <c r="H967" s="21">
        <v>45811</v>
      </c>
      <c r="I967" s="32">
        <f>IFERROR(VLOOKUP(TA[[#This Row],[Date]],Raw_Data[[Date]:[Sunset Time (POA&lt;20 W/m2)]],3,0),"")</f>
        <v>0.24374999999999999</v>
      </c>
      <c r="J967" s="32">
        <f>IFERROR(VLOOKUP(TA[[#This Row],[Date]],Raw_Data[[Date]:[Sunset Time (POA&lt;20 W/m2)]],4,0),"")</f>
        <v>0.77361111111111114</v>
      </c>
      <c r="K967" s="27">
        <f>IFERROR((TA[[#This Row],[Sunset Time (POA&lt;20 W/m2)]]-TA[[#This Row],[Sunrise Time (POA&gt;20 W/m2)]])*24,"")</f>
        <v>12.716666666666667</v>
      </c>
      <c r="L967" s="2" t="s">
        <v>287</v>
      </c>
      <c r="M967" s="33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321</v>
      </c>
      <c r="Q967" s="2" t="s">
        <v>314</v>
      </c>
      <c r="R967">
        <v>30</v>
      </c>
      <c r="S967" s="2">
        <v>57</v>
      </c>
      <c r="T967" t="s">
        <v>288</v>
      </c>
      <c r="U967" t="s">
        <v>291</v>
      </c>
      <c r="V967" t="s">
        <v>292</v>
      </c>
      <c r="W967" s="32"/>
      <c r="X967" s="32"/>
      <c r="Y967" s="26"/>
      <c r="Z967" s="26"/>
      <c r="AA967" s="27">
        <f>IF(TA[[#This Row],[Work Start time on Fault]]="NA","",(TA[[#This Row],[Fault Acknowledgement Time ]]-TA[[#This Row],[Fault Time]])*24)</f>
        <v>0</v>
      </c>
      <c r="AB967" s="27">
        <f>(TA[[#This Row],[Work Start time on Fault]]-TA[[#This Row],[Fault Time]])*24</f>
        <v>0</v>
      </c>
      <c r="AC967" s="26">
        <f>(TA[[#This Row],[Work Completion time on fault]]-TA[[#This Row],[Fault Time]])*24</f>
        <v>0</v>
      </c>
      <c r="AD967" s="27">
        <f>IFERROR((TA[[#This Row],[Work Completion time on fault]]-TA[[#This Row],[Fault Time]])*24,"")</f>
        <v>0</v>
      </c>
      <c r="AE967" t="s">
        <v>319</v>
      </c>
      <c r="AF967" t="s">
        <v>247</v>
      </c>
      <c r="AG967" s="2"/>
      <c r="AH967" s="35">
        <f>1-COS(RADIANS(TA[[#This Row],[Avg. Target Angle during Fault Time (Radians)]]-TA[[#This Row],[Angle of affected equipment ]]))</f>
        <v>0.11705240714107301</v>
      </c>
      <c r="AI967" s="27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43">
        <f t="shared" si="90"/>
        <v>2026</v>
      </c>
      <c r="C968" s="116">
        <f t="shared" si="91"/>
        <v>2025</v>
      </c>
      <c r="D968" s="2" t="s">
        <v>155</v>
      </c>
      <c r="E968" s="2" t="s">
        <v>155</v>
      </c>
      <c r="F968" s="30">
        <v>45809</v>
      </c>
      <c r="G968" s="2">
        <f>DAY(EOMONTH(TA[[#This Row],[Month Year]],0))</f>
        <v>30</v>
      </c>
      <c r="H968" s="21">
        <v>45811</v>
      </c>
      <c r="I968" s="32">
        <f>IFERROR(VLOOKUP(TA[[#This Row],[Date]],Raw_Data[[Date]:[Sunset Time (POA&lt;20 W/m2)]],3,0),"")</f>
        <v>0.24374999999999999</v>
      </c>
      <c r="J968" s="32">
        <f>IFERROR(VLOOKUP(TA[[#This Row],[Date]],Raw_Data[[Date]:[Sunset Time (POA&lt;20 W/m2)]],4,0),"")</f>
        <v>0.77361111111111114</v>
      </c>
      <c r="K968" s="27">
        <f>IFERROR((TA[[#This Row],[Sunset Time (POA&lt;20 W/m2)]]-TA[[#This Row],[Sunrise Time (POA&gt;20 W/m2)]])*24,"")</f>
        <v>12.716666666666667</v>
      </c>
      <c r="L968" s="2" t="s">
        <v>287</v>
      </c>
      <c r="M968" s="33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321</v>
      </c>
      <c r="Q968" s="2" t="s">
        <v>314</v>
      </c>
      <c r="R968">
        <v>31</v>
      </c>
      <c r="S968" s="2">
        <v>61</v>
      </c>
      <c r="T968" t="s">
        <v>288</v>
      </c>
      <c r="U968" t="s">
        <v>291</v>
      </c>
      <c r="V968" t="s">
        <v>292</v>
      </c>
      <c r="W968" s="32"/>
      <c r="X968" s="32"/>
      <c r="Y968" s="26"/>
      <c r="Z968" s="26"/>
      <c r="AA968" s="27">
        <f>IF(TA[[#This Row],[Work Start time on Fault]]="NA","",(TA[[#This Row],[Fault Acknowledgement Time ]]-TA[[#This Row],[Fault Time]])*24)</f>
        <v>0</v>
      </c>
      <c r="AB968" s="27">
        <f>(TA[[#This Row],[Work Start time on Fault]]-TA[[#This Row],[Fault Time]])*24</f>
        <v>0</v>
      </c>
      <c r="AC968" s="26">
        <f>(TA[[#This Row],[Work Completion time on fault]]-TA[[#This Row],[Fault Time]])*24</f>
        <v>0</v>
      </c>
      <c r="AD968" s="27">
        <f>IFERROR((TA[[#This Row],[Work Completion time on fault]]-TA[[#This Row],[Fault Time]])*24,"")</f>
        <v>0</v>
      </c>
      <c r="AE968" t="s">
        <v>319</v>
      </c>
      <c r="AF968" t="s">
        <v>247</v>
      </c>
      <c r="AG968" s="2"/>
      <c r="AH968" s="35">
        <f>1-COS(RADIANS(TA[[#This Row],[Avg. Target Angle during Fault Time (Radians)]]-TA[[#This Row],[Angle of affected equipment ]]))</f>
        <v>0.11705240714107301</v>
      </c>
      <c r="AI968" s="27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43">
        <f t="shared" si="90"/>
        <v>2026</v>
      </c>
      <c r="C969" s="116">
        <f t="shared" si="91"/>
        <v>2025</v>
      </c>
      <c r="D969" s="2" t="s">
        <v>155</v>
      </c>
      <c r="E969" s="2" t="s">
        <v>155</v>
      </c>
      <c r="F969" s="30">
        <v>45809</v>
      </c>
      <c r="G969" s="2">
        <f>DAY(EOMONTH(TA[[#This Row],[Month Year]],0))</f>
        <v>30</v>
      </c>
      <c r="H969" s="21">
        <v>45811</v>
      </c>
      <c r="I969" s="32">
        <f>IFERROR(VLOOKUP(TA[[#This Row],[Date]],Raw_Data[[Date]:[Sunset Time (POA&lt;20 W/m2)]],3,0),"")</f>
        <v>0.24374999999999999</v>
      </c>
      <c r="J969" s="32">
        <f>IFERROR(VLOOKUP(TA[[#This Row],[Date]],Raw_Data[[Date]:[Sunset Time (POA&lt;20 W/m2)]],4,0),"")</f>
        <v>0.77361111111111114</v>
      </c>
      <c r="K969" s="27">
        <f>IFERROR((TA[[#This Row],[Sunset Time (POA&lt;20 W/m2)]]-TA[[#This Row],[Sunrise Time (POA&gt;20 W/m2)]])*24,"")</f>
        <v>12.716666666666667</v>
      </c>
      <c r="L969" s="2" t="s">
        <v>303</v>
      </c>
      <c r="M969" s="33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321</v>
      </c>
      <c r="Q969" s="2" t="s">
        <v>314</v>
      </c>
      <c r="R969">
        <v>26</v>
      </c>
      <c r="S969" s="2">
        <v>37</v>
      </c>
      <c r="T969" t="s">
        <v>288</v>
      </c>
      <c r="U969" t="s">
        <v>291</v>
      </c>
      <c r="V969" t="s">
        <v>292</v>
      </c>
      <c r="W969" s="32"/>
      <c r="X969" s="32"/>
      <c r="Y969" s="26"/>
      <c r="Z969" s="26"/>
      <c r="AA969" s="27">
        <f>IF(TA[[#This Row],[Work Start time on Fault]]="NA","",(TA[[#This Row],[Fault Acknowledgement Time ]]-TA[[#This Row],[Fault Time]])*24)</f>
        <v>0</v>
      </c>
      <c r="AB969" s="27">
        <f>(TA[[#This Row],[Work Start time on Fault]]-TA[[#This Row],[Fault Time]])*24</f>
        <v>0</v>
      </c>
      <c r="AC969" s="26">
        <f>(TA[[#This Row],[Work Completion time on fault]]-TA[[#This Row],[Fault Time]])*24</f>
        <v>0</v>
      </c>
      <c r="AD969" s="27">
        <f>IFERROR((TA[[#This Row],[Work Completion time on fault]]-TA[[#This Row],[Fault Time]])*24,"")</f>
        <v>0</v>
      </c>
      <c r="AE969" t="s">
        <v>319</v>
      </c>
      <c r="AF969" t="s">
        <v>247</v>
      </c>
      <c r="AG969" s="2"/>
      <c r="AH969" s="35">
        <f>1-COS(RADIANS(TA[[#This Row],[Avg. Target Angle during Fault Time (Radians)]]-TA[[#This Row],[Angle of affected equipment ]]))</f>
        <v>0.11705240714107301</v>
      </c>
      <c r="AI969" s="27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43">
        <f t="shared" si="90"/>
        <v>2026</v>
      </c>
      <c r="C970" s="116">
        <f t="shared" si="91"/>
        <v>2025</v>
      </c>
      <c r="D970" s="2" t="s">
        <v>155</v>
      </c>
      <c r="E970" s="2" t="s">
        <v>155</v>
      </c>
      <c r="F970" s="30">
        <v>45809</v>
      </c>
      <c r="G970" s="2">
        <f>DAY(EOMONTH(TA[[#This Row],[Month Year]],0))</f>
        <v>30</v>
      </c>
      <c r="H970" s="21">
        <v>45811</v>
      </c>
      <c r="I970" s="32">
        <f>IFERROR(VLOOKUP(TA[[#This Row],[Date]],Raw_Data[[Date]:[Sunset Time (POA&lt;20 W/m2)]],3,0),"")</f>
        <v>0.24374999999999999</v>
      </c>
      <c r="J970" s="32">
        <f>IFERROR(VLOOKUP(TA[[#This Row],[Date]],Raw_Data[[Date]:[Sunset Time (POA&lt;20 W/m2)]],4,0),"")</f>
        <v>0.77361111111111114</v>
      </c>
      <c r="K970" s="27">
        <f>IFERROR((TA[[#This Row],[Sunset Time (POA&lt;20 W/m2)]]-TA[[#This Row],[Sunrise Time (POA&gt;20 W/m2)]])*24,"")</f>
        <v>12.716666666666667</v>
      </c>
      <c r="L970" s="2" t="s">
        <v>303</v>
      </c>
      <c r="M970" s="33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321</v>
      </c>
      <c r="Q970" s="2" t="s">
        <v>314</v>
      </c>
      <c r="R970">
        <v>27</v>
      </c>
      <c r="S970" s="2">
        <v>42</v>
      </c>
      <c r="T970" t="s">
        <v>288</v>
      </c>
      <c r="U970" t="s">
        <v>291</v>
      </c>
      <c r="V970" t="s">
        <v>292</v>
      </c>
      <c r="W970" s="32">
        <f>IFERROR(VLOOKUP(TA[[#This Row],[Date]],Raw_Data[[Date]:[Sunset Time (POA&lt;20 W/m2)]],3,0),"")</f>
        <v>0.24374999999999999</v>
      </c>
      <c r="X970" s="32">
        <f>IFERROR(VLOOKUP(TA[[#This Row],[Date]],Raw_Data[[Date]:[Sunset Time (POA&lt;20 W/m2)]],3,0),"")</f>
        <v>0.24374999999999999</v>
      </c>
      <c r="Y970" s="26"/>
      <c r="Z970" s="26">
        <v>0.76041666666666663</v>
      </c>
      <c r="AA970" s="27">
        <f>IF(TA[[#This Row],[Work Start time on Fault]]="NA","",(TA[[#This Row],[Fault Acknowledgement Time ]]-TA[[#This Row],[Fault Time]])*24)</f>
        <v>0</v>
      </c>
      <c r="AB970" s="27">
        <f>(TA[[#This Row],[Work Start time on Fault]]-TA[[#This Row],[Fault Time]])*24</f>
        <v>-5.85</v>
      </c>
      <c r="AC970" s="26">
        <f>(TA[[#This Row],[Work Completion time on fault]]-TA[[#This Row],[Fault Time]])*24</f>
        <v>12.399999999999999</v>
      </c>
      <c r="AD970" s="27">
        <f>IFERROR((TA[[#This Row],[Work Completion time on fault]]-TA[[#This Row],[Fault Time]])*24,"")</f>
        <v>12.399999999999999</v>
      </c>
      <c r="AE970" t="s">
        <v>300</v>
      </c>
      <c r="AF970" t="s">
        <v>247</v>
      </c>
      <c r="AG970" s="2"/>
      <c r="AH970" s="35">
        <f>1-COS(RADIANS(TA[[#This Row],[Avg. Target Angle during Fault Time (Radians)]]-TA[[#This Row],[Angle of affected equipment ]]))</f>
        <v>0.11705240714107301</v>
      </c>
      <c r="AI970" s="27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43">
        <f t="shared" ref="B971:B983" si="92">YEAR(H971)+IF(MONTH(H971)&gt;=4,1,0)</f>
        <v>2026</v>
      </c>
      <c r="C971" s="116">
        <f t="shared" ref="C971:C983" si="93">YEAR(H971)</f>
        <v>2025</v>
      </c>
      <c r="D971" s="2" t="s">
        <v>155</v>
      </c>
      <c r="E971" s="2" t="s">
        <v>155</v>
      </c>
      <c r="F971" s="30">
        <v>45809</v>
      </c>
      <c r="G971" s="2">
        <f>DAY(EOMONTH(TA[[#This Row],[Month Year]],0))</f>
        <v>30</v>
      </c>
      <c r="H971" s="21">
        <v>45812</v>
      </c>
      <c r="I971" s="32">
        <f>IFERROR(VLOOKUP(TA[[#This Row],[Date]],Raw_Data[[Date]:[Sunset Time (POA&lt;20 W/m2)]],3,0),"")</f>
        <v>0.24513888888888888</v>
      </c>
      <c r="J971" s="32">
        <f>IFERROR(VLOOKUP(TA[[#This Row],[Date]],Raw_Data[[Date]:[Sunset Time (POA&lt;20 W/m2)]],4,0),"")</f>
        <v>0.7680555555555556</v>
      </c>
      <c r="K971" s="27">
        <f>IFERROR((TA[[#This Row],[Sunset Time (POA&lt;20 W/m2)]]-TA[[#This Row],[Sunrise Time (POA&gt;20 W/m2)]])*24,"")</f>
        <v>12.55</v>
      </c>
      <c r="L971" s="2" t="s">
        <v>285</v>
      </c>
      <c r="M971" s="33">
        <f>IFERROR(VLOOKUP(TA[[#This Row],[Affected Equipment]],'Basic Data'!$I$2:$K$40,3,0),"")</f>
        <v>1.7241379310344799E-3</v>
      </c>
      <c r="N971">
        <v>-28</v>
      </c>
      <c r="O971" t="s">
        <v>135</v>
      </c>
      <c r="P971" s="114" t="s">
        <v>309</v>
      </c>
      <c r="Q971" s="113" t="s">
        <v>309</v>
      </c>
      <c r="R971">
        <v>131</v>
      </c>
      <c r="S971" s="2">
        <v>38</v>
      </c>
      <c r="T971" t="s">
        <v>286</v>
      </c>
      <c r="U971" t="s">
        <v>291</v>
      </c>
      <c r="V971" t="s">
        <v>289</v>
      </c>
      <c r="W971" s="32"/>
      <c r="X971" s="32"/>
      <c r="Y971" s="26"/>
      <c r="Z971" s="26"/>
      <c r="AA971" s="27">
        <f>IF(TA[[#This Row],[Work Start time on Fault]]="NA","",(TA[[#This Row],[Fault Acknowledgement Time ]]-TA[[#This Row],[Fault Time]])*24)</f>
        <v>0</v>
      </c>
      <c r="AB971" s="27">
        <f>(TA[[#This Row],[Work Start time on Fault]]-TA[[#This Row],[Fault Time]])*24</f>
        <v>0</v>
      </c>
      <c r="AC971" s="26">
        <f>(TA[[#This Row],[Work Completion time on fault]]-TA[[#This Row],[Fault Time]])*24</f>
        <v>0</v>
      </c>
      <c r="AD971" s="27">
        <f>IFERROR((TA[[#This Row],[Work Completion time on fault]]-TA[[#This Row],[Fault Time]])*24,"")</f>
        <v>0</v>
      </c>
      <c r="AE971" t="s">
        <v>319</v>
      </c>
      <c r="AF971" t="s">
        <v>247</v>
      </c>
      <c r="AG971" s="2"/>
      <c r="AH971" s="35">
        <f>1-COS(RADIANS(TA[[#This Row],[Avg. Target Angle during Fault Time (Radians)]]-TA[[#This Row],[Angle of affected equipment ]]))</f>
        <v>0.11705240714107301</v>
      </c>
      <c r="AI971" s="27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43">
        <f t="shared" si="92"/>
        <v>2026</v>
      </c>
      <c r="C972" s="116">
        <f t="shared" si="93"/>
        <v>2025</v>
      </c>
      <c r="D972" s="2" t="s">
        <v>155</v>
      </c>
      <c r="E972" s="2" t="s">
        <v>155</v>
      </c>
      <c r="F972" s="30">
        <v>45809</v>
      </c>
      <c r="G972" s="2">
        <f>DAY(EOMONTH(TA[[#This Row],[Month Year]],0))</f>
        <v>30</v>
      </c>
      <c r="H972" s="21">
        <v>45812</v>
      </c>
      <c r="I972" s="32">
        <f>IFERROR(VLOOKUP(TA[[#This Row],[Date]],Raw_Data[[Date]:[Sunset Time (POA&lt;20 W/m2)]],3,0),"")</f>
        <v>0.24513888888888888</v>
      </c>
      <c r="J972" s="32">
        <f>IFERROR(VLOOKUP(TA[[#This Row],[Date]],Raw_Data[[Date]:[Sunset Time (POA&lt;20 W/m2)]],4,0),"")</f>
        <v>0.7680555555555556</v>
      </c>
      <c r="K972" s="27">
        <f>IFERROR((TA[[#This Row],[Sunset Time (POA&lt;20 W/m2)]]-TA[[#This Row],[Sunrise Time (POA&gt;20 W/m2)]])*24,"")</f>
        <v>12.55</v>
      </c>
      <c r="L972" s="2" t="s">
        <v>285</v>
      </c>
      <c r="M972" s="33">
        <f>IFERROR(VLOOKUP(TA[[#This Row],[Affected Equipment]],'Basic Data'!$I$2:$K$40,3,0),"")</f>
        <v>1.7241379310344799E-3</v>
      </c>
      <c r="N972">
        <v>-28</v>
      </c>
      <c r="O972" t="s">
        <v>135</v>
      </c>
      <c r="P972" s="114" t="s">
        <v>309</v>
      </c>
      <c r="Q972" s="113" t="s">
        <v>309</v>
      </c>
      <c r="R972">
        <v>131</v>
      </c>
      <c r="S972" s="2">
        <v>39</v>
      </c>
      <c r="T972" t="s">
        <v>286</v>
      </c>
      <c r="U972" t="s">
        <v>291</v>
      </c>
      <c r="V972" t="s">
        <v>289</v>
      </c>
      <c r="W972" s="32"/>
      <c r="X972" s="32"/>
      <c r="Y972" s="26"/>
      <c r="Z972" s="26"/>
      <c r="AA972" s="27">
        <f>IF(TA[[#This Row],[Work Start time on Fault]]="NA","",(TA[[#This Row],[Fault Acknowledgement Time ]]-TA[[#This Row],[Fault Time]])*24)</f>
        <v>0</v>
      </c>
      <c r="AB972" s="27">
        <f>(TA[[#This Row],[Work Start time on Fault]]-TA[[#This Row],[Fault Time]])*24</f>
        <v>0</v>
      </c>
      <c r="AC972" s="26">
        <f>(TA[[#This Row],[Work Completion time on fault]]-TA[[#This Row],[Fault Time]])*24</f>
        <v>0</v>
      </c>
      <c r="AD972" s="27">
        <f>IFERROR((TA[[#This Row],[Work Completion time on fault]]-TA[[#This Row],[Fault Time]])*24,"")</f>
        <v>0</v>
      </c>
      <c r="AE972" t="s">
        <v>319</v>
      </c>
      <c r="AF972" t="s">
        <v>247</v>
      </c>
      <c r="AG972" s="2"/>
      <c r="AH972" s="35">
        <f>1-COS(RADIANS(TA[[#This Row],[Avg. Target Angle during Fault Time (Radians)]]-TA[[#This Row],[Angle of affected equipment ]]))</f>
        <v>0.11705240714107301</v>
      </c>
      <c r="AI972" s="27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43">
        <f t="shared" si="92"/>
        <v>2026</v>
      </c>
      <c r="C973" s="116">
        <f t="shared" si="93"/>
        <v>2025</v>
      </c>
      <c r="D973" s="2" t="s">
        <v>155</v>
      </c>
      <c r="E973" s="2" t="s">
        <v>155</v>
      </c>
      <c r="F973" s="30">
        <v>45809</v>
      </c>
      <c r="G973" s="2">
        <f>DAY(EOMONTH(TA[[#This Row],[Month Year]],0))</f>
        <v>30</v>
      </c>
      <c r="H973" s="21">
        <v>45812</v>
      </c>
      <c r="I973" s="32">
        <f>IFERROR(VLOOKUP(TA[[#This Row],[Date]],Raw_Data[[Date]:[Sunset Time (POA&lt;20 W/m2)]],3,0),"")</f>
        <v>0.24513888888888888</v>
      </c>
      <c r="J973" s="32">
        <f>IFERROR(VLOOKUP(TA[[#This Row],[Date]],Raw_Data[[Date]:[Sunset Time (POA&lt;20 W/m2)]],4,0),"")</f>
        <v>0.7680555555555556</v>
      </c>
      <c r="K973" s="27">
        <f>IFERROR((TA[[#This Row],[Sunset Time (POA&lt;20 W/m2)]]-TA[[#This Row],[Sunrise Time (POA&gt;20 W/m2)]])*24,"")</f>
        <v>12.55</v>
      </c>
      <c r="L973" s="2" t="s">
        <v>287</v>
      </c>
      <c r="M973" s="33">
        <f>IFERROR(VLOOKUP(TA[[#This Row],[Affected Equipment]],'Basic Data'!$I$2:$K$40,3,0),"")</f>
        <v>8.6206896551724102E-3</v>
      </c>
      <c r="N973">
        <v>-28</v>
      </c>
      <c r="O973" t="s">
        <v>135</v>
      </c>
      <c r="P973" s="114" t="s">
        <v>309</v>
      </c>
      <c r="Q973" s="2" t="s">
        <v>312</v>
      </c>
      <c r="R973">
        <v>133</v>
      </c>
      <c r="S973" s="2">
        <v>26</v>
      </c>
      <c r="T973" t="s">
        <v>288</v>
      </c>
      <c r="U973" t="s">
        <v>291</v>
      </c>
      <c r="V973" t="s">
        <v>305</v>
      </c>
      <c r="W973" s="32">
        <f>IFERROR(VLOOKUP(TA[[#This Row],[Date]],Raw_Data[[Date]:[Sunset Time (POA&lt;20 W/m2)]],3,0),"")</f>
        <v>0.24513888888888888</v>
      </c>
      <c r="X973" s="32">
        <f>IFERROR(VLOOKUP(TA[[#This Row],[Date]],Raw_Data[[Date]:[Sunset Time (POA&lt;20 W/m2)]],3,0),"")</f>
        <v>0.24513888888888888</v>
      </c>
      <c r="Y973" s="26"/>
      <c r="Z973" s="26">
        <v>0.76041666666666663</v>
      </c>
      <c r="AA973" s="27">
        <f>IF(TA[[#This Row],[Work Start time on Fault]]="NA","",(TA[[#This Row],[Fault Acknowledgement Time ]]-TA[[#This Row],[Fault Time]])*24)</f>
        <v>0</v>
      </c>
      <c r="AB973" s="27">
        <f>(TA[[#This Row],[Work Start time on Fault]]-TA[[#This Row],[Fault Time]])*24</f>
        <v>-5.8833333333333329</v>
      </c>
      <c r="AC973" s="26">
        <f>(TA[[#This Row],[Work Completion time on fault]]-TA[[#This Row],[Fault Time]])*24</f>
        <v>12.366666666666665</v>
      </c>
      <c r="AD973" s="27">
        <f>IFERROR((TA[[#This Row],[Work Completion time on fault]]-TA[[#This Row],[Fault Time]])*24,"")</f>
        <v>12.366666666666665</v>
      </c>
      <c r="AE973" t="s">
        <v>319</v>
      </c>
      <c r="AF973" t="s">
        <v>247</v>
      </c>
      <c r="AG973" s="2"/>
      <c r="AH973" s="35">
        <f>1-COS(RADIANS(TA[[#This Row],[Avg. Target Angle during Fault Time (Radians)]]-TA[[#This Row],[Angle of affected equipment ]]))</f>
        <v>0.11705240714107301</v>
      </c>
      <c r="AI973" s="27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43">
        <f t="shared" si="92"/>
        <v>2026</v>
      </c>
      <c r="C974" s="116">
        <f t="shared" si="93"/>
        <v>2025</v>
      </c>
      <c r="D974" s="2" t="s">
        <v>155</v>
      </c>
      <c r="E974" s="2" t="s">
        <v>155</v>
      </c>
      <c r="F974" s="30">
        <v>45809</v>
      </c>
      <c r="G974" s="2">
        <f>DAY(EOMONTH(TA[[#This Row],[Month Year]],0))</f>
        <v>30</v>
      </c>
      <c r="H974" s="21">
        <v>45812</v>
      </c>
      <c r="I974" s="32">
        <f>IFERROR(VLOOKUP(TA[[#This Row],[Date]],Raw_Data[[Date]:[Sunset Time (POA&lt;20 W/m2)]],3,0),"")</f>
        <v>0.24513888888888888</v>
      </c>
      <c r="J974" s="32">
        <f>IFERROR(VLOOKUP(TA[[#This Row],[Date]],Raw_Data[[Date]:[Sunset Time (POA&lt;20 W/m2)]],4,0),"")</f>
        <v>0.7680555555555556</v>
      </c>
      <c r="K974" s="27">
        <f>IFERROR((TA[[#This Row],[Sunset Time (POA&lt;20 W/m2)]]-TA[[#This Row],[Sunrise Time (POA&gt;20 W/m2)]])*24,"")</f>
        <v>12.55</v>
      </c>
      <c r="L974" s="2" t="s">
        <v>285</v>
      </c>
      <c r="M974" s="33">
        <f>IFERROR(VLOOKUP(TA[[#This Row],[Affected Equipment]],'Basic Data'!$I$2:$K$40,3,0),"")</f>
        <v>1.7241379310344799E-3</v>
      </c>
      <c r="N974">
        <v>-28</v>
      </c>
      <c r="O974" t="s">
        <v>133</v>
      </c>
      <c r="P974" s="114" t="s">
        <v>307</v>
      </c>
      <c r="Q974" s="113" t="s">
        <v>308</v>
      </c>
      <c r="R974">
        <v>7</v>
      </c>
      <c r="S974" s="2">
        <v>32</v>
      </c>
      <c r="T974" t="s">
        <v>286</v>
      </c>
      <c r="U974" t="s">
        <v>291</v>
      </c>
      <c r="V974" t="s">
        <v>289</v>
      </c>
      <c r="W974" s="32"/>
      <c r="X974" s="32"/>
      <c r="Y974" s="26"/>
      <c r="Z974" s="26"/>
      <c r="AA974" s="27">
        <f>IF(TA[[#This Row],[Work Start time on Fault]]="NA","",(TA[[#This Row],[Fault Acknowledgement Time ]]-TA[[#This Row],[Fault Time]])*24)</f>
        <v>0</v>
      </c>
      <c r="AB974" s="27">
        <f>(TA[[#This Row],[Work Start time on Fault]]-TA[[#This Row],[Fault Time]])*24</f>
        <v>0</v>
      </c>
      <c r="AC974" s="26">
        <f>(TA[[#This Row],[Work Completion time on fault]]-TA[[#This Row],[Fault Time]])*24</f>
        <v>0</v>
      </c>
      <c r="AD974" s="27">
        <f>IFERROR((TA[[#This Row],[Work Completion time on fault]]-TA[[#This Row],[Fault Time]])*24,"")</f>
        <v>0</v>
      </c>
      <c r="AE974" t="s">
        <v>319</v>
      </c>
      <c r="AF974" t="s">
        <v>247</v>
      </c>
      <c r="AG974" s="2"/>
      <c r="AH974" s="35">
        <f>1-COS(RADIANS(TA[[#This Row],[Avg. Target Angle during Fault Time (Radians)]]-TA[[#This Row],[Angle of affected equipment ]]))</f>
        <v>0.11705240714107301</v>
      </c>
      <c r="AI974" s="27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43">
        <f t="shared" si="92"/>
        <v>2026</v>
      </c>
      <c r="C975" s="116">
        <f t="shared" si="93"/>
        <v>2025</v>
      </c>
      <c r="D975" s="2" t="s">
        <v>155</v>
      </c>
      <c r="E975" s="2" t="s">
        <v>155</v>
      </c>
      <c r="F975" s="30">
        <v>45809</v>
      </c>
      <c r="G975" s="2">
        <f>DAY(EOMONTH(TA[[#This Row],[Month Year]],0))</f>
        <v>30</v>
      </c>
      <c r="H975" s="21">
        <v>45812</v>
      </c>
      <c r="I975" s="32">
        <f>IFERROR(VLOOKUP(TA[[#This Row],[Date]],Raw_Data[[Date]:[Sunset Time (POA&lt;20 W/m2)]],3,0),"")</f>
        <v>0.24513888888888888</v>
      </c>
      <c r="J975" s="32">
        <f>IFERROR(VLOOKUP(TA[[#This Row],[Date]],Raw_Data[[Date]:[Sunset Time (POA&lt;20 W/m2)]],4,0),"")</f>
        <v>0.7680555555555556</v>
      </c>
      <c r="K975" s="27">
        <f>IFERROR((TA[[#This Row],[Sunset Time (POA&lt;20 W/m2)]]-TA[[#This Row],[Sunrise Time (POA&gt;20 W/m2)]])*24,"")</f>
        <v>12.55</v>
      </c>
      <c r="L975" s="2" t="s">
        <v>285</v>
      </c>
      <c r="M975" s="33">
        <f>IFERROR(VLOOKUP(TA[[#This Row],[Affected Equipment]],'Basic Data'!$I$2:$K$40,3,0),"")</f>
        <v>1.7241379310344799E-3</v>
      </c>
      <c r="N975">
        <v>-28</v>
      </c>
      <c r="O975" t="s">
        <v>137</v>
      </c>
      <c r="P975" s="114" t="s">
        <v>306</v>
      </c>
      <c r="Q975" s="113" t="s">
        <v>310</v>
      </c>
      <c r="R975">
        <v>166</v>
      </c>
      <c r="S975" s="2">
        <v>91</v>
      </c>
      <c r="T975" t="s">
        <v>286</v>
      </c>
      <c r="U975" t="s">
        <v>291</v>
      </c>
      <c r="V975" t="s">
        <v>289</v>
      </c>
      <c r="W975" s="32"/>
      <c r="X975" s="32"/>
      <c r="Y975" s="26"/>
      <c r="Z975" s="26"/>
      <c r="AA975" s="27">
        <f>IF(TA[[#This Row],[Work Start time on Fault]]="NA","",(TA[[#This Row],[Fault Acknowledgement Time ]]-TA[[#This Row],[Fault Time]])*24)</f>
        <v>0</v>
      </c>
      <c r="AB975" s="27">
        <f>(TA[[#This Row],[Work Start time on Fault]]-TA[[#This Row],[Fault Time]])*24</f>
        <v>0</v>
      </c>
      <c r="AC975" s="26">
        <f>(TA[[#This Row],[Work Completion time on fault]]-TA[[#This Row],[Fault Time]])*24</f>
        <v>0</v>
      </c>
      <c r="AD975" s="27">
        <f>IFERROR((TA[[#This Row],[Work Completion time on fault]]-TA[[#This Row],[Fault Time]])*24,"")</f>
        <v>0</v>
      </c>
      <c r="AE975" t="s">
        <v>319</v>
      </c>
      <c r="AF975" t="s">
        <v>247</v>
      </c>
      <c r="AG975" s="2"/>
      <c r="AH975" s="35">
        <f>1-COS(RADIANS(TA[[#This Row],[Avg. Target Angle during Fault Time (Radians)]]-TA[[#This Row],[Angle of affected equipment ]]))</f>
        <v>0.11705240714107301</v>
      </c>
      <c r="AI975" s="27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43">
        <f t="shared" si="92"/>
        <v>2026</v>
      </c>
      <c r="C976" s="116">
        <f t="shared" si="93"/>
        <v>2025</v>
      </c>
      <c r="D976" s="2" t="s">
        <v>155</v>
      </c>
      <c r="E976" s="2" t="s">
        <v>155</v>
      </c>
      <c r="F976" s="30">
        <v>45809</v>
      </c>
      <c r="G976" s="2">
        <f>DAY(EOMONTH(TA[[#This Row],[Month Year]],0))</f>
        <v>30</v>
      </c>
      <c r="H976" s="21">
        <v>45812</v>
      </c>
      <c r="I976" s="32">
        <f>IFERROR(VLOOKUP(TA[[#This Row],[Date]],Raw_Data[[Date]:[Sunset Time (POA&lt;20 W/m2)]],3,0),"")</f>
        <v>0.24513888888888888</v>
      </c>
      <c r="J976" s="32">
        <f>IFERROR(VLOOKUP(TA[[#This Row],[Date]],Raw_Data[[Date]:[Sunset Time (POA&lt;20 W/m2)]],4,0),"")</f>
        <v>0.7680555555555556</v>
      </c>
      <c r="K976" s="27">
        <f>IFERROR((TA[[#This Row],[Sunset Time (POA&lt;20 W/m2)]]-TA[[#This Row],[Sunrise Time (POA&gt;20 W/m2)]])*24,"")</f>
        <v>12.55</v>
      </c>
      <c r="L976" s="2" t="s">
        <v>285</v>
      </c>
      <c r="M976" s="33">
        <f>IFERROR(VLOOKUP(TA[[#This Row],[Affected Equipment]],'Basic Data'!$I$2:$K$40,3,0),"")</f>
        <v>1.7241379310344799E-3</v>
      </c>
      <c r="N976">
        <v>-28</v>
      </c>
      <c r="O976" t="s">
        <v>133</v>
      </c>
      <c r="P976" s="114" t="s">
        <v>307</v>
      </c>
      <c r="Q976" s="113" t="s">
        <v>307</v>
      </c>
      <c r="R976">
        <v>117</v>
      </c>
      <c r="S976" s="2">
        <v>20</v>
      </c>
      <c r="T976" t="s">
        <v>286</v>
      </c>
      <c r="U976" t="s">
        <v>291</v>
      </c>
      <c r="V976" t="s">
        <v>289</v>
      </c>
      <c r="W976" s="32"/>
      <c r="X976" s="32"/>
      <c r="Y976" s="26"/>
      <c r="Z976" s="26"/>
      <c r="AA976" s="27">
        <f>IF(TA[[#This Row],[Work Start time on Fault]]="NA","",(TA[[#This Row],[Fault Acknowledgement Time ]]-TA[[#This Row],[Fault Time]])*24)</f>
        <v>0</v>
      </c>
      <c r="AB976" s="27">
        <f>(TA[[#This Row],[Work Start time on Fault]]-TA[[#This Row],[Fault Time]])*24</f>
        <v>0</v>
      </c>
      <c r="AC976" s="26">
        <f>(TA[[#This Row],[Work Completion time on fault]]-TA[[#This Row],[Fault Time]])*24</f>
        <v>0</v>
      </c>
      <c r="AD976" s="27">
        <f>IFERROR((TA[[#This Row],[Work Completion time on fault]]-TA[[#This Row],[Fault Time]])*24,"")</f>
        <v>0</v>
      </c>
      <c r="AE976" t="s">
        <v>319</v>
      </c>
      <c r="AF976" t="s">
        <v>247</v>
      </c>
      <c r="AG976" s="2"/>
      <c r="AH976" s="35">
        <f>1-COS(RADIANS(TA[[#This Row],[Avg. Target Angle during Fault Time (Radians)]]-TA[[#This Row],[Angle of affected equipment ]]))</f>
        <v>0.11705240714107301</v>
      </c>
      <c r="AI976" s="27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43">
        <f t="shared" si="92"/>
        <v>2026</v>
      </c>
      <c r="C977" s="116">
        <f t="shared" si="93"/>
        <v>2025</v>
      </c>
      <c r="D977" s="2" t="s">
        <v>155</v>
      </c>
      <c r="E977" s="2" t="s">
        <v>155</v>
      </c>
      <c r="F977" s="30">
        <v>45809</v>
      </c>
      <c r="G977" s="2">
        <f>DAY(EOMONTH(TA[[#This Row],[Month Year]],0))</f>
        <v>30</v>
      </c>
      <c r="H977" s="21">
        <v>45812</v>
      </c>
      <c r="I977" s="32">
        <f>IFERROR(VLOOKUP(TA[[#This Row],[Date]],Raw_Data[[Date]:[Sunset Time (POA&lt;20 W/m2)]],3,0),"")</f>
        <v>0.24513888888888888</v>
      </c>
      <c r="J977" s="32">
        <f>IFERROR(VLOOKUP(TA[[#This Row],[Date]],Raw_Data[[Date]:[Sunset Time (POA&lt;20 W/m2)]],4,0),"")</f>
        <v>0.7680555555555556</v>
      </c>
      <c r="K977" s="27">
        <f>IFERROR((TA[[#This Row],[Sunset Time (POA&lt;20 W/m2)]]-TA[[#This Row],[Sunrise Time (POA&gt;20 W/m2)]])*24,"")</f>
        <v>12.55</v>
      </c>
      <c r="L977" s="2" t="s">
        <v>285</v>
      </c>
      <c r="M977" s="33">
        <f>IFERROR(VLOOKUP(TA[[#This Row],[Affected Equipment]],'Basic Data'!$I$2:$K$40,3,0),"")</f>
        <v>1.7241379310344799E-3</v>
      </c>
      <c r="N977">
        <v>-28</v>
      </c>
      <c r="O977" t="s">
        <v>133</v>
      </c>
      <c r="P977" s="114" t="s">
        <v>307</v>
      </c>
      <c r="Q977" s="113" t="s">
        <v>307</v>
      </c>
      <c r="R977">
        <v>118</v>
      </c>
      <c r="S977" s="2">
        <v>22</v>
      </c>
      <c r="T977" t="s">
        <v>286</v>
      </c>
      <c r="U977" t="s">
        <v>291</v>
      </c>
      <c r="V977" t="s">
        <v>289</v>
      </c>
      <c r="W977" s="32"/>
      <c r="X977" s="32"/>
      <c r="Y977" s="26"/>
      <c r="Z977" s="26"/>
      <c r="AA977" s="27">
        <f>IF(TA[[#This Row],[Work Start time on Fault]]="NA","",(TA[[#This Row],[Fault Acknowledgement Time ]]-TA[[#This Row],[Fault Time]])*24)</f>
        <v>0</v>
      </c>
      <c r="AB977" s="27">
        <f>(TA[[#This Row],[Work Start time on Fault]]-TA[[#This Row],[Fault Time]])*24</f>
        <v>0</v>
      </c>
      <c r="AC977" s="26">
        <f>(TA[[#This Row],[Work Completion time on fault]]-TA[[#This Row],[Fault Time]])*24</f>
        <v>0</v>
      </c>
      <c r="AD977" s="27">
        <f>IFERROR((TA[[#This Row],[Work Completion time on fault]]-TA[[#This Row],[Fault Time]])*24,"")</f>
        <v>0</v>
      </c>
      <c r="AE977" t="s">
        <v>319</v>
      </c>
      <c r="AF977" t="s">
        <v>247</v>
      </c>
      <c r="AG977" s="2"/>
      <c r="AH977" s="35">
        <f>1-COS(RADIANS(TA[[#This Row],[Avg. Target Angle during Fault Time (Radians)]]-TA[[#This Row],[Angle of affected equipment ]]))</f>
        <v>0.11705240714107301</v>
      </c>
      <c r="AI977" s="27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43">
        <f t="shared" si="92"/>
        <v>2026</v>
      </c>
      <c r="C978" s="116">
        <f t="shared" si="93"/>
        <v>2025</v>
      </c>
      <c r="D978" s="2" t="s">
        <v>155</v>
      </c>
      <c r="E978" s="2" t="s">
        <v>155</v>
      </c>
      <c r="F978" s="30">
        <v>45809</v>
      </c>
      <c r="G978" s="2">
        <f>DAY(EOMONTH(TA[[#This Row],[Month Year]],0))</f>
        <v>30</v>
      </c>
      <c r="H978" s="21">
        <v>45812</v>
      </c>
      <c r="I978" s="32">
        <f>IFERROR(VLOOKUP(TA[[#This Row],[Date]],Raw_Data[[Date]:[Sunset Time (POA&lt;20 W/m2)]],3,0),"")</f>
        <v>0.24513888888888888</v>
      </c>
      <c r="J978" s="32">
        <f>IFERROR(VLOOKUP(TA[[#This Row],[Date]],Raw_Data[[Date]:[Sunset Time (POA&lt;20 W/m2)]],4,0),"")</f>
        <v>0.7680555555555556</v>
      </c>
      <c r="K978" s="27">
        <f>IFERROR((TA[[#This Row],[Sunset Time (POA&lt;20 W/m2)]]-TA[[#This Row],[Sunrise Time (POA&gt;20 W/m2)]])*24,"")</f>
        <v>12.55</v>
      </c>
      <c r="L978" s="2" t="s">
        <v>287</v>
      </c>
      <c r="M978" s="33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314</v>
      </c>
      <c r="Q978" s="2" t="s">
        <v>320</v>
      </c>
      <c r="R978">
        <v>45</v>
      </c>
      <c r="S978" s="2">
        <v>8</v>
      </c>
      <c r="T978" t="s">
        <v>288</v>
      </c>
      <c r="U978" t="s">
        <v>291</v>
      </c>
      <c r="V978" t="s">
        <v>292</v>
      </c>
      <c r="W978" s="32"/>
      <c r="X978" s="32"/>
      <c r="Y978" s="26"/>
      <c r="Z978" s="26"/>
      <c r="AA978" s="27">
        <f>IF(TA[[#This Row],[Work Start time on Fault]]="NA","",(TA[[#This Row],[Fault Acknowledgement Time ]]-TA[[#This Row],[Fault Time]])*24)</f>
        <v>0</v>
      </c>
      <c r="AB978" s="27">
        <f>(TA[[#This Row],[Work Start time on Fault]]-TA[[#This Row],[Fault Time]])*24</f>
        <v>0</v>
      </c>
      <c r="AC978" s="26">
        <f>(TA[[#This Row],[Work Completion time on fault]]-TA[[#This Row],[Fault Time]])*24</f>
        <v>0</v>
      </c>
      <c r="AD978" s="27">
        <f>IFERROR((TA[[#This Row],[Work Completion time on fault]]-TA[[#This Row],[Fault Time]])*24,"")</f>
        <v>0</v>
      </c>
      <c r="AE978" t="s">
        <v>319</v>
      </c>
      <c r="AF978" t="s">
        <v>247</v>
      </c>
      <c r="AG978" s="2"/>
      <c r="AH978" s="35">
        <f>1-COS(RADIANS(TA[[#This Row],[Avg. Target Angle during Fault Time (Radians)]]-TA[[#This Row],[Angle of affected equipment ]]))</f>
        <v>0.11705240714107301</v>
      </c>
      <c r="AI978" s="27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43">
        <f t="shared" si="92"/>
        <v>2026</v>
      </c>
      <c r="C979" s="116">
        <f t="shared" si="93"/>
        <v>2025</v>
      </c>
      <c r="D979" s="2" t="s">
        <v>155</v>
      </c>
      <c r="E979" s="2" t="s">
        <v>155</v>
      </c>
      <c r="F979" s="30">
        <v>45809</v>
      </c>
      <c r="G979" s="2">
        <f>DAY(EOMONTH(TA[[#This Row],[Month Year]],0))</f>
        <v>30</v>
      </c>
      <c r="H979" s="21">
        <v>45812</v>
      </c>
      <c r="I979" s="32">
        <f>IFERROR(VLOOKUP(TA[[#This Row],[Date]],Raw_Data[[Date]:[Sunset Time (POA&lt;20 W/m2)]],3,0),"")</f>
        <v>0.24513888888888888</v>
      </c>
      <c r="J979" s="32">
        <f>IFERROR(VLOOKUP(TA[[#This Row],[Date]],Raw_Data[[Date]:[Sunset Time (POA&lt;20 W/m2)]],4,0),"")</f>
        <v>0.7680555555555556</v>
      </c>
      <c r="K979" s="27">
        <f>IFERROR((TA[[#This Row],[Sunset Time (POA&lt;20 W/m2)]]-TA[[#This Row],[Sunrise Time (POA&gt;20 W/m2)]])*24,"")</f>
        <v>12.55</v>
      </c>
      <c r="L979" s="2" t="s">
        <v>287</v>
      </c>
      <c r="M979" s="33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314</v>
      </c>
      <c r="Q979" s="2" t="s">
        <v>320</v>
      </c>
      <c r="R979">
        <v>47</v>
      </c>
      <c r="S979" s="2">
        <v>18</v>
      </c>
      <c r="T979" t="s">
        <v>288</v>
      </c>
      <c r="U979" t="s">
        <v>291</v>
      </c>
      <c r="V979" t="s">
        <v>292</v>
      </c>
      <c r="W979" s="32"/>
      <c r="X979" s="32"/>
      <c r="Y979" s="26"/>
      <c r="Z979" s="26"/>
      <c r="AA979" s="27">
        <f>IF(TA[[#This Row],[Work Start time on Fault]]="NA","",(TA[[#This Row],[Fault Acknowledgement Time ]]-TA[[#This Row],[Fault Time]])*24)</f>
        <v>0</v>
      </c>
      <c r="AB979" s="27">
        <f>(TA[[#This Row],[Work Start time on Fault]]-TA[[#This Row],[Fault Time]])*24</f>
        <v>0</v>
      </c>
      <c r="AC979" s="26">
        <f>(TA[[#This Row],[Work Completion time on fault]]-TA[[#This Row],[Fault Time]])*24</f>
        <v>0</v>
      </c>
      <c r="AD979" s="27">
        <f>IFERROR((TA[[#This Row],[Work Completion time on fault]]-TA[[#This Row],[Fault Time]])*24,"")</f>
        <v>0</v>
      </c>
      <c r="AE979" t="s">
        <v>319</v>
      </c>
      <c r="AF979" t="s">
        <v>247</v>
      </c>
      <c r="AG979" s="2"/>
      <c r="AH979" s="35">
        <f>1-COS(RADIANS(TA[[#This Row],[Avg. Target Angle during Fault Time (Radians)]]-TA[[#This Row],[Angle of affected equipment ]]))</f>
        <v>0.11705240714107301</v>
      </c>
      <c r="AI979" s="27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43">
        <f t="shared" si="92"/>
        <v>2026</v>
      </c>
      <c r="C980" s="116">
        <f t="shared" si="93"/>
        <v>2025</v>
      </c>
      <c r="D980" s="2" t="s">
        <v>155</v>
      </c>
      <c r="E980" s="2" t="s">
        <v>155</v>
      </c>
      <c r="F980" s="30">
        <v>45809</v>
      </c>
      <c r="G980" s="2">
        <f>DAY(EOMONTH(TA[[#This Row],[Month Year]],0))</f>
        <v>30</v>
      </c>
      <c r="H980" s="21">
        <v>45812</v>
      </c>
      <c r="I980" s="32">
        <f>IFERROR(VLOOKUP(TA[[#This Row],[Date]],Raw_Data[[Date]:[Sunset Time (POA&lt;20 W/m2)]],3,0),"")</f>
        <v>0.24513888888888888</v>
      </c>
      <c r="J980" s="32">
        <f>IFERROR(VLOOKUP(TA[[#This Row],[Date]],Raw_Data[[Date]:[Sunset Time (POA&lt;20 W/m2)]],4,0),"")</f>
        <v>0.7680555555555556</v>
      </c>
      <c r="K980" s="27">
        <f>IFERROR((TA[[#This Row],[Sunset Time (POA&lt;20 W/m2)]]-TA[[#This Row],[Sunrise Time (POA&gt;20 W/m2)]])*24,"")</f>
        <v>12.55</v>
      </c>
      <c r="L980" s="2" t="s">
        <v>287</v>
      </c>
      <c r="M980" s="33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321</v>
      </c>
      <c r="Q980" s="2" t="s">
        <v>314</v>
      </c>
      <c r="R980">
        <v>30</v>
      </c>
      <c r="S980" s="2">
        <v>57</v>
      </c>
      <c r="T980" t="s">
        <v>288</v>
      </c>
      <c r="U980" t="s">
        <v>291</v>
      </c>
      <c r="V980" t="s">
        <v>292</v>
      </c>
      <c r="W980" s="32"/>
      <c r="X980" s="32"/>
      <c r="Y980" s="26"/>
      <c r="Z980" s="26"/>
      <c r="AA980" s="27">
        <f>IF(TA[[#This Row],[Work Start time on Fault]]="NA","",(TA[[#This Row],[Fault Acknowledgement Time ]]-TA[[#This Row],[Fault Time]])*24)</f>
        <v>0</v>
      </c>
      <c r="AB980" s="27">
        <f>(TA[[#This Row],[Work Start time on Fault]]-TA[[#This Row],[Fault Time]])*24</f>
        <v>0</v>
      </c>
      <c r="AC980" s="26">
        <f>(TA[[#This Row],[Work Completion time on fault]]-TA[[#This Row],[Fault Time]])*24</f>
        <v>0</v>
      </c>
      <c r="AD980" s="27">
        <f>IFERROR((TA[[#This Row],[Work Completion time on fault]]-TA[[#This Row],[Fault Time]])*24,"")</f>
        <v>0</v>
      </c>
      <c r="AE980" t="s">
        <v>319</v>
      </c>
      <c r="AF980" t="s">
        <v>247</v>
      </c>
      <c r="AG980" s="2"/>
      <c r="AH980" s="35">
        <f>1-COS(RADIANS(TA[[#This Row],[Avg. Target Angle during Fault Time (Radians)]]-TA[[#This Row],[Angle of affected equipment ]]))</f>
        <v>0.11705240714107301</v>
      </c>
      <c r="AI980" s="27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43">
        <f t="shared" si="92"/>
        <v>2026</v>
      </c>
      <c r="C981" s="116">
        <f t="shared" si="93"/>
        <v>2025</v>
      </c>
      <c r="D981" s="2" t="s">
        <v>155</v>
      </c>
      <c r="E981" s="2" t="s">
        <v>155</v>
      </c>
      <c r="F981" s="30">
        <v>45809</v>
      </c>
      <c r="G981" s="2">
        <f>DAY(EOMONTH(TA[[#This Row],[Month Year]],0))</f>
        <v>30</v>
      </c>
      <c r="H981" s="21">
        <v>45812</v>
      </c>
      <c r="I981" s="32">
        <f>IFERROR(VLOOKUP(TA[[#This Row],[Date]],Raw_Data[[Date]:[Sunset Time (POA&lt;20 W/m2)]],3,0),"")</f>
        <v>0.24513888888888888</v>
      </c>
      <c r="J981" s="32">
        <f>IFERROR(VLOOKUP(TA[[#This Row],[Date]],Raw_Data[[Date]:[Sunset Time (POA&lt;20 W/m2)]],4,0),"")</f>
        <v>0.7680555555555556</v>
      </c>
      <c r="K981" s="27">
        <f>IFERROR((TA[[#This Row],[Sunset Time (POA&lt;20 W/m2)]]-TA[[#This Row],[Sunrise Time (POA&gt;20 W/m2)]])*24,"")</f>
        <v>12.55</v>
      </c>
      <c r="L981" s="2" t="s">
        <v>287</v>
      </c>
      <c r="M981" s="33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321</v>
      </c>
      <c r="Q981" s="2" t="s">
        <v>314</v>
      </c>
      <c r="R981">
        <v>31</v>
      </c>
      <c r="S981" s="2">
        <v>61</v>
      </c>
      <c r="T981" t="s">
        <v>288</v>
      </c>
      <c r="U981" t="s">
        <v>291</v>
      </c>
      <c r="V981" t="s">
        <v>292</v>
      </c>
      <c r="W981" s="32"/>
      <c r="X981" s="32"/>
      <c r="Y981" s="26"/>
      <c r="Z981" s="26"/>
      <c r="AA981" s="27">
        <f>IF(TA[[#This Row],[Work Start time on Fault]]="NA","",(TA[[#This Row],[Fault Acknowledgement Time ]]-TA[[#This Row],[Fault Time]])*24)</f>
        <v>0</v>
      </c>
      <c r="AB981" s="27">
        <f>(TA[[#This Row],[Work Start time on Fault]]-TA[[#This Row],[Fault Time]])*24</f>
        <v>0</v>
      </c>
      <c r="AC981" s="26">
        <f>(TA[[#This Row],[Work Completion time on fault]]-TA[[#This Row],[Fault Time]])*24</f>
        <v>0</v>
      </c>
      <c r="AD981" s="27">
        <f>IFERROR((TA[[#This Row],[Work Completion time on fault]]-TA[[#This Row],[Fault Time]])*24,"")</f>
        <v>0</v>
      </c>
      <c r="AE981" t="s">
        <v>319</v>
      </c>
      <c r="AF981" t="s">
        <v>247</v>
      </c>
      <c r="AG981" s="2"/>
      <c r="AH981" s="35">
        <f>1-COS(RADIANS(TA[[#This Row],[Avg. Target Angle during Fault Time (Radians)]]-TA[[#This Row],[Angle of affected equipment ]]))</f>
        <v>0.11705240714107301</v>
      </c>
      <c r="AI981" s="27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43">
        <f t="shared" si="92"/>
        <v>2026</v>
      </c>
      <c r="C982" s="116">
        <f t="shared" si="93"/>
        <v>2025</v>
      </c>
      <c r="D982" s="2" t="s">
        <v>155</v>
      </c>
      <c r="E982" s="2" t="s">
        <v>155</v>
      </c>
      <c r="F982" s="30">
        <v>45809</v>
      </c>
      <c r="G982" s="2">
        <f>DAY(EOMONTH(TA[[#This Row],[Month Year]],0))</f>
        <v>30</v>
      </c>
      <c r="H982" s="21">
        <v>45812</v>
      </c>
      <c r="I982" s="32">
        <f>IFERROR(VLOOKUP(TA[[#This Row],[Date]],Raw_Data[[Date]:[Sunset Time (POA&lt;20 W/m2)]],3,0),"")</f>
        <v>0.24513888888888888</v>
      </c>
      <c r="J982" s="32">
        <f>IFERROR(VLOOKUP(TA[[#This Row],[Date]],Raw_Data[[Date]:[Sunset Time (POA&lt;20 W/m2)]],4,0),"")</f>
        <v>0.7680555555555556</v>
      </c>
      <c r="K982" s="27">
        <f>IFERROR((TA[[#This Row],[Sunset Time (POA&lt;20 W/m2)]]-TA[[#This Row],[Sunrise Time (POA&gt;20 W/m2)]])*24,"")</f>
        <v>12.55</v>
      </c>
      <c r="L982" s="2" t="s">
        <v>303</v>
      </c>
      <c r="M982" s="33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321</v>
      </c>
      <c r="Q982" s="2" t="s">
        <v>314</v>
      </c>
      <c r="R982">
        <v>26</v>
      </c>
      <c r="S982" s="2">
        <v>37</v>
      </c>
      <c r="T982" t="s">
        <v>288</v>
      </c>
      <c r="U982" t="s">
        <v>291</v>
      </c>
      <c r="V982" t="s">
        <v>292</v>
      </c>
      <c r="W982" s="32"/>
      <c r="X982" s="32"/>
      <c r="Y982" s="26"/>
      <c r="Z982" s="26"/>
      <c r="AA982" s="27">
        <f>IF(TA[[#This Row],[Work Start time on Fault]]="NA","",(TA[[#This Row],[Fault Acknowledgement Time ]]-TA[[#This Row],[Fault Time]])*24)</f>
        <v>0</v>
      </c>
      <c r="AB982" s="27">
        <f>(TA[[#This Row],[Work Start time on Fault]]-TA[[#This Row],[Fault Time]])*24</f>
        <v>0</v>
      </c>
      <c r="AC982" s="26">
        <f>(TA[[#This Row],[Work Completion time on fault]]-TA[[#This Row],[Fault Time]])*24</f>
        <v>0</v>
      </c>
      <c r="AD982" s="27">
        <f>IFERROR((TA[[#This Row],[Work Completion time on fault]]-TA[[#This Row],[Fault Time]])*24,"")</f>
        <v>0</v>
      </c>
      <c r="AE982" t="s">
        <v>319</v>
      </c>
      <c r="AF982" t="s">
        <v>247</v>
      </c>
      <c r="AG982" s="2"/>
      <c r="AH982" s="35">
        <f>1-COS(RADIANS(TA[[#This Row],[Avg. Target Angle during Fault Time (Radians)]]-TA[[#This Row],[Angle of affected equipment ]]))</f>
        <v>0.11705240714107301</v>
      </c>
      <c r="AI982" s="27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43">
        <f t="shared" si="92"/>
        <v>2026</v>
      </c>
      <c r="C983" s="116">
        <f t="shared" si="93"/>
        <v>2025</v>
      </c>
      <c r="D983" s="2" t="s">
        <v>155</v>
      </c>
      <c r="E983" s="2" t="s">
        <v>155</v>
      </c>
      <c r="F983" s="30">
        <v>45809</v>
      </c>
      <c r="G983" s="2">
        <f>DAY(EOMONTH(TA[[#This Row],[Month Year]],0))</f>
        <v>30</v>
      </c>
      <c r="H983" s="21">
        <v>45812</v>
      </c>
      <c r="I983" s="32">
        <f>IFERROR(VLOOKUP(TA[[#This Row],[Date]],Raw_Data[[Date]:[Sunset Time (POA&lt;20 W/m2)]],3,0),"")</f>
        <v>0.24513888888888888</v>
      </c>
      <c r="J983" s="32">
        <f>IFERROR(VLOOKUP(TA[[#This Row],[Date]],Raw_Data[[Date]:[Sunset Time (POA&lt;20 W/m2)]],4,0),"")</f>
        <v>0.7680555555555556</v>
      </c>
      <c r="K983" s="27">
        <f>IFERROR((TA[[#This Row],[Sunset Time (POA&lt;20 W/m2)]]-TA[[#This Row],[Sunrise Time (POA&gt;20 W/m2)]])*24,"")</f>
        <v>12.55</v>
      </c>
      <c r="L983" s="2" t="s">
        <v>303</v>
      </c>
      <c r="M983" s="33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321</v>
      </c>
      <c r="Q983" s="2" t="s">
        <v>314</v>
      </c>
      <c r="R983">
        <v>27</v>
      </c>
      <c r="S983" s="2">
        <v>42</v>
      </c>
      <c r="T983" t="s">
        <v>288</v>
      </c>
      <c r="U983" t="s">
        <v>291</v>
      </c>
      <c r="V983" t="s">
        <v>292</v>
      </c>
      <c r="W983" s="32">
        <f>IFERROR(VLOOKUP(TA[[#This Row],[Date]],Raw_Data[[Date]:[Sunset Time (POA&lt;20 W/m2)]],3,0),"")</f>
        <v>0.24513888888888888</v>
      </c>
      <c r="X983" s="32">
        <f>IFERROR(VLOOKUP(TA[[#This Row],[Date]],Raw_Data[[Date]:[Sunset Time (POA&lt;20 W/m2)]],3,0),"")</f>
        <v>0.24513888888888888</v>
      </c>
      <c r="Y983" s="26"/>
      <c r="Z983" s="26">
        <v>0.76041666666666663</v>
      </c>
      <c r="AA983" s="27">
        <f>IF(TA[[#This Row],[Work Start time on Fault]]="NA","",(TA[[#This Row],[Fault Acknowledgement Time ]]-TA[[#This Row],[Fault Time]])*24)</f>
        <v>0</v>
      </c>
      <c r="AB983" s="27">
        <f>(TA[[#This Row],[Work Start time on Fault]]-TA[[#This Row],[Fault Time]])*24</f>
        <v>-5.8833333333333329</v>
      </c>
      <c r="AC983" s="26">
        <f>(TA[[#This Row],[Work Completion time on fault]]-TA[[#This Row],[Fault Time]])*24</f>
        <v>12.366666666666665</v>
      </c>
      <c r="AD983" s="27">
        <f>IFERROR((TA[[#This Row],[Work Completion time on fault]]-TA[[#This Row],[Fault Time]])*24,"")</f>
        <v>12.366666666666665</v>
      </c>
      <c r="AE983" t="s">
        <v>300</v>
      </c>
      <c r="AF983" t="s">
        <v>247</v>
      </c>
      <c r="AG983" s="2"/>
      <c r="AH983" s="35">
        <f>1-COS(RADIANS(TA[[#This Row],[Avg. Target Angle during Fault Time (Radians)]]-TA[[#This Row],[Angle of affected equipment ]]))</f>
        <v>0.11705240714107301</v>
      </c>
      <c r="AI983" s="27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43">
        <f t="shared" ref="B984:B996" si="94">YEAR(H984)+IF(MONTH(H984)&gt;=4,1,0)</f>
        <v>2026</v>
      </c>
      <c r="C984" s="116">
        <f t="shared" ref="C984:C996" si="95">YEAR(H984)</f>
        <v>2025</v>
      </c>
      <c r="D984" s="2" t="s">
        <v>155</v>
      </c>
      <c r="E984" s="2" t="s">
        <v>155</v>
      </c>
      <c r="F984" s="30">
        <v>45809</v>
      </c>
      <c r="G984" s="2">
        <f>DAY(EOMONTH(TA[[#This Row],[Month Year]],0))</f>
        <v>30</v>
      </c>
      <c r="H984" s="21">
        <v>45813</v>
      </c>
      <c r="I984" s="32">
        <f>IFERROR(VLOOKUP(TA[[#This Row],[Date]],Raw_Data[[Date]:[Sunset Time (POA&lt;20 W/m2)]],3,0),"")</f>
        <v>0.24791666666666667</v>
      </c>
      <c r="J984" s="32">
        <f>IFERROR(VLOOKUP(TA[[#This Row],[Date]],Raw_Data[[Date]:[Sunset Time (POA&lt;20 W/m2)]],4,0),"")</f>
        <v>0.77152777777777781</v>
      </c>
      <c r="K984" s="27">
        <f>IFERROR((TA[[#This Row],[Sunset Time (POA&lt;20 W/m2)]]-TA[[#This Row],[Sunrise Time (POA&gt;20 W/m2)]])*24,"")</f>
        <v>12.566666666666666</v>
      </c>
      <c r="L984" s="2" t="s">
        <v>285</v>
      </c>
      <c r="M984" s="33">
        <f>IFERROR(VLOOKUP(TA[[#This Row],[Affected Equipment]],'Basic Data'!$I$2:$K$40,3,0),"")</f>
        <v>1.7241379310344799E-3</v>
      </c>
      <c r="N984">
        <v>-28</v>
      </c>
      <c r="O984" t="s">
        <v>135</v>
      </c>
      <c r="P984" s="114" t="s">
        <v>309</v>
      </c>
      <c r="Q984" s="113" t="s">
        <v>309</v>
      </c>
      <c r="R984">
        <v>131</v>
      </c>
      <c r="S984" s="2">
        <v>38</v>
      </c>
      <c r="T984" t="s">
        <v>286</v>
      </c>
      <c r="U984" t="s">
        <v>291</v>
      </c>
      <c r="V984" t="s">
        <v>289</v>
      </c>
      <c r="W984" s="32"/>
      <c r="X984" s="32"/>
      <c r="Y984" s="26"/>
      <c r="Z984" s="26"/>
      <c r="AA984" s="27">
        <f>IF(TA[[#This Row],[Work Start time on Fault]]="NA","",(TA[[#This Row],[Fault Acknowledgement Time ]]-TA[[#This Row],[Fault Time]])*24)</f>
        <v>0</v>
      </c>
      <c r="AB984" s="27">
        <f>(TA[[#This Row],[Work Start time on Fault]]-TA[[#This Row],[Fault Time]])*24</f>
        <v>0</v>
      </c>
      <c r="AC984" s="26">
        <f>(TA[[#This Row],[Work Completion time on fault]]-TA[[#This Row],[Fault Time]])*24</f>
        <v>0</v>
      </c>
      <c r="AD984" s="27">
        <f>IFERROR((TA[[#This Row],[Work Completion time on fault]]-TA[[#This Row],[Fault Time]])*24,"")</f>
        <v>0</v>
      </c>
      <c r="AE984" t="s">
        <v>319</v>
      </c>
      <c r="AF984" t="s">
        <v>247</v>
      </c>
      <c r="AG984" s="2"/>
      <c r="AH984" s="35">
        <f>1-COS(RADIANS(TA[[#This Row],[Avg. Target Angle during Fault Time (Radians)]]-TA[[#This Row],[Angle of affected equipment ]]))</f>
        <v>0.11705240714107301</v>
      </c>
      <c r="AI984" s="27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43">
        <f t="shared" si="94"/>
        <v>2026</v>
      </c>
      <c r="C985" s="116">
        <f t="shared" si="95"/>
        <v>2025</v>
      </c>
      <c r="D985" s="2" t="s">
        <v>155</v>
      </c>
      <c r="E985" s="2" t="s">
        <v>155</v>
      </c>
      <c r="F985" s="30">
        <v>45809</v>
      </c>
      <c r="G985" s="2">
        <f>DAY(EOMONTH(TA[[#This Row],[Month Year]],0))</f>
        <v>30</v>
      </c>
      <c r="H985" s="21">
        <v>45813</v>
      </c>
      <c r="I985" s="32">
        <f>IFERROR(VLOOKUP(TA[[#This Row],[Date]],Raw_Data[[Date]:[Sunset Time (POA&lt;20 W/m2)]],3,0),"")</f>
        <v>0.24791666666666667</v>
      </c>
      <c r="J985" s="32">
        <f>IFERROR(VLOOKUP(TA[[#This Row],[Date]],Raw_Data[[Date]:[Sunset Time (POA&lt;20 W/m2)]],4,0),"")</f>
        <v>0.77152777777777781</v>
      </c>
      <c r="K985" s="27">
        <f>IFERROR((TA[[#This Row],[Sunset Time (POA&lt;20 W/m2)]]-TA[[#This Row],[Sunrise Time (POA&gt;20 W/m2)]])*24,"")</f>
        <v>12.566666666666666</v>
      </c>
      <c r="L985" s="2" t="s">
        <v>285</v>
      </c>
      <c r="M985" s="33">
        <f>IFERROR(VLOOKUP(TA[[#This Row],[Affected Equipment]],'Basic Data'!$I$2:$K$40,3,0),"")</f>
        <v>1.7241379310344799E-3</v>
      </c>
      <c r="N985">
        <v>-28</v>
      </c>
      <c r="O985" t="s">
        <v>135</v>
      </c>
      <c r="P985" s="114" t="s">
        <v>309</v>
      </c>
      <c r="Q985" s="113" t="s">
        <v>309</v>
      </c>
      <c r="R985">
        <v>131</v>
      </c>
      <c r="S985" s="2">
        <v>39</v>
      </c>
      <c r="T985" t="s">
        <v>286</v>
      </c>
      <c r="U985" t="s">
        <v>291</v>
      </c>
      <c r="V985" t="s">
        <v>289</v>
      </c>
      <c r="W985" s="32"/>
      <c r="X985" s="32"/>
      <c r="Y985" s="26"/>
      <c r="Z985" s="26"/>
      <c r="AA985" s="27">
        <f>IF(TA[[#This Row],[Work Start time on Fault]]="NA","",(TA[[#This Row],[Fault Acknowledgement Time ]]-TA[[#This Row],[Fault Time]])*24)</f>
        <v>0</v>
      </c>
      <c r="AB985" s="27">
        <f>(TA[[#This Row],[Work Start time on Fault]]-TA[[#This Row],[Fault Time]])*24</f>
        <v>0</v>
      </c>
      <c r="AC985" s="26">
        <f>(TA[[#This Row],[Work Completion time on fault]]-TA[[#This Row],[Fault Time]])*24</f>
        <v>0</v>
      </c>
      <c r="AD985" s="27">
        <f>IFERROR((TA[[#This Row],[Work Completion time on fault]]-TA[[#This Row],[Fault Time]])*24,"")</f>
        <v>0</v>
      </c>
      <c r="AE985" t="s">
        <v>319</v>
      </c>
      <c r="AF985" t="s">
        <v>247</v>
      </c>
      <c r="AG985" s="2"/>
      <c r="AH985" s="35">
        <f>1-COS(RADIANS(TA[[#This Row],[Avg. Target Angle during Fault Time (Radians)]]-TA[[#This Row],[Angle of affected equipment ]]))</f>
        <v>0.11705240714107301</v>
      </c>
      <c r="AI985" s="27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43">
        <f t="shared" si="94"/>
        <v>2026</v>
      </c>
      <c r="C986" s="116">
        <f t="shared" si="95"/>
        <v>2025</v>
      </c>
      <c r="D986" s="2" t="s">
        <v>155</v>
      </c>
      <c r="E986" s="2" t="s">
        <v>155</v>
      </c>
      <c r="F986" s="30">
        <v>45809</v>
      </c>
      <c r="G986" s="2">
        <f>DAY(EOMONTH(TA[[#This Row],[Month Year]],0))</f>
        <v>30</v>
      </c>
      <c r="H986" s="21">
        <v>45813</v>
      </c>
      <c r="I986" s="32">
        <f>IFERROR(VLOOKUP(TA[[#This Row],[Date]],Raw_Data[[Date]:[Sunset Time (POA&lt;20 W/m2)]],3,0),"")</f>
        <v>0.24791666666666667</v>
      </c>
      <c r="J986" s="32">
        <f>IFERROR(VLOOKUP(TA[[#This Row],[Date]],Raw_Data[[Date]:[Sunset Time (POA&lt;20 W/m2)]],4,0),"")</f>
        <v>0.77152777777777781</v>
      </c>
      <c r="K986" s="27">
        <f>IFERROR((TA[[#This Row],[Sunset Time (POA&lt;20 W/m2)]]-TA[[#This Row],[Sunrise Time (POA&gt;20 W/m2)]])*24,"")</f>
        <v>12.566666666666666</v>
      </c>
      <c r="L986" s="2" t="s">
        <v>287</v>
      </c>
      <c r="M986" s="33">
        <f>IFERROR(VLOOKUP(TA[[#This Row],[Affected Equipment]],'Basic Data'!$I$2:$K$40,3,0),"")</f>
        <v>8.6206896551724102E-3</v>
      </c>
      <c r="N986">
        <v>-28</v>
      </c>
      <c r="O986" t="s">
        <v>135</v>
      </c>
      <c r="P986" s="114" t="s">
        <v>309</v>
      </c>
      <c r="Q986" s="2" t="s">
        <v>312</v>
      </c>
      <c r="R986">
        <v>133</v>
      </c>
      <c r="S986" s="2">
        <v>26</v>
      </c>
      <c r="T986" t="s">
        <v>288</v>
      </c>
      <c r="U986" t="s">
        <v>291</v>
      </c>
      <c r="V986" t="s">
        <v>305</v>
      </c>
      <c r="W986" s="32">
        <f>IFERROR(VLOOKUP(TA[[#This Row],[Date]],Raw_Data[[Date]:[Sunset Time (POA&lt;20 W/m2)]],3,0),"")</f>
        <v>0.24791666666666667</v>
      </c>
      <c r="X986" s="32">
        <f>IFERROR(VLOOKUP(TA[[#This Row],[Date]],Raw_Data[[Date]:[Sunset Time (POA&lt;20 W/m2)]],3,0),"")</f>
        <v>0.24791666666666667</v>
      </c>
      <c r="Y986" s="26"/>
      <c r="Z986" s="26">
        <v>0.76041666666666663</v>
      </c>
      <c r="AA986" s="27">
        <f>IF(TA[[#This Row],[Work Start time on Fault]]="NA","",(TA[[#This Row],[Fault Acknowledgement Time ]]-TA[[#This Row],[Fault Time]])*24)</f>
        <v>0</v>
      </c>
      <c r="AB986" s="27">
        <f>(TA[[#This Row],[Work Start time on Fault]]-TA[[#This Row],[Fault Time]])*24</f>
        <v>-5.95</v>
      </c>
      <c r="AC986" s="26">
        <f>(TA[[#This Row],[Work Completion time on fault]]-TA[[#This Row],[Fault Time]])*24</f>
        <v>12.299999999999999</v>
      </c>
      <c r="AD986" s="27">
        <f>IFERROR((TA[[#This Row],[Work Completion time on fault]]-TA[[#This Row],[Fault Time]])*24,"")</f>
        <v>12.299999999999999</v>
      </c>
      <c r="AE986" t="s">
        <v>319</v>
      </c>
      <c r="AF986" t="s">
        <v>247</v>
      </c>
      <c r="AG986" s="2"/>
      <c r="AH986" s="35">
        <f>1-COS(RADIANS(TA[[#This Row],[Avg. Target Angle during Fault Time (Radians)]]-TA[[#This Row],[Angle of affected equipment ]]))</f>
        <v>0.11705240714107301</v>
      </c>
      <c r="AI986" s="27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43">
        <f t="shared" si="94"/>
        <v>2026</v>
      </c>
      <c r="C987" s="116">
        <f t="shared" si="95"/>
        <v>2025</v>
      </c>
      <c r="D987" s="2" t="s">
        <v>155</v>
      </c>
      <c r="E987" s="2" t="s">
        <v>155</v>
      </c>
      <c r="F987" s="30">
        <v>45809</v>
      </c>
      <c r="G987" s="2">
        <f>DAY(EOMONTH(TA[[#This Row],[Month Year]],0))</f>
        <v>30</v>
      </c>
      <c r="H987" s="21">
        <v>45813</v>
      </c>
      <c r="I987" s="32">
        <f>IFERROR(VLOOKUP(TA[[#This Row],[Date]],Raw_Data[[Date]:[Sunset Time (POA&lt;20 W/m2)]],3,0),"")</f>
        <v>0.24791666666666667</v>
      </c>
      <c r="J987" s="32">
        <f>IFERROR(VLOOKUP(TA[[#This Row],[Date]],Raw_Data[[Date]:[Sunset Time (POA&lt;20 W/m2)]],4,0),"")</f>
        <v>0.77152777777777781</v>
      </c>
      <c r="K987" s="27">
        <f>IFERROR((TA[[#This Row],[Sunset Time (POA&lt;20 W/m2)]]-TA[[#This Row],[Sunrise Time (POA&gt;20 W/m2)]])*24,"")</f>
        <v>12.566666666666666</v>
      </c>
      <c r="L987" s="2" t="s">
        <v>285</v>
      </c>
      <c r="M987" s="33">
        <f>IFERROR(VLOOKUP(TA[[#This Row],[Affected Equipment]],'Basic Data'!$I$2:$K$40,3,0),"")</f>
        <v>1.7241379310344799E-3</v>
      </c>
      <c r="N987">
        <v>-28</v>
      </c>
      <c r="O987" t="s">
        <v>133</v>
      </c>
      <c r="P987" s="114" t="s">
        <v>307</v>
      </c>
      <c r="Q987" s="113" t="s">
        <v>308</v>
      </c>
      <c r="R987">
        <v>7</v>
      </c>
      <c r="S987" s="2">
        <v>32</v>
      </c>
      <c r="T987" t="s">
        <v>286</v>
      </c>
      <c r="U987" t="s">
        <v>291</v>
      </c>
      <c r="V987" t="s">
        <v>289</v>
      </c>
      <c r="W987" s="32"/>
      <c r="X987" s="32"/>
      <c r="Y987" s="26"/>
      <c r="Z987" s="26"/>
      <c r="AA987" s="27">
        <f>IF(TA[[#This Row],[Work Start time on Fault]]="NA","",(TA[[#This Row],[Fault Acknowledgement Time ]]-TA[[#This Row],[Fault Time]])*24)</f>
        <v>0</v>
      </c>
      <c r="AB987" s="27">
        <f>(TA[[#This Row],[Work Start time on Fault]]-TA[[#This Row],[Fault Time]])*24</f>
        <v>0</v>
      </c>
      <c r="AC987" s="26">
        <f>(TA[[#This Row],[Work Completion time on fault]]-TA[[#This Row],[Fault Time]])*24</f>
        <v>0</v>
      </c>
      <c r="AD987" s="27">
        <f>IFERROR((TA[[#This Row],[Work Completion time on fault]]-TA[[#This Row],[Fault Time]])*24,"")</f>
        <v>0</v>
      </c>
      <c r="AE987" t="s">
        <v>319</v>
      </c>
      <c r="AF987" t="s">
        <v>247</v>
      </c>
      <c r="AG987" s="2"/>
      <c r="AH987" s="35">
        <f>1-COS(RADIANS(TA[[#This Row],[Avg. Target Angle during Fault Time (Radians)]]-TA[[#This Row],[Angle of affected equipment ]]))</f>
        <v>0.11705240714107301</v>
      </c>
      <c r="AI987" s="27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43">
        <f t="shared" si="94"/>
        <v>2026</v>
      </c>
      <c r="C988" s="116">
        <f t="shared" si="95"/>
        <v>2025</v>
      </c>
      <c r="D988" s="2" t="s">
        <v>155</v>
      </c>
      <c r="E988" s="2" t="s">
        <v>155</v>
      </c>
      <c r="F988" s="30">
        <v>45809</v>
      </c>
      <c r="G988" s="2">
        <f>DAY(EOMONTH(TA[[#This Row],[Month Year]],0))</f>
        <v>30</v>
      </c>
      <c r="H988" s="21">
        <v>45813</v>
      </c>
      <c r="I988" s="32">
        <f>IFERROR(VLOOKUP(TA[[#This Row],[Date]],Raw_Data[[Date]:[Sunset Time (POA&lt;20 W/m2)]],3,0),"")</f>
        <v>0.24791666666666667</v>
      </c>
      <c r="J988" s="32">
        <f>IFERROR(VLOOKUP(TA[[#This Row],[Date]],Raw_Data[[Date]:[Sunset Time (POA&lt;20 W/m2)]],4,0),"")</f>
        <v>0.77152777777777781</v>
      </c>
      <c r="K988" s="27">
        <f>IFERROR((TA[[#This Row],[Sunset Time (POA&lt;20 W/m2)]]-TA[[#This Row],[Sunrise Time (POA&gt;20 W/m2)]])*24,"")</f>
        <v>12.566666666666666</v>
      </c>
      <c r="L988" s="2" t="s">
        <v>285</v>
      </c>
      <c r="M988" s="33">
        <f>IFERROR(VLOOKUP(TA[[#This Row],[Affected Equipment]],'Basic Data'!$I$2:$K$40,3,0),"")</f>
        <v>1.7241379310344799E-3</v>
      </c>
      <c r="N988">
        <v>-28</v>
      </c>
      <c r="O988" t="s">
        <v>137</v>
      </c>
      <c r="P988" s="114" t="s">
        <v>306</v>
      </c>
      <c r="Q988" s="113" t="s">
        <v>310</v>
      </c>
      <c r="R988">
        <v>166</v>
      </c>
      <c r="S988" s="2">
        <v>91</v>
      </c>
      <c r="T988" t="s">
        <v>286</v>
      </c>
      <c r="U988" t="s">
        <v>291</v>
      </c>
      <c r="V988" t="s">
        <v>289</v>
      </c>
      <c r="W988" s="32"/>
      <c r="X988" s="32"/>
      <c r="Y988" s="26"/>
      <c r="Z988" s="26"/>
      <c r="AA988" s="27">
        <f>IF(TA[[#This Row],[Work Start time on Fault]]="NA","",(TA[[#This Row],[Fault Acknowledgement Time ]]-TA[[#This Row],[Fault Time]])*24)</f>
        <v>0</v>
      </c>
      <c r="AB988" s="27">
        <f>(TA[[#This Row],[Work Start time on Fault]]-TA[[#This Row],[Fault Time]])*24</f>
        <v>0</v>
      </c>
      <c r="AC988" s="26">
        <f>(TA[[#This Row],[Work Completion time on fault]]-TA[[#This Row],[Fault Time]])*24</f>
        <v>0</v>
      </c>
      <c r="AD988" s="27">
        <f>IFERROR((TA[[#This Row],[Work Completion time on fault]]-TA[[#This Row],[Fault Time]])*24,"")</f>
        <v>0</v>
      </c>
      <c r="AE988" t="s">
        <v>319</v>
      </c>
      <c r="AF988" t="s">
        <v>247</v>
      </c>
      <c r="AG988" s="2"/>
      <c r="AH988" s="35">
        <f>1-COS(RADIANS(TA[[#This Row],[Avg. Target Angle during Fault Time (Radians)]]-TA[[#This Row],[Angle of affected equipment ]]))</f>
        <v>0.11705240714107301</v>
      </c>
      <c r="AI988" s="27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43">
        <f t="shared" si="94"/>
        <v>2026</v>
      </c>
      <c r="C989" s="116">
        <f t="shared" si="95"/>
        <v>2025</v>
      </c>
      <c r="D989" s="2" t="s">
        <v>155</v>
      </c>
      <c r="E989" s="2" t="s">
        <v>155</v>
      </c>
      <c r="F989" s="30">
        <v>45809</v>
      </c>
      <c r="G989" s="2">
        <f>DAY(EOMONTH(TA[[#This Row],[Month Year]],0))</f>
        <v>30</v>
      </c>
      <c r="H989" s="21">
        <v>45813</v>
      </c>
      <c r="I989" s="32">
        <f>IFERROR(VLOOKUP(TA[[#This Row],[Date]],Raw_Data[[Date]:[Sunset Time (POA&lt;20 W/m2)]],3,0),"")</f>
        <v>0.24791666666666667</v>
      </c>
      <c r="J989" s="32">
        <f>IFERROR(VLOOKUP(TA[[#This Row],[Date]],Raw_Data[[Date]:[Sunset Time (POA&lt;20 W/m2)]],4,0),"")</f>
        <v>0.77152777777777781</v>
      </c>
      <c r="K989" s="27">
        <f>IFERROR((TA[[#This Row],[Sunset Time (POA&lt;20 W/m2)]]-TA[[#This Row],[Sunrise Time (POA&gt;20 W/m2)]])*24,"")</f>
        <v>12.566666666666666</v>
      </c>
      <c r="L989" s="2" t="s">
        <v>285</v>
      </c>
      <c r="M989" s="33">
        <f>IFERROR(VLOOKUP(TA[[#This Row],[Affected Equipment]],'Basic Data'!$I$2:$K$40,3,0),"")</f>
        <v>1.7241379310344799E-3</v>
      </c>
      <c r="N989">
        <v>-28</v>
      </c>
      <c r="O989" t="s">
        <v>133</v>
      </c>
      <c r="P989" s="114" t="s">
        <v>307</v>
      </c>
      <c r="Q989" s="113" t="s">
        <v>307</v>
      </c>
      <c r="R989">
        <v>117</v>
      </c>
      <c r="S989" s="2">
        <v>20</v>
      </c>
      <c r="T989" t="s">
        <v>286</v>
      </c>
      <c r="U989" t="s">
        <v>291</v>
      </c>
      <c r="V989" t="s">
        <v>289</v>
      </c>
      <c r="W989" s="32"/>
      <c r="X989" s="32"/>
      <c r="Y989" s="26"/>
      <c r="Z989" s="26"/>
      <c r="AA989" s="27">
        <f>IF(TA[[#This Row],[Work Start time on Fault]]="NA","",(TA[[#This Row],[Fault Acknowledgement Time ]]-TA[[#This Row],[Fault Time]])*24)</f>
        <v>0</v>
      </c>
      <c r="AB989" s="27">
        <f>(TA[[#This Row],[Work Start time on Fault]]-TA[[#This Row],[Fault Time]])*24</f>
        <v>0</v>
      </c>
      <c r="AC989" s="26">
        <f>(TA[[#This Row],[Work Completion time on fault]]-TA[[#This Row],[Fault Time]])*24</f>
        <v>0</v>
      </c>
      <c r="AD989" s="27">
        <f>IFERROR((TA[[#This Row],[Work Completion time on fault]]-TA[[#This Row],[Fault Time]])*24,"")</f>
        <v>0</v>
      </c>
      <c r="AE989" t="s">
        <v>319</v>
      </c>
      <c r="AF989" t="s">
        <v>247</v>
      </c>
      <c r="AG989" s="2"/>
      <c r="AH989" s="35">
        <f>1-COS(RADIANS(TA[[#This Row],[Avg. Target Angle during Fault Time (Radians)]]-TA[[#This Row],[Angle of affected equipment ]]))</f>
        <v>0.11705240714107301</v>
      </c>
      <c r="AI989" s="27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43">
        <f t="shared" si="94"/>
        <v>2026</v>
      </c>
      <c r="C990" s="116">
        <f t="shared" si="95"/>
        <v>2025</v>
      </c>
      <c r="D990" s="2" t="s">
        <v>155</v>
      </c>
      <c r="E990" s="2" t="s">
        <v>155</v>
      </c>
      <c r="F990" s="30">
        <v>45809</v>
      </c>
      <c r="G990" s="2">
        <f>DAY(EOMONTH(TA[[#This Row],[Month Year]],0))</f>
        <v>30</v>
      </c>
      <c r="H990" s="21">
        <v>45813</v>
      </c>
      <c r="I990" s="32">
        <f>IFERROR(VLOOKUP(TA[[#This Row],[Date]],Raw_Data[[Date]:[Sunset Time (POA&lt;20 W/m2)]],3,0),"")</f>
        <v>0.24791666666666667</v>
      </c>
      <c r="J990" s="32">
        <f>IFERROR(VLOOKUP(TA[[#This Row],[Date]],Raw_Data[[Date]:[Sunset Time (POA&lt;20 W/m2)]],4,0),"")</f>
        <v>0.77152777777777781</v>
      </c>
      <c r="K990" s="27">
        <f>IFERROR((TA[[#This Row],[Sunset Time (POA&lt;20 W/m2)]]-TA[[#This Row],[Sunrise Time (POA&gt;20 W/m2)]])*24,"")</f>
        <v>12.566666666666666</v>
      </c>
      <c r="L990" s="2" t="s">
        <v>285</v>
      </c>
      <c r="M990" s="33">
        <f>IFERROR(VLOOKUP(TA[[#This Row],[Affected Equipment]],'Basic Data'!$I$2:$K$40,3,0),"")</f>
        <v>1.7241379310344799E-3</v>
      </c>
      <c r="N990">
        <v>-28</v>
      </c>
      <c r="O990" t="s">
        <v>133</v>
      </c>
      <c r="P990" s="114" t="s">
        <v>307</v>
      </c>
      <c r="Q990" s="113" t="s">
        <v>307</v>
      </c>
      <c r="R990">
        <v>118</v>
      </c>
      <c r="S990" s="2">
        <v>22</v>
      </c>
      <c r="T990" t="s">
        <v>286</v>
      </c>
      <c r="U990" t="s">
        <v>291</v>
      </c>
      <c r="V990" t="s">
        <v>289</v>
      </c>
      <c r="W990" s="32"/>
      <c r="X990" s="32"/>
      <c r="Y990" s="26"/>
      <c r="Z990" s="26"/>
      <c r="AA990" s="27">
        <f>IF(TA[[#This Row],[Work Start time on Fault]]="NA","",(TA[[#This Row],[Fault Acknowledgement Time ]]-TA[[#This Row],[Fault Time]])*24)</f>
        <v>0</v>
      </c>
      <c r="AB990" s="27">
        <f>(TA[[#This Row],[Work Start time on Fault]]-TA[[#This Row],[Fault Time]])*24</f>
        <v>0</v>
      </c>
      <c r="AC990" s="26">
        <f>(TA[[#This Row],[Work Completion time on fault]]-TA[[#This Row],[Fault Time]])*24</f>
        <v>0</v>
      </c>
      <c r="AD990" s="27">
        <f>IFERROR((TA[[#This Row],[Work Completion time on fault]]-TA[[#This Row],[Fault Time]])*24,"")</f>
        <v>0</v>
      </c>
      <c r="AE990" t="s">
        <v>319</v>
      </c>
      <c r="AF990" t="s">
        <v>247</v>
      </c>
      <c r="AG990" s="2"/>
      <c r="AH990" s="35">
        <f>1-COS(RADIANS(TA[[#This Row],[Avg. Target Angle during Fault Time (Radians)]]-TA[[#This Row],[Angle of affected equipment ]]))</f>
        <v>0.11705240714107301</v>
      </c>
      <c r="AI990" s="27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43">
        <f t="shared" si="94"/>
        <v>2026</v>
      </c>
      <c r="C991" s="116">
        <f t="shared" si="95"/>
        <v>2025</v>
      </c>
      <c r="D991" s="2" t="s">
        <v>155</v>
      </c>
      <c r="E991" s="2" t="s">
        <v>155</v>
      </c>
      <c r="F991" s="30">
        <v>45809</v>
      </c>
      <c r="G991" s="2">
        <f>DAY(EOMONTH(TA[[#This Row],[Month Year]],0))</f>
        <v>30</v>
      </c>
      <c r="H991" s="21">
        <v>45813</v>
      </c>
      <c r="I991" s="32">
        <f>IFERROR(VLOOKUP(TA[[#This Row],[Date]],Raw_Data[[Date]:[Sunset Time (POA&lt;20 W/m2)]],3,0),"")</f>
        <v>0.24791666666666667</v>
      </c>
      <c r="J991" s="32">
        <f>IFERROR(VLOOKUP(TA[[#This Row],[Date]],Raw_Data[[Date]:[Sunset Time (POA&lt;20 W/m2)]],4,0),"")</f>
        <v>0.77152777777777781</v>
      </c>
      <c r="K991" s="27">
        <f>IFERROR((TA[[#This Row],[Sunset Time (POA&lt;20 W/m2)]]-TA[[#This Row],[Sunrise Time (POA&gt;20 W/m2)]])*24,"")</f>
        <v>12.566666666666666</v>
      </c>
      <c r="L991" s="2" t="s">
        <v>287</v>
      </c>
      <c r="M991" s="33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314</v>
      </c>
      <c r="Q991" s="2" t="s">
        <v>320</v>
      </c>
      <c r="R991">
        <v>45</v>
      </c>
      <c r="S991" s="2">
        <v>8</v>
      </c>
      <c r="T991" t="s">
        <v>288</v>
      </c>
      <c r="U991" t="s">
        <v>291</v>
      </c>
      <c r="V991" t="s">
        <v>292</v>
      </c>
      <c r="W991" s="32"/>
      <c r="X991" s="32"/>
      <c r="Y991" s="26"/>
      <c r="Z991" s="26"/>
      <c r="AA991" s="27">
        <f>IF(TA[[#This Row],[Work Start time on Fault]]="NA","",(TA[[#This Row],[Fault Acknowledgement Time ]]-TA[[#This Row],[Fault Time]])*24)</f>
        <v>0</v>
      </c>
      <c r="AB991" s="27">
        <f>(TA[[#This Row],[Work Start time on Fault]]-TA[[#This Row],[Fault Time]])*24</f>
        <v>0</v>
      </c>
      <c r="AC991" s="26">
        <f>(TA[[#This Row],[Work Completion time on fault]]-TA[[#This Row],[Fault Time]])*24</f>
        <v>0</v>
      </c>
      <c r="AD991" s="27">
        <f>IFERROR((TA[[#This Row],[Work Completion time on fault]]-TA[[#This Row],[Fault Time]])*24,"")</f>
        <v>0</v>
      </c>
      <c r="AE991" t="s">
        <v>319</v>
      </c>
      <c r="AF991" t="s">
        <v>247</v>
      </c>
      <c r="AG991" s="2"/>
      <c r="AH991" s="35">
        <f>1-COS(RADIANS(TA[[#This Row],[Avg. Target Angle during Fault Time (Radians)]]-TA[[#This Row],[Angle of affected equipment ]]))</f>
        <v>0.11705240714107301</v>
      </c>
      <c r="AI991" s="27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43">
        <f t="shared" si="94"/>
        <v>2026</v>
      </c>
      <c r="C992" s="116">
        <f t="shared" si="95"/>
        <v>2025</v>
      </c>
      <c r="D992" s="2" t="s">
        <v>155</v>
      </c>
      <c r="E992" s="2" t="s">
        <v>155</v>
      </c>
      <c r="F992" s="30">
        <v>45809</v>
      </c>
      <c r="G992" s="2">
        <f>DAY(EOMONTH(TA[[#This Row],[Month Year]],0))</f>
        <v>30</v>
      </c>
      <c r="H992" s="21">
        <v>45813</v>
      </c>
      <c r="I992" s="32">
        <f>IFERROR(VLOOKUP(TA[[#This Row],[Date]],Raw_Data[[Date]:[Sunset Time (POA&lt;20 W/m2)]],3,0),"")</f>
        <v>0.24791666666666667</v>
      </c>
      <c r="J992" s="32">
        <f>IFERROR(VLOOKUP(TA[[#This Row],[Date]],Raw_Data[[Date]:[Sunset Time (POA&lt;20 W/m2)]],4,0),"")</f>
        <v>0.77152777777777781</v>
      </c>
      <c r="K992" s="27">
        <f>IFERROR((TA[[#This Row],[Sunset Time (POA&lt;20 W/m2)]]-TA[[#This Row],[Sunrise Time (POA&gt;20 W/m2)]])*24,"")</f>
        <v>12.566666666666666</v>
      </c>
      <c r="L992" s="2" t="s">
        <v>287</v>
      </c>
      <c r="M992" s="33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314</v>
      </c>
      <c r="Q992" s="2" t="s">
        <v>320</v>
      </c>
      <c r="R992">
        <v>47</v>
      </c>
      <c r="S992" s="2">
        <v>18</v>
      </c>
      <c r="T992" t="s">
        <v>288</v>
      </c>
      <c r="U992" t="s">
        <v>291</v>
      </c>
      <c r="V992" t="s">
        <v>292</v>
      </c>
      <c r="W992" s="32"/>
      <c r="X992" s="32"/>
      <c r="Y992" s="26"/>
      <c r="Z992" s="26"/>
      <c r="AA992" s="27">
        <f>IF(TA[[#This Row],[Work Start time on Fault]]="NA","",(TA[[#This Row],[Fault Acknowledgement Time ]]-TA[[#This Row],[Fault Time]])*24)</f>
        <v>0</v>
      </c>
      <c r="AB992" s="27">
        <f>(TA[[#This Row],[Work Start time on Fault]]-TA[[#This Row],[Fault Time]])*24</f>
        <v>0</v>
      </c>
      <c r="AC992" s="26">
        <f>(TA[[#This Row],[Work Completion time on fault]]-TA[[#This Row],[Fault Time]])*24</f>
        <v>0</v>
      </c>
      <c r="AD992" s="27">
        <f>IFERROR((TA[[#This Row],[Work Completion time on fault]]-TA[[#This Row],[Fault Time]])*24,"")</f>
        <v>0</v>
      </c>
      <c r="AE992" t="s">
        <v>319</v>
      </c>
      <c r="AF992" t="s">
        <v>247</v>
      </c>
      <c r="AG992" s="2"/>
      <c r="AH992" s="35">
        <f>1-COS(RADIANS(TA[[#This Row],[Avg. Target Angle during Fault Time (Radians)]]-TA[[#This Row],[Angle of affected equipment ]]))</f>
        <v>0.11705240714107301</v>
      </c>
      <c r="AI992" s="27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43">
        <f t="shared" si="94"/>
        <v>2026</v>
      </c>
      <c r="C993" s="116">
        <f t="shared" si="95"/>
        <v>2025</v>
      </c>
      <c r="D993" s="2" t="s">
        <v>155</v>
      </c>
      <c r="E993" s="2" t="s">
        <v>155</v>
      </c>
      <c r="F993" s="30">
        <v>45809</v>
      </c>
      <c r="G993" s="2">
        <f>DAY(EOMONTH(TA[[#This Row],[Month Year]],0))</f>
        <v>30</v>
      </c>
      <c r="H993" s="21">
        <v>45813</v>
      </c>
      <c r="I993" s="32">
        <f>IFERROR(VLOOKUP(TA[[#This Row],[Date]],Raw_Data[[Date]:[Sunset Time (POA&lt;20 W/m2)]],3,0),"")</f>
        <v>0.24791666666666667</v>
      </c>
      <c r="J993" s="32">
        <f>IFERROR(VLOOKUP(TA[[#This Row],[Date]],Raw_Data[[Date]:[Sunset Time (POA&lt;20 W/m2)]],4,0),"")</f>
        <v>0.77152777777777781</v>
      </c>
      <c r="K993" s="27">
        <f>IFERROR((TA[[#This Row],[Sunset Time (POA&lt;20 W/m2)]]-TA[[#This Row],[Sunrise Time (POA&gt;20 W/m2)]])*24,"")</f>
        <v>12.566666666666666</v>
      </c>
      <c r="L993" s="2" t="s">
        <v>287</v>
      </c>
      <c r="M993" s="33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321</v>
      </c>
      <c r="Q993" s="2" t="s">
        <v>314</v>
      </c>
      <c r="R993">
        <v>30</v>
      </c>
      <c r="S993" s="2">
        <v>57</v>
      </c>
      <c r="T993" t="s">
        <v>288</v>
      </c>
      <c r="U993" t="s">
        <v>291</v>
      </c>
      <c r="V993" t="s">
        <v>292</v>
      </c>
      <c r="W993" s="32"/>
      <c r="X993" s="32"/>
      <c r="Y993" s="26"/>
      <c r="Z993" s="26"/>
      <c r="AA993" s="27">
        <f>IF(TA[[#This Row],[Work Start time on Fault]]="NA","",(TA[[#This Row],[Fault Acknowledgement Time ]]-TA[[#This Row],[Fault Time]])*24)</f>
        <v>0</v>
      </c>
      <c r="AB993" s="27">
        <f>(TA[[#This Row],[Work Start time on Fault]]-TA[[#This Row],[Fault Time]])*24</f>
        <v>0</v>
      </c>
      <c r="AC993" s="26">
        <f>(TA[[#This Row],[Work Completion time on fault]]-TA[[#This Row],[Fault Time]])*24</f>
        <v>0</v>
      </c>
      <c r="AD993" s="27">
        <f>IFERROR((TA[[#This Row],[Work Completion time on fault]]-TA[[#This Row],[Fault Time]])*24,"")</f>
        <v>0</v>
      </c>
      <c r="AE993" t="s">
        <v>319</v>
      </c>
      <c r="AF993" t="s">
        <v>247</v>
      </c>
      <c r="AG993" s="2"/>
      <c r="AH993" s="35">
        <f>1-COS(RADIANS(TA[[#This Row],[Avg. Target Angle during Fault Time (Radians)]]-TA[[#This Row],[Angle of affected equipment ]]))</f>
        <v>0.11705240714107301</v>
      </c>
      <c r="AI993" s="27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43">
        <f t="shared" si="94"/>
        <v>2026</v>
      </c>
      <c r="C994" s="116">
        <f t="shared" si="95"/>
        <v>2025</v>
      </c>
      <c r="D994" s="2" t="s">
        <v>155</v>
      </c>
      <c r="E994" s="2" t="s">
        <v>155</v>
      </c>
      <c r="F994" s="30">
        <v>45809</v>
      </c>
      <c r="G994" s="2">
        <f>DAY(EOMONTH(TA[[#This Row],[Month Year]],0))</f>
        <v>30</v>
      </c>
      <c r="H994" s="21">
        <v>45813</v>
      </c>
      <c r="I994" s="32">
        <f>IFERROR(VLOOKUP(TA[[#This Row],[Date]],Raw_Data[[Date]:[Sunset Time (POA&lt;20 W/m2)]],3,0),"")</f>
        <v>0.24791666666666667</v>
      </c>
      <c r="J994" s="32">
        <f>IFERROR(VLOOKUP(TA[[#This Row],[Date]],Raw_Data[[Date]:[Sunset Time (POA&lt;20 W/m2)]],4,0),"")</f>
        <v>0.77152777777777781</v>
      </c>
      <c r="K994" s="27">
        <f>IFERROR((TA[[#This Row],[Sunset Time (POA&lt;20 W/m2)]]-TA[[#This Row],[Sunrise Time (POA&gt;20 W/m2)]])*24,"")</f>
        <v>12.566666666666666</v>
      </c>
      <c r="L994" s="2" t="s">
        <v>287</v>
      </c>
      <c r="M994" s="33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321</v>
      </c>
      <c r="Q994" s="2" t="s">
        <v>314</v>
      </c>
      <c r="R994">
        <v>31</v>
      </c>
      <c r="S994" s="2">
        <v>61</v>
      </c>
      <c r="T994" t="s">
        <v>288</v>
      </c>
      <c r="U994" t="s">
        <v>291</v>
      </c>
      <c r="V994" t="s">
        <v>292</v>
      </c>
      <c r="W994" s="32"/>
      <c r="X994" s="32"/>
      <c r="Y994" s="26"/>
      <c r="Z994" s="26"/>
      <c r="AA994" s="27">
        <f>IF(TA[[#This Row],[Work Start time on Fault]]="NA","",(TA[[#This Row],[Fault Acknowledgement Time ]]-TA[[#This Row],[Fault Time]])*24)</f>
        <v>0</v>
      </c>
      <c r="AB994" s="27">
        <f>(TA[[#This Row],[Work Start time on Fault]]-TA[[#This Row],[Fault Time]])*24</f>
        <v>0</v>
      </c>
      <c r="AC994" s="26">
        <f>(TA[[#This Row],[Work Completion time on fault]]-TA[[#This Row],[Fault Time]])*24</f>
        <v>0</v>
      </c>
      <c r="AD994" s="27">
        <f>IFERROR((TA[[#This Row],[Work Completion time on fault]]-TA[[#This Row],[Fault Time]])*24,"")</f>
        <v>0</v>
      </c>
      <c r="AE994" t="s">
        <v>319</v>
      </c>
      <c r="AF994" t="s">
        <v>247</v>
      </c>
      <c r="AG994" s="2"/>
      <c r="AH994" s="35">
        <f>1-COS(RADIANS(TA[[#This Row],[Avg. Target Angle during Fault Time (Radians)]]-TA[[#This Row],[Angle of affected equipment ]]))</f>
        <v>0.11705240714107301</v>
      </c>
      <c r="AI994" s="27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43">
        <f t="shared" si="94"/>
        <v>2026</v>
      </c>
      <c r="C995" s="116">
        <f t="shared" si="95"/>
        <v>2025</v>
      </c>
      <c r="D995" s="2" t="s">
        <v>155</v>
      </c>
      <c r="E995" s="2" t="s">
        <v>155</v>
      </c>
      <c r="F995" s="30">
        <v>45809</v>
      </c>
      <c r="G995" s="2">
        <f>DAY(EOMONTH(TA[[#This Row],[Month Year]],0))</f>
        <v>30</v>
      </c>
      <c r="H995" s="21">
        <v>45813</v>
      </c>
      <c r="I995" s="32">
        <f>IFERROR(VLOOKUP(TA[[#This Row],[Date]],Raw_Data[[Date]:[Sunset Time (POA&lt;20 W/m2)]],3,0),"")</f>
        <v>0.24791666666666667</v>
      </c>
      <c r="J995" s="32">
        <f>IFERROR(VLOOKUP(TA[[#This Row],[Date]],Raw_Data[[Date]:[Sunset Time (POA&lt;20 W/m2)]],4,0),"")</f>
        <v>0.77152777777777781</v>
      </c>
      <c r="K995" s="27">
        <f>IFERROR((TA[[#This Row],[Sunset Time (POA&lt;20 W/m2)]]-TA[[#This Row],[Sunrise Time (POA&gt;20 W/m2)]])*24,"")</f>
        <v>12.566666666666666</v>
      </c>
      <c r="L995" s="2" t="s">
        <v>303</v>
      </c>
      <c r="M995" s="33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321</v>
      </c>
      <c r="Q995" s="2" t="s">
        <v>314</v>
      </c>
      <c r="R995">
        <v>26</v>
      </c>
      <c r="S995" s="2">
        <v>37</v>
      </c>
      <c r="T995" t="s">
        <v>288</v>
      </c>
      <c r="U995" t="s">
        <v>291</v>
      </c>
      <c r="V995" t="s">
        <v>292</v>
      </c>
      <c r="W995" s="32"/>
      <c r="X995" s="32"/>
      <c r="Y995" s="26"/>
      <c r="Z995" s="26"/>
      <c r="AA995" s="27">
        <f>IF(TA[[#This Row],[Work Start time on Fault]]="NA","",(TA[[#This Row],[Fault Acknowledgement Time ]]-TA[[#This Row],[Fault Time]])*24)</f>
        <v>0</v>
      </c>
      <c r="AB995" s="27">
        <f>(TA[[#This Row],[Work Start time on Fault]]-TA[[#This Row],[Fault Time]])*24</f>
        <v>0</v>
      </c>
      <c r="AC995" s="26">
        <f>(TA[[#This Row],[Work Completion time on fault]]-TA[[#This Row],[Fault Time]])*24</f>
        <v>0</v>
      </c>
      <c r="AD995" s="27">
        <f>IFERROR((TA[[#This Row],[Work Completion time on fault]]-TA[[#This Row],[Fault Time]])*24,"")</f>
        <v>0</v>
      </c>
      <c r="AE995" t="s">
        <v>319</v>
      </c>
      <c r="AF995" t="s">
        <v>247</v>
      </c>
      <c r="AG995" s="2"/>
      <c r="AH995" s="35">
        <f>1-COS(RADIANS(TA[[#This Row],[Avg. Target Angle during Fault Time (Radians)]]-TA[[#This Row],[Angle of affected equipment ]]))</f>
        <v>0.11705240714107301</v>
      </c>
      <c r="AI995" s="27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43">
        <f t="shared" si="94"/>
        <v>2026</v>
      </c>
      <c r="C996" s="116">
        <f t="shared" si="95"/>
        <v>2025</v>
      </c>
      <c r="D996" s="2" t="s">
        <v>155</v>
      </c>
      <c r="E996" s="2" t="s">
        <v>155</v>
      </c>
      <c r="F996" s="30">
        <v>45809</v>
      </c>
      <c r="G996" s="2">
        <f>DAY(EOMONTH(TA[[#This Row],[Month Year]],0))</f>
        <v>30</v>
      </c>
      <c r="H996" s="21">
        <v>45813</v>
      </c>
      <c r="I996" s="32">
        <f>IFERROR(VLOOKUP(TA[[#This Row],[Date]],Raw_Data[[Date]:[Sunset Time (POA&lt;20 W/m2)]],3,0),"")</f>
        <v>0.24791666666666667</v>
      </c>
      <c r="J996" s="32">
        <f>IFERROR(VLOOKUP(TA[[#This Row],[Date]],Raw_Data[[Date]:[Sunset Time (POA&lt;20 W/m2)]],4,0),"")</f>
        <v>0.77152777777777781</v>
      </c>
      <c r="K996" s="27">
        <f>IFERROR((TA[[#This Row],[Sunset Time (POA&lt;20 W/m2)]]-TA[[#This Row],[Sunrise Time (POA&gt;20 W/m2)]])*24,"")</f>
        <v>12.566666666666666</v>
      </c>
      <c r="L996" s="2" t="s">
        <v>303</v>
      </c>
      <c r="M996" s="33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321</v>
      </c>
      <c r="Q996" s="2" t="s">
        <v>314</v>
      </c>
      <c r="R996">
        <v>27</v>
      </c>
      <c r="S996" s="2">
        <v>42</v>
      </c>
      <c r="T996" t="s">
        <v>288</v>
      </c>
      <c r="U996" t="s">
        <v>291</v>
      </c>
      <c r="V996" t="s">
        <v>292</v>
      </c>
      <c r="W996" s="32">
        <f>IFERROR(VLOOKUP(TA[[#This Row],[Date]],Raw_Data[[Date]:[Sunset Time (POA&lt;20 W/m2)]],3,0),"")</f>
        <v>0.24791666666666667</v>
      </c>
      <c r="X996" s="32">
        <f>IFERROR(VLOOKUP(TA[[#This Row],[Date]],Raw_Data[[Date]:[Sunset Time (POA&lt;20 W/m2)]],3,0),"")</f>
        <v>0.24791666666666667</v>
      </c>
      <c r="Y996" s="26"/>
      <c r="Z996" s="26">
        <v>0.76041666666666663</v>
      </c>
      <c r="AA996" s="27">
        <f>IF(TA[[#This Row],[Work Start time on Fault]]="NA","",(TA[[#This Row],[Fault Acknowledgement Time ]]-TA[[#This Row],[Fault Time]])*24)</f>
        <v>0</v>
      </c>
      <c r="AB996" s="27">
        <f>(TA[[#This Row],[Work Start time on Fault]]-TA[[#This Row],[Fault Time]])*24</f>
        <v>-5.95</v>
      </c>
      <c r="AC996" s="26">
        <f>(TA[[#This Row],[Work Completion time on fault]]-TA[[#This Row],[Fault Time]])*24</f>
        <v>12.299999999999999</v>
      </c>
      <c r="AD996" s="27">
        <f>IFERROR((TA[[#This Row],[Work Completion time on fault]]-TA[[#This Row],[Fault Time]])*24,"")</f>
        <v>12.299999999999999</v>
      </c>
      <c r="AE996" t="s">
        <v>300</v>
      </c>
      <c r="AF996" t="s">
        <v>247</v>
      </c>
      <c r="AG996" s="2"/>
      <c r="AH996" s="35">
        <f>1-COS(RADIANS(TA[[#This Row],[Avg. Target Angle during Fault Time (Radians)]]-TA[[#This Row],[Angle of affected equipment ]]))</f>
        <v>0.11705240714107301</v>
      </c>
      <c r="AI996" s="27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43">
        <f t="shared" ref="B997:B1009" si="96">YEAR(H997)+IF(MONTH(H997)&gt;=4,1,0)</f>
        <v>2026</v>
      </c>
      <c r="C997" s="116">
        <f t="shared" ref="C997:C1009" si="97">YEAR(H997)</f>
        <v>2025</v>
      </c>
      <c r="D997" s="2" t="s">
        <v>155</v>
      </c>
      <c r="E997" s="2" t="s">
        <v>155</v>
      </c>
      <c r="F997" s="30">
        <v>45809</v>
      </c>
      <c r="G997" s="2">
        <f>DAY(EOMONTH(TA[[#This Row],[Month Year]],0))</f>
        <v>30</v>
      </c>
      <c r="H997" s="21">
        <v>45814</v>
      </c>
      <c r="I997" s="32">
        <f>IFERROR(VLOOKUP(TA[[#This Row],[Date]],Raw_Data[[Date]:[Sunset Time (POA&lt;20 W/m2)]],3,0),"")</f>
        <v>0.25069444444444444</v>
      </c>
      <c r="J997" s="32">
        <f>IFERROR(VLOOKUP(TA[[#This Row],[Date]],Raw_Data[[Date]:[Sunset Time (POA&lt;20 W/m2)]],4,0),"")</f>
        <v>0.77361111111111114</v>
      </c>
      <c r="K997" s="27">
        <f>IFERROR((TA[[#This Row],[Sunset Time (POA&lt;20 W/m2)]]-TA[[#This Row],[Sunrise Time (POA&gt;20 W/m2)]])*24,"")</f>
        <v>12.55</v>
      </c>
      <c r="L997" s="2" t="s">
        <v>285</v>
      </c>
      <c r="M997" s="33">
        <f>IFERROR(VLOOKUP(TA[[#This Row],[Affected Equipment]],'Basic Data'!$I$2:$K$40,3,0),"")</f>
        <v>1.7241379310344799E-3</v>
      </c>
      <c r="N997">
        <v>-28</v>
      </c>
      <c r="O997" t="s">
        <v>135</v>
      </c>
      <c r="P997" s="114" t="s">
        <v>309</v>
      </c>
      <c r="Q997" s="113" t="s">
        <v>309</v>
      </c>
      <c r="R997">
        <v>131</v>
      </c>
      <c r="S997" s="2">
        <v>38</v>
      </c>
      <c r="T997" t="s">
        <v>286</v>
      </c>
      <c r="U997" t="s">
        <v>291</v>
      </c>
      <c r="V997" t="s">
        <v>289</v>
      </c>
      <c r="W997" s="32"/>
      <c r="X997" s="32"/>
      <c r="Y997" s="26"/>
      <c r="Z997" s="26"/>
      <c r="AA997" s="27">
        <f>IF(TA[[#This Row],[Work Start time on Fault]]="NA","",(TA[[#This Row],[Fault Acknowledgement Time ]]-TA[[#This Row],[Fault Time]])*24)</f>
        <v>0</v>
      </c>
      <c r="AB997" s="27">
        <f>(TA[[#This Row],[Work Start time on Fault]]-TA[[#This Row],[Fault Time]])*24</f>
        <v>0</v>
      </c>
      <c r="AC997" s="26">
        <f>(TA[[#This Row],[Work Completion time on fault]]-TA[[#This Row],[Fault Time]])*24</f>
        <v>0</v>
      </c>
      <c r="AD997" s="27">
        <f>IFERROR((TA[[#This Row],[Work Completion time on fault]]-TA[[#This Row],[Fault Time]])*24,"")</f>
        <v>0</v>
      </c>
      <c r="AE997" t="s">
        <v>319</v>
      </c>
      <c r="AF997" t="s">
        <v>247</v>
      </c>
      <c r="AG997" s="2"/>
      <c r="AH997" s="35">
        <f>1-COS(RADIANS(TA[[#This Row],[Avg. Target Angle during Fault Time (Radians)]]-TA[[#This Row],[Angle of affected equipment ]]))</f>
        <v>0.11705240714107301</v>
      </c>
      <c r="AI997" s="27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43">
        <f t="shared" si="96"/>
        <v>2026</v>
      </c>
      <c r="C998" s="116">
        <f t="shared" si="97"/>
        <v>2025</v>
      </c>
      <c r="D998" s="2" t="s">
        <v>155</v>
      </c>
      <c r="E998" s="2" t="s">
        <v>155</v>
      </c>
      <c r="F998" s="30">
        <v>45809</v>
      </c>
      <c r="G998" s="2">
        <f>DAY(EOMONTH(TA[[#This Row],[Month Year]],0))</f>
        <v>30</v>
      </c>
      <c r="H998" s="21">
        <v>45814</v>
      </c>
      <c r="I998" s="32">
        <f>IFERROR(VLOOKUP(TA[[#This Row],[Date]],Raw_Data[[Date]:[Sunset Time (POA&lt;20 W/m2)]],3,0),"")</f>
        <v>0.25069444444444444</v>
      </c>
      <c r="J998" s="32">
        <f>IFERROR(VLOOKUP(TA[[#This Row],[Date]],Raw_Data[[Date]:[Sunset Time (POA&lt;20 W/m2)]],4,0),"")</f>
        <v>0.77361111111111114</v>
      </c>
      <c r="K998" s="27">
        <f>IFERROR((TA[[#This Row],[Sunset Time (POA&lt;20 W/m2)]]-TA[[#This Row],[Sunrise Time (POA&gt;20 W/m2)]])*24,"")</f>
        <v>12.55</v>
      </c>
      <c r="L998" s="2" t="s">
        <v>285</v>
      </c>
      <c r="M998" s="33">
        <f>IFERROR(VLOOKUP(TA[[#This Row],[Affected Equipment]],'Basic Data'!$I$2:$K$40,3,0),"")</f>
        <v>1.7241379310344799E-3</v>
      </c>
      <c r="N998">
        <v>-28</v>
      </c>
      <c r="O998" t="s">
        <v>135</v>
      </c>
      <c r="P998" s="114" t="s">
        <v>309</v>
      </c>
      <c r="Q998" s="113" t="s">
        <v>309</v>
      </c>
      <c r="R998">
        <v>131</v>
      </c>
      <c r="S998" s="2">
        <v>39</v>
      </c>
      <c r="T998" t="s">
        <v>286</v>
      </c>
      <c r="U998" t="s">
        <v>291</v>
      </c>
      <c r="V998" t="s">
        <v>289</v>
      </c>
      <c r="W998" s="32"/>
      <c r="X998" s="32"/>
      <c r="Y998" s="26"/>
      <c r="Z998" s="26"/>
      <c r="AA998" s="27">
        <f>IF(TA[[#This Row],[Work Start time on Fault]]="NA","",(TA[[#This Row],[Fault Acknowledgement Time ]]-TA[[#This Row],[Fault Time]])*24)</f>
        <v>0</v>
      </c>
      <c r="AB998" s="27">
        <f>(TA[[#This Row],[Work Start time on Fault]]-TA[[#This Row],[Fault Time]])*24</f>
        <v>0</v>
      </c>
      <c r="AC998" s="26">
        <f>(TA[[#This Row],[Work Completion time on fault]]-TA[[#This Row],[Fault Time]])*24</f>
        <v>0</v>
      </c>
      <c r="AD998" s="27">
        <f>IFERROR((TA[[#This Row],[Work Completion time on fault]]-TA[[#This Row],[Fault Time]])*24,"")</f>
        <v>0</v>
      </c>
      <c r="AE998" t="s">
        <v>319</v>
      </c>
      <c r="AF998" t="s">
        <v>247</v>
      </c>
      <c r="AG998" s="2"/>
      <c r="AH998" s="35">
        <f>1-COS(RADIANS(TA[[#This Row],[Avg. Target Angle during Fault Time (Radians)]]-TA[[#This Row],[Angle of affected equipment ]]))</f>
        <v>0.11705240714107301</v>
      </c>
      <c r="AI998" s="27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43">
        <f t="shared" si="96"/>
        <v>2026</v>
      </c>
      <c r="C999" s="116">
        <f t="shared" si="97"/>
        <v>2025</v>
      </c>
      <c r="D999" s="2" t="s">
        <v>155</v>
      </c>
      <c r="E999" s="2" t="s">
        <v>155</v>
      </c>
      <c r="F999" s="30">
        <v>45809</v>
      </c>
      <c r="G999" s="2">
        <f>DAY(EOMONTH(TA[[#This Row],[Month Year]],0))</f>
        <v>30</v>
      </c>
      <c r="H999" s="21">
        <v>45814</v>
      </c>
      <c r="I999" s="32">
        <f>IFERROR(VLOOKUP(TA[[#This Row],[Date]],Raw_Data[[Date]:[Sunset Time (POA&lt;20 W/m2)]],3,0),"")</f>
        <v>0.25069444444444444</v>
      </c>
      <c r="J999" s="32">
        <f>IFERROR(VLOOKUP(TA[[#This Row],[Date]],Raw_Data[[Date]:[Sunset Time (POA&lt;20 W/m2)]],4,0),"")</f>
        <v>0.77361111111111114</v>
      </c>
      <c r="K999" s="27">
        <f>IFERROR((TA[[#This Row],[Sunset Time (POA&lt;20 W/m2)]]-TA[[#This Row],[Sunrise Time (POA&gt;20 W/m2)]])*24,"")</f>
        <v>12.55</v>
      </c>
      <c r="L999" s="2" t="s">
        <v>287</v>
      </c>
      <c r="M999" s="33">
        <f>IFERROR(VLOOKUP(TA[[#This Row],[Affected Equipment]],'Basic Data'!$I$2:$K$40,3,0),"")</f>
        <v>8.6206896551724102E-3</v>
      </c>
      <c r="N999">
        <v>-28</v>
      </c>
      <c r="O999" t="s">
        <v>135</v>
      </c>
      <c r="P999" s="114" t="s">
        <v>309</v>
      </c>
      <c r="Q999" s="2" t="s">
        <v>312</v>
      </c>
      <c r="R999">
        <v>133</v>
      </c>
      <c r="S999" s="2">
        <v>26</v>
      </c>
      <c r="T999" t="s">
        <v>288</v>
      </c>
      <c r="U999" t="s">
        <v>291</v>
      </c>
      <c r="V999" t="s">
        <v>305</v>
      </c>
      <c r="W999" s="32">
        <f>IFERROR(VLOOKUP(TA[[#This Row],[Date]],Raw_Data[[Date]:[Sunset Time (POA&lt;20 W/m2)]],3,0),"")</f>
        <v>0.25069444444444444</v>
      </c>
      <c r="X999" s="32">
        <f>IFERROR(VLOOKUP(TA[[#This Row],[Date]],Raw_Data[[Date]:[Sunset Time (POA&lt;20 W/m2)]],3,0),"")</f>
        <v>0.25069444444444444</v>
      </c>
      <c r="Y999" s="26"/>
      <c r="Z999" s="26">
        <v>0.76041666666666663</v>
      </c>
      <c r="AA999" s="27">
        <f>IF(TA[[#This Row],[Work Start time on Fault]]="NA","",(TA[[#This Row],[Fault Acknowledgement Time ]]-TA[[#This Row],[Fault Time]])*24)</f>
        <v>0</v>
      </c>
      <c r="AB999" s="27">
        <f>(TA[[#This Row],[Work Start time on Fault]]-TA[[#This Row],[Fault Time]])*24</f>
        <v>-6.0166666666666666</v>
      </c>
      <c r="AC999" s="26">
        <f>(TA[[#This Row],[Work Completion time on fault]]-TA[[#This Row],[Fault Time]])*24</f>
        <v>12.233333333333333</v>
      </c>
      <c r="AD999" s="27">
        <f>IFERROR((TA[[#This Row],[Work Completion time on fault]]-TA[[#This Row],[Fault Time]])*24,"")</f>
        <v>12.233333333333333</v>
      </c>
      <c r="AE999" t="s">
        <v>319</v>
      </c>
      <c r="AF999" t="s">
        <v>247</v>
      </c>
      <c r="AG999" s="2"/>
      <c r="AH999" s="35">
        <f>1-COS(RADIANS(TA[[#This Row],[Avg. Target Angle during Fault Time (Radians)]]-TA[[#This Row],[Angle of affected equipment ]]))</f>
        <v>0.11705240714107301</v>
      </c>
      <c r="AI999" s="27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43">
        <f t="shared" si="96"/>
        <v>2026</v>
      </c>
      <c r="C1000" s="116">
        <f t="shared" si="97"/>
        <v>2025</v>
      </c>
      <c r="D1000" s="2" t="s">
        <v>155</v>
      </c>
      <c r="E1000" s="2" t="s">
        <v>155</v>
      </c>
      <c r="F1000" s="30">
        <v>45809</v>
      </c>
      <c r="G1000" s="2">
        <f>DAY(EOMONTH(TA[[#This Row],[Month Year]],0))</f>
        <v>30</v>
      </c>
      <c r="H1000" s="21">
        <v>45814</v>
      </c>
      <c r="I1000" s="32">
        <f>IFERROR(VLOOKUP(TA[[#This Row],[Date]],Raw_Data[[Date]:[Sunset Time (POA&lt;20 W/m2)]],3,0),"")</f>
        <v>0.25069444444444444</v>
      </c>
      <c r="J1000" s="32">
        <f>IFERROR(VLOOKUP(TA[[#This Row],[Date]],Raw_Data[[Date]:[Sunset Time (POA&lt;20 W/m2)]],4,0),"")</f>
        <v>0.77361111111111114</v>
      </c>
      <c r="K1000" s="27">
        <f>IFERROR((TA[[#This Row],[Sunset Time (POA&lt;20 W/m2)]]-TA[[#This Row],[Sunrise Time (POA&gt;20 W/m2)]])*24,"")</f>
        <v>12.55</v>
      </c>
      <c r="L1000" s="2" t="s">
        <v>285</v>
      </c>
      <c r="M1000" s="33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14" t="s">
        <v>307</v>
      </c>
      <c r="Q1000" s="113" t="s">
        <v>308</v>
      </c>
      <c r="R1000">
        <v>7</v>
      </c>
      <c r="S1000" s="2">
        <v>32</v>
      </c>
      <c r="T1000" t="s">
        <v>286</v>
      </c>
      <c r="U1000" t="s">
        <v>291</v>
      </c>
      <c r="V1000" t="s">
        <v>289</v>
      </c>
      <c r="W1000" s="32"/>
      <c r="X1000" s="32"/>
      <c r="Y1000" s="26"/>
      <c r="Z1000" s="26"/>
      <c r="AA1000" s="27">
        <f>IF(TA[[#This Row],[Work Start time on Fault]]="NA","",(TA[[#This Row],[Fault Acknowledgement Time ]]-TA[[#This Row],[Fault Time]])*24)</f>
        <v>0</v>
      </c>
      <c r="AB1000" s="27">
        <f>(TA[[#This Row],[Work Start time on Fault]]-TA[[#This Row],[Fault Time]])*24</f>
        <v>0</v>
      </c>
      <c r="AC1000" s="26">
        <f>(TA[[#This Row],[Work Completion time on fault]]-TA[[#This Row],[Fault Time]])*24</f>
        <v>0</v>
      </c>
      <c r="AD1000" s="27">
        <f>IFERROR((TA[[#This Row],[Work Completion time on fault]]-TA[[#This Row],[Fault Time]])*24,"")</f>
        <v>0</v>
      </c>
      <c r="AE1000" t="s">
        <v>319</v>
      </c>
      <c r="AF1000" t="s">
        <v>247</v>
      </c>
      <c r="AG1000" s="2"/>
      <c r="AH1000" s="35">
        <f>1-COS(RADIANS(TA[[#This Row],[Avg. Target Angle during Fault Time (Radians)]]-TA[[#This Row],[Angle of affected equipment ]]))</f>
        <v>0.11705240714107301</v>
      </c>
      <c r="AI1000" s="27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43">
        <f t="shared" si="96"/>
        <v>2026</v>
      </c>
      <c r="C1001" s="116">
        <f t="shared" si="97"/>
        <v>2025</v>
      </c>
      <c r="D1001" s="2" t="s">
        <v>155</v>
      </c>
      <c r="E1001" s="2" t="s">
        <v>155</v>
      </c>
      <c r="F1001" s="30">
        <v>45809</v>
      </c>
      <c r="G1001" s="2">
        <f>DAY(EOMONTH(TA[[#This Row],[Month Year]],0))</f>
        <v>30</v>
      </c>
      <c r="H1001" s="21">
        <v>45814</v>
      </c>
      <c r="I1001" s="32">
        <f>IFERROR(VLOOKUP(TA[[#This Row],[Date]],Raw_Data[[Date]:[Sunset Time (POA&lt;20 W/m2)]],3,0),"")</f>
        <v>0.25069444444444444</v>
      </c>
      <c r="J1001" s="32">
        <f>IFERROR(VLOOKUP(TA[[#This Row],[Date]],Raw_Data[[Date]:[Sunset Time (POA&lt;20 W/m2)]],4,0),"")</f>
        <v>0.77361111111111114</v>
      </c>
      <c r="K1001" s="27">
        <f>IFERROR((TA[[#This Row],[Sunset Time (POA&lt;20 W/m2)]]-TA[[#This Row],[Sunrise Time (POA&gt;20 W/m2)]])*24,"")</f>
        <v>12.55</v>
      </c>
      <c r="L1001" s="2" t="s">
        <v>285</v>
      </c>
      <c r="M1001" s="33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14" t="s">
        <v>306</v>
      </c>
      <c r="Q1001" s="113" t="s">
        <v>310</v>
      </c>
      <c r="R1001">
        <v>166</v>
      </c>
      <c r="S1001" s="2">
        <v>91</v>
      </c>
      <c r="T1001" t="s">
        <v>286</v>
      </c>
      <c r="U1001" t="s">
        <v>291</v>
      </c>
      <c r="V1001" t="s">
        <v>289</v>
      </c>
      <c r="W1001" s="32"/>
      <c r="X1001" s="32"/>
      <c r="Y1001" s="26"/>
      <c r="Z1001" s="26"/>
      <c r="AA1001" s="27">
        <f>IF(TA[[#This Row],[Work Start time on Fault]]="NA","",(TA[[#This Row],[Fault Acknowledgement Time ]]-TA[[#This Row],[Fault Time]])*24)</f>
        <v>0</v>
      </c>
      <c r="AB1001" s="27">
        <f>(TA[[#This Row],[Work Start time on Fault]]-TA[[#This Row],[Fault Time]])*24</f>
        <v>0</v>
      </c>
      <c r="AC1001" s="26">
        <f>(TA[[#This Row],[Work Completion time on fault]]-TA[[#This Row],[Fault Time]])*24</f>
        <v>0</v>
      </c>
      <c r="AD1001" s="27">
        <f>IFERROR((TA[[#This Row],[Work Completion time on fault]]-TA[[#This Row],[Fault Time]])*24,"")</f>
        <v>0</v>
      </c>
      <c r="AE1001" t="s">
        <v>319</v>
      </c>
      <c r="AF1001" t="s">
        <v>247</v>
      </c>
      <c r="AG1001" s="2"/>
      <c r="AH1001" s="35">
        <f>1-COS(RADIANS(TA[[#This Row],[Avg. Target Angle during Fault Time (Radians)]]-TA[[#This Row],[Angle of affected equipment ]]))</f>
        <v>0.11705240714107301</v>
      </c>
      <c r="AI1001" s="27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43">
        <f t="shared" si="96"/>
        <v>2026</v>
      </c>
      <c r="C1002" s="116">
        <f t="shared" si="97"/>
        <v>2025</v>
      </c>
      <c r="D1002" s="2" t="s">
        <v>155</v>
      </c>
      <c r="E1002" s="2" t="s">
        <v>155</v>
      </c>
      <c r="F1002" s="30">
        <v>45809</v>
      </c>
      <c r="G1002" s="2">
        <f>DAY(EOMONTH(TA[[#This Row],[Month Year]],0))</f>
        <v>30</v>
      </c>
      <c r="H1002" s="21">
        <v>45814</v>
      </c>
      <c r="I1002" s="32">
        <f>IFERROR(VLOOKUP(TA[[#This Row],[Date]],Raw_Data[[Date]:[Sunset Time (POA&lt;20 W/m2)]],3,0),"")</f>
        <v>0.25069444444444444</v>
      </c>
      <c r="J1002" s="32">
        <f>IFERROR(VLOOKUP(TA[[#This Row],[Date]],Raw_Data[[Date]:[Sunset Time (POA&lt;20 W/m2)]],4,0),"")</f>
        <v>0.77361111111111114</v>
      </c>
      <c r="K1002" s="27">
        <f>IFERROR((TA[[#This Row],[Sunset Time (POA&lt;20 W/m2)]]-TA[[#This Row],[Sunrise Time (POA&gt;20 W/m2)]])*24,"")</f>
        <v>12.55</v>
      </c>
      <c r="L1002" s="2" t="s">
        <v>285</v>
      </c>
      <c r="M1002" s="33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14" t="s">
        <v>307</v>
      </c>
      <c r="Q1002" s="113" t="s">
        <v>307</v>
      </c>
      <c r="R1002">
        <v>117</v>
      </c>
      <c r="S1002" s="2">
        <v>20</v>
      </c>
      <c r="T1002" t="s">
        <v>286</v>
      </c>
      <c r="U1002" t="s">
        <v>291</v>
      </c>
      <c r="V1002" t="s">
        <v>289</v>
      </c>
      <c r="W1002" s="32"/>
      <c r="X1002" s="32"/>
      <c r="Y1002" s="26"/>
      <c r="Z1002" s="26"/>
      <c r="AA1002" s="27">
        <f>IF(TA[[#This Row],[Work Start time on Fault]]="NA","",(TA[[#This Row],[Fault Acknowledgement Time ]]-TA[[#This Row],[Fault Time]])*24)</f>
        <v>0</v>
      </c>
      <c r="AB1002" s="27">
        <f>(TA[[#This Row],[Work Start time on Fault]]-TA[[#This Row],[Fault Time]])*24</f>
        <v>0</v>
      </c>
      <c r="AC1002" s="26">
        <f>(TA[[#This Row],[Work Completion time on fault]]-TA[[#This Row],[Fault Time]])*24</f>
        <v>0</v>
      </c>
      <c r="AD1002" s="27">
        <f>IFERROR((TA[[#This Row],[Work Completion time on fault]]-TA[[#This Row],[Fault Time]])*24,"")</f>
        <v>0</v>
      </c>
      <c r="AE1002" t="s">
        <v>319</v>
      </c>
      <c r="AF1002" t="s">
        <v>247</v>
      </c>
      <c r="AG1002" s="2"/>
      <c r="AH1002" s="35">
        <f>1-COS(RADIANS(TA[[#This Row],[Avg. Target Angle during Fault Time (Radians)]]-TA[[#This Row],[Angle of affected equipment ]]))</f>
        <v>0.11705240714107301</v>
      </c>
      <c r="AI1002" s="27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43">
        <f t="shared" si="96"/>
        <v>2026</v>
      </c>
      <c r="C1003" s="116">
        <f t="shared" si="97"/>
        <v>2025</v>
      </c>
      <c r="D1003" s="2" t="s">
        <v>155</v>
      </c>
      <c r="E1003" s="2" t="s">
        <v>155</v>
      </c>
      <c r="F1003" s="30">
        <v>45809</v>
      </c>
      <c r="G1003" s="2">
        <f>DAY(EOMONTH(TA[[#This Row],[Month Year]],0))</f>
        <v>30</v>
      </c>
      <c r="H1003" s="21">
        <v>45814</v>
      </c>
      <c r="I1003" s="32">
        <f>IFERROR(VLOOKUP(TA[[#This Row],[Date]],Raw_Data[[Date]:[Sunset Time (POA&lt;20 W/m2)]],3,0),"")</f>
        <v>0.25069444444444444</v>
      </c>
      <c r="J1003" s="32">
        <f>IFERROR(VLOOKUP(TA[[#This Row],[Date]],Raw_Data[[Date]:[Sunset Time (POA&lt;20 W/m2)]],4,0),"")</f>
        <v>0.77361111111111114</v>
      </c>
      <c r="K1003" s="27">
        <f>IFERROR((TA[[#This Row],[Sunset Time (POA&lt;20 W/m2)]]-TA[[#This Row],[Sunrise Time (POA&gt;20 W/m2)]])*24,"")</f>
        <v>12.55</v>
      </c>
      <c r="L1003" s="2" t="s">
        <v>285</v>
      </c>
      <c r="M1003" s="33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14" t="s">
        <v>307</v>
      </c>
      <c r="Q1003" s="113" t="s">
        <v>307</v>
      </c>
      <c r="R1003">
        <v>118</v>
      </c>
      <c r="S1003" s="2">
        <v>22</v>
      </c>
      <c r="T1003" t="s">
        <v>286</v>
      </c>
      <c r="U1003" t="s">
        <v>291</v>
      </c>
      <c r="V1003" t="s">
        <v>289</v>
      </c>
      <c r="W1003" s="32"/>
      <c r="X1003" s="32"/>
      <c r="Y1003" s="26"/>
      <c r="Z1003" s="26"/>
      <c r="AA1003" s="27">
        <f>IF(TA[[#This Row],[Work Start time on Fault]]="NA","",(TA[[#This Row],[Fault Acknowledgement Time ]]-TA[[#This Row],[Fault Time]])*24)</f>
        <v>0</v>
      </c>
      <c r="AB1003" s="27">
        <f>(TA[[#This Row],[Work Start time on Fault]]-TA[[#This Row],[Fault Time]])*24</f>
        <v>0</v>
      </c>
      <c r="AC1003" s="26">
        <f>(TA[[#This Row],[Work Completion time on fault]]-TA[[#This Row],[Fault Time]])*24</f>
        <v>0</v>
      </c>
      <c r="AD1003" s="27">
        <f>IFERROR((TA[[#This Row],[Work Completion time on fault]]-TA[[#This Row],[Fault Time]])*24,"")</f>
        <v>0</v>
      </c>
      <c r="AE1003" t="s">
        <v>319</v>
      </c>
      <c r="AF1003" t="s">
        <v>247</v>
      </c>
      <c r="AG1003" s="2"/>
      <c r="AH1003" s="35">
        <f>1-COS(RADIANS(TA[[#This Row],[Avg. Target Angle during Fault Time (Radians)]]-TA[[#This Row],[Angle of affected equipment ]]))</f>
        <v>0.11705240714107301</v>
      </c>
      <c r="AI1003" s="27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43">
        <f t="shared" si="96"/>
        <v>2026</v>
      </c>
      <c r="C1004" s="116">
        <f t="shared" si="97"/>
        <v>2025</v>
      </c>
      <c r="D1004" s="2" t="s">
        <v>155</v>
      </c>
      <c r="E1004" s="2" t="s">
        <v>155</v>
      </c>
      <c r="F1004" s="30">
        <v>45809</v>
      </c>
      <c r="G1004" s="2">
        <f>DAY(EOMONTH(TA[[#This Row],[Month Year]],0))</f>
        <v>30</v>
      </c>
      <c r="H1004" s="21">
        <v>45814</v>
      </c>
      <c r="I1004" s="32">
        <f>IFERROR(VLOOKUP(TA[[#This Row],[Date]],Raw_Data[[Date]:[Sunset Time (POA&lt;20 W/m2)]],3,0),"")</f>
        <v>0.25069444444444444</v>
      </c>
      <c r="J1004" s="32">
        <f>IFERROR(VLOOKUP(TA[[#This Row],[Date]],Raw_Data[[Date]:[Sunset Time (POA&lt;20 W/m2)]],4,0),"")</f>
        <v>0.77361111111111114</v>
      </c>
      <c r="K1004" s="27">
        <f>IFERROR((TA[[#This Row],[Sunset Time (POA&lt;20 W/m2)]]-TA[[#This Row],[Sunrise Time (POA&gt;20 W/m2)]])*24,"")</f>
        <v>12.55</v>
      </c>
      <c r="L1004" s="2" t="s">
        <v>287</v>
      </c>
      <c r="M1004" s="33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314</v>
      </c>
      <c r="Q1004" s="2" t="s">
        <v>320</v>
      </c>
      <c r="R1004">
        <v>45</v>
      </c>
      <c r="S1004" s="2">
        <v>8</v>
      </c>
      <c r="T1004" t="s">
        <v>288</v>
      </c>
      <c r="U1004" t="s">
        <v>291</v>
      </c>
      <c r="V1004" t="s">
        <v>292</v>
      </c>
      <c r="W1004" s="32"/>
      <c r="X1004" s="32"/>
      <c r="Y1004" s="26"/>
      <c r="Z1004" s="26"/>
      <c r="AA1004" s="27">
        <f>IF(TA[[#This Row],[Work Start time on Fault]]="NA","",(TA[[#This Row],[Fault Acknowledgement Time ]]-TA[[#This Row],[Fault Time]])*24)</f>
        <v>0</v>
      </c>
      <c r="AB1004" s="27">
        <f>(TA[[#This Row],[Work Start time on Fault]]-TA[[#This Row],[Fault Time]])*24</f>
        <v>0</v>
      </c>
      <c r="AC1004" s="26">
        <f>(TA[[#This Row],[Work Completion time on fault]]-TA[[#This Row],[Fault Time]])*24</f>
        <v>0</v>
      </c>
      <c r="AD1004" s="27">
        <f>IFERROR((TA[[#This Row],[Work Completion time on fault]]-TA[[#This Row],[Fault Time]])*24,"")</f>
        <v>0</v>
      </c>
      <c r="AE1004" t="s">
        <v>319</v>
      </c>
      <c r="AF1004" t="s">
        <v>247</v>
      </c>
      <c r="AG1004" s="2"/>
      <c r="AH1004" s="35">
        <f>1-COS(RADIANS(TA[[#This Row],[Avg. Target Angle during Fault Time (Radians)]]-TA[[#This Row],[Angle of affected equipment ]]))</f>
        <v>0.11705240714107301</v>
      </c>
      <c r="AI1004" s="27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43">
        <f t="shared" si="96"/>
        <v>2026</v>
      </c>
      <c r="C1005" s="116">
        <f t="shared" si="97"/>
        <v>2025</v>
      </c>
      <c r="D1005" s="2" t="s">
        <v>155</v>
      </c>
      <c r="E1005" s="2" t="s">
        <v>155</v>
      </c>
      <c r="F1005" s="30">
        <v>45809</v>
      </c>
      <c r="G1005" s="2">
        <f>DAY(EOMONTH(TA[[#This Row],[Month Year]],0))</f>
        <v>30</v>
      </c>
      <c r="H1005" s="21">
        <v>45814</v>
      </c>
      <c r="I1005" s="32">
        <f>IFERROR(VLOOKUP(TA[[#This Row],[Date]],Raw_Data[[Date]:[Sunset Time (POA&lt;20 W/m2)]],3,0),"")</f>
        <v>0.25069444444444444</v>
      </c>
      <c r="J1005" s="32">
        <f>IFERROR(VLOOKUP(TA[[#This Row],[Date]],Raw_Data[[Date]:[Sunset Time (POA&lt;20 W/m2)]],4,0),"")</f>
        <v>0.77361111111111114</v>
      </c>
      <c r="K1005" s="27">
        <f>IFERROR((TA[[#This Row],[Sunset Time (POA&lt;20 W/m2)]]-TA[[#This Row],[Sunrise Time (POA&gt;20 W/m2)]])*24,"")</f>
        <v>12.55</v>
      </c>
      <c r="L1005" s="2" t="s">
        <v>287</v>
      </c>
      <c r="M1005" s="33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314</v>
      </c>
      <c r="Q1005" s="2" t="s">
        <v>320</v>
      </c>
      <c r="R1005">
        <v>47</v>
      </c>
      <c r="S1005" s="2">
        <v>18</v>
      </c>
      <c r="T1005" t="s">
        <v>288</v>
      </c>
      <c r="U1005" t="s">
        <v>291</v>
      </c>
      <c r="V1005" t="s">
        <v>292</v>
      </c>
      <c r="W1005" s="32"/>
      <c r="X1005" s="32"/>
      <c r="Y1005" s="26"/>
      <c r="Z1005" s="26"/>
      <c r="AA1005" s="27">
        <f>IF(TA[[#This Row],[Work Start time on Fault]]="NA","",(TA[[#This Row],[Fault Acknowledgement Time ]]-TA[[#This Row],[Fault Time]])*24)</f>
        <v>0</v>
      </c>
      <c r="AB1005" s="27">
        <f>(TA[[#This Row],[Work Start time on Fault]]-TA[[#This Row],[Fault Time]])*24</f>
        <v>0</v>
      </c>
      <c r="AC1005" s="26">
        <f>(TA[[#This Row],[Work Completion time on fault]]-TA[[#This Row],[Fault Time]])*24</f>
        <v>0</v>
      </c>
      <c r="AD1005" s="27">
        <f>IFERROR((TA[[#This Row],[Work Completion time on fault]]-TA[[#This Row],[Fault Time]])*24,"")</f>
        <v>0</v>
      </c>
      <c r="AE1005" t="s">
        <v>319</v>
      </c>
      <c r="AF1005" t="s">
        <v>247</v>
      </c>
      <c r="AG1005" s="2"/>
      <c r="AH1005" s="35">
        <f>1-COS(RADIANS(TA[[#This Row],[Avg. Target Angle during Fault Time (Radians)]]-TA[[#This Row],[Angle of affected equipment ]]))</f>
        <v>0.11705240714107301</v>
      </c>
      <c r="AI1005" s="27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43">
        <f t="shared" si="96"/>
        <v>2026</v>
      </c>
      <c r="C1006" s="116">
        <f t="shared" si="97"/>
        <v>2025</v>
      </c>
      <c r="D1006" s="2" t="s">
        <v>155</v>
      </c>
      <c r="E1006" s="2" t="s">
        <v>155</v>
      </c>
      <c r="F1006" s="30">
        <v>45809</v>
      </c>
      <c r="G1006" s="2">
        <f>DAY(EOMONTH(TA[[#This Row],[Month Year]],0))</f>
        <v>30</v>
      </c>
      <c r="H1006" s="21">
        <v>45814</v>
      </c>
      <c r="I1006" s="32">
        <f>IFERROR(VLOOKUP(TA[[#This Row],[Date]],Raw_Data[[Date]:[Sunset Time (POA&lt;20 W/m2)]],3,0),"")</f>
        <v>0.25069444444444444</v>
      </c>
      <c r="J1006" s="32">
        <f>IFERROR(VLOOKUP(TA[[#This Row],[Date]],Raw_Data[[Date]:[Sunset Time (POA&lt;20 W/m2)]],4,0),"")</f>
        <v>0.77361111111111114</v>
      </c>
      <c r="K1006" s="27">
        <f>IFERROR((TA[[#This Row],[Sunset Time (POA&lt;20 W/m2)]]-TA[[#This Row],[Sunrise Time (POA&gt;20 W/m2)]])*24,"")</f>
        <v>12.55</v>
      </c>
      <c r="L1006" s="2" t="s">
        <v>287</v>
      </c>
      <c r="M1006" s="33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321</v>
      </c>
      <c r="Q1006" s="2" t="s">
        <v>314</v>
      </c>
      <c r="R1006">
        <v>30</v>
      </c>
      <c r="S1006" s="2">
        <v>57</v>
      </c>
      <c r="T1006" t="s">
        <v>288</v>
      </c>
      <c r="U1006" t="s">
        <v>291</v>
      </c>
      <c r="V1006" t="s">
        <v>292</v>
      </c>
      <c r="W1006" s="32"/>
      <c r="X1006" s="32"/>
      <c r="Y1006" s="26"/>
      <c r="Z1006" s="26"/>
      <c r="AA1006" s="27">
        <f>IF(TA[[#This Row],[Work Start time on Fault]]="NA","",(TA[[#This Row],[Fault Acknowledgement Time ]]-TA[[#This Row],[Fault Time]])*24)</f>
        <v>0</v>
      </c>
      <c r="AB1006" s="27">
        <f>(TA[[#This Row],[Work Start time on Fault]]-TA[[#This Row],[Fault Time]])*24</f>
        <v>0</v>
      </c>
      <c r="AC1006" s="26">
        <f>(TA[[#This Row],[Work Completion time on fault]]-TA[[#This Row],[Fault Time]])*24</f>
        <v>0</v>
      </c>
      <c r="AD1006" s="27">
        <f>IFERROR((TA[[#This Row],[Work Completion time on fault]]-TA[[#This Row],[Fault Time]])*24,"")</f>
        <v>0</v>
      </c>
      <c r="AE1006" t="s">
        <v>319</v>
      </c>
      <c r="AF1006" t="s">
        <v>247</v>
      </c>
      <c r="AG1006" s="2"/>
      <c r="AH1006" s="35">
        <f>1-COS(RADIANS(TA[[#This Row],[Avg. Target Angle during Fault Time (Radians)]]-TA[[#This Row],[Angle of affected equipment ]]))</f>
        <v>0.11705240714107301</v>
      </c>
      <c r="AI1006" s="27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43">
        <f t="shared" si="96"/>
        <v>2026</v>
      </c>
      <c r="C1007" s="116">
        <f t="shared" si="97"/>
        <v>2025</v>
      </c>
      <c r="D1007" s="2" t="s">
        <v>155</v>
      </c>
      <c r="E1007" s="2" t="s">
        <v>155</v>
      </c>
      <c r="F1007" s="30">
        <v>45809</v>
      </c>
      <c r="G1007" s="2">
        <f>DAY(EOMONTH(TA[[#This Row],[Month Year]],0))</f>
        <v>30</v>
      </c>
      <c r="H1007" s="21">
        <v>45814</v>
      </c>
      <c r="I1007" s="32">
        <f>IFERROR(VLOOKUP(TA[[#This Row],[Date]],Raw_Data[[Date]:[Sunset Time (POA&lt;20 W/m2)]],3,0),"")</f>
        <v>0.25069444444444444</v>
      </c>
      <c r="J1007" s="32">
        <f>IFERROR(VLOOKUP(TA[[#This Row],[Date]],Raw_Data[[Date]:[Sunset Time (POA&lt;20 W/m2)]],4,0),"")</f>
        <v>0.77361111111111114</v>
      </c>
      <c r="K1007" s="27">
        <f>IFERROR((TA[[#This Row],[Sunset Time (POA&lt;20 W/m2)]]-TA[[#This Row],[Sunrise Time (POA&gt;20 W/m2)]])*24,"")</f>
        <v>12.55</v>
      </c>
      <c r="L1007" s="2" t="s">
        <v>287</v>
      </c>
      <c r="M1007" s="33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321</v>
      </c>
      <c r="Q1007" s="2" t="s">
        <v>314</v>
      </c>
      <c r="R1007">
        <v>31</v>
      </c>
      <c r="S1007" s="2">
        <v>61</v>
      </c>
      <c r="T1007" t="s">
        <v>288</v>
      </c>
      <c r="U1007" t="s">
        <v>291</v>
      </c>
      <c r="V1007" t="s">
        <v>292</v>
      </c>
      <c r="W1007" s="32"/>
      <c r="X1007" s="32"/>
      <c r="Y1007" s="26"/>
      <c r="Z1007" s="26"/>
      <c r="AA1007" s="27">
        <f>IF(TA[[#This Row],[Work Start time on Fault]]="NA","",(TA[[#This Row],[Fault Acknowledgement Time ]]-TA[[#This Row],[Fault Time]])*24)</f>
        <v>0</v>
      </c>
      <c r="AB1007" s="27">
        <f>(TA[[#This Row],[Work Start time on Fault]]-TA[[#This Row],[Fault Time]])*24</f>
        <v>0</v>
      </c>
      <c r="AC1007" s="26">
        <f>(TA[[#This Row],[Work Completion time on fault]]-TA[[#This Row],[Fault Time]])*24</f>
        <v>0</v>
      </c>
      <c r="AD1007" s="27">
        <f>IFERROR((TA[[#This Row],[Work Completion time on fault]]-TA[[#This Row],[Fault Time]])*24,"")</f>
        <v>0</v>
      </c>
      <c r="AE1007" t="s">
        <v>319</v>
      </c>
      <c r="AF1007" t="s">
        <v>247</v>
      </c>
      <c r="AG1007" s="2"/>
      <c r="AH1007" s="35">
        <f>1-COS(RADIANS(TA[[#This Row],[Avg. Target Angle during Fault Time (Radians)]]-TA[[#This Row],[Angle of affected equipment ]]))</f>
        <v>0.11705240714107301</v>
      </c>
      <c r="AI1007" s="27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43">
        <f t="shared" si="96"/>
        <v>2026</v>
      </c>
      <c r="C1008" s="116">
        <f t="shared" si="97"/>
        <v>2025</v>
      </c>
      <c r="D1008" s="2" t="s">
        <v>155</v>
      </c>
      <c r="E1008" s="2" t="s">
        <v>155</v>
      </c>
      <c r="F1008" s="30">
        <v>45809</v>
      </c>
      <c r="G1008" s="2">
        <f>DAY(EOMONTH(TA[[#This Row],[Month Year]],0))</f>
        <v>30</v>
      </c>
      <c r="H1008" s="21">
        <v>45814</v>
      </c>
      <c r="I1008" s="32">
        <f>IFERROR(VLOOKUP(TA[[#This Row],[Date]],Raw_Data[[Date]:[Sunset Time (POA&lt;20 W/m2)]],3,0),"")</f>
        <v>0.25069444444444444</v>
      </c>
      <c r="J1008" s="32">
        <f>IFERROR(VLOOKUP(TA[[#This Row],[Date]],Raw_Data[[Date]:[Sunset Time (POA&lt;20 W/m2)]],4,0),"")</f>
        <v>0.77361111111111114</v>
      </c>
      <c r="K1008" s="27">
        <f>IFERROR((TA[[#This Row],[Sunset Time (POA&lt;20 W/m2)]]-TA[[#This Row],[Sunrise Time (POA&gt;20 W/m2)]])*24,"")</f>
        <v>12.55</v>
      </c>
      <c r="L1008" s="2" t="s">
        <v>303</v>
      </c>
      <c r="M1008" s="33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321</v>
      </c>
      <c r="Q1008" s="2" t="s">
        <v>314</v>
      </c>
      <c r="R1008">
        <v>26</v>
      </c>
      <c r="S1008" s="2">
        <v>37</v>
      </c>
      <c r="T1008" t="s">
        <v>288</v>
      </c>
      <c r="U1008" t="s">
        <v>291</v>
      </c>
      <c r="V1008" t="s">
        <v>292</v>
      </c>
      <c r="W1008" s="32"/>
      <c r="X1008" s="32"/>
      <c r="Y1008" s="26"/>
      <c r="Z1008" s="26"/>
      <c r="AA1008" s="27">
        <f>IF(TA[[#This Row],[Work Start time on Fault]]="NA","",(TA[[#This Row],[Fault Acknowledgement Time ]]-TA[[#This Row],[Fault Time]])*24)</f>
        <v>0</v>
      </c>
      <c r="AB1008" s="27">
        <f>(TA[[#This Row],[Work Start time on Fault]]-TA[[#This Row],[Fault Time]])*24</f>
        <v>0</v>
      </c>
      <c r="AC1008" s="26">
        <f>(TA[[#This Row],[Work Completion time on fault]]-TA[[#This Row],[Fault Time]])*24</f>
        <v>0</v>
      </c>
      <c r="AD1008" s="27">
        <f>IFERROR((TA[[#This Row],[Work Completion time on fault]]-TA[[#This Row],[Fault Time]])*24,"")</f>
        <v>0</v>
      </c>
      <c r="AE1008" t="s">
        <v>319</v>
      </c>
      <c r="AF1008" t="s">
        <v>247</v>
      </c>
      <c r="AG1008" s="2"/>
      <c r="AH1008" s="35">
        <f>1-COS(RADIANS(TA[[#This Row],[Avg. Target Angle during Fault Time (Radians)]]-TA[[#This Row],[Angle of affected equipment ]]))</f>
        <v>0.11705240714107301</v>
      </c>
      <c r="AI1008" s="27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43">
        <f t="shared" si="96"/>
        <v>2026</v>
      </c>
      <c r="C1009" s="116">
        <f t="shared" si="97"/>
        <v>2025</v>
      </c>
      <c r="D1009" s="2" t="s">
        <v>155</v>
      </c>
      <c r="E1009" s="2" t="s">
        <v>155</v>
      </c>
      <c r="F1009" s="30">
        <v>45809</v>
      </c>
      <c r="G1009" s="2">
        <f>DAY(EOMONTH(TA[[#This Row],[Month Year]],0))</f>
        <v>30</v>
      </c>
      <c r="H1009" s="21">
        <v>45814</v>
      </c>
      <c r="I1009" s="32">
        <f>IFERROR(VLOOKUP(TA[[#This Row],[Date]],Raw_Data[[Date]:[Sunset Time (POA&lt;20 W/m2)]],3,0),"")</f>
        <v>0.25069444444444444</v>
      </c>
      <c r="J1009" s="32">
        <f>IFERROR(VLOOKUP(TA[[#This Row],[Date]],Raw_Data[[Date]:[Sunset Time (POA&lt;20 W/m2)]],4,0),"")</f>
        <v>0.77361111111111114</v>
      </c>
      <c r="K1009" s="27">
        <f>IFERROR((TA[[#This Row],[Sunset Time (POA&lt;20 W/m2)]]-TA[[#This Row],[Sunrise Time (POA&gt;20 W/m2)]])*24,"")</f>
        <v>12.55</v>
      </c>
      <c r="L1009" s="2" t="s">
        <v>303</v>
      </c>
      <c r="M1009" s="33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321</v>
      </c>
      <c r="Q1009" s="2" t="s">
        <v>314</v>
      </c>
      <c r="R1009">
        <v>27</v>
      </c>
      <c r="S1009" s="2">
        <v>42</v>
      </c>
      <c r="T1009" t="s">
        <v>288</v>
      </c>
      <c r="U1009" t="s">
        <v>291</v>
      </c>
      <c r="V1009" t="s">
        <v>292</v>
      </c>
      <c r="W1009" s="32">
        <f>IFERROR(VLOOKUP(TA[[#This Row],[Date]],Raw_Data[[Date]:[Sunset Time (POA&lt;20 W/m2)]],3,0),"")</f>
        <v>0.25069444444444444</v>
      </c>
      <c r="X1009" s="32">
        <f>IFERROR(VLOOKUP(TA[[#This Row],[Date]],Raw_Data[[Date]:[Sunset Time (POA&lt;20 W/m2)]],3,0),"")</f>
        <v>0.25069444444444444</v>
      </c>
      <c r="Y1009" s="26"/>
      <c r="Z1009" s="26">
        <v>0.76041666666666663</v>
      </c>
      <c r="AA1009" s="27">
        <f>IF(TA[[#This Row],[Work Start time on Fault]]="NA","",(TA[[#This Row],[Fault Acknowledgement Time ]]-TA[[#This Row],[Fault Time]])*24)</f>
        <v>0</v>
      </c>
      <c r="AB1009" s="27">
        <f>(TA[[#This Row],[Work Start time on Fault]]-TA[[#This Row],[Fault Time]])*24</f>
        <v>-6.0166666666666666</v>
      </c>
      <c r="AC1009" s="26">
        <f>(TA[[#This Row],[Work Completion time on fault]]-TA[[#This Row],[Fault Time]])*24</f>
        <v>12.233333333333333</v>
      </c>
      <c r="AD1009" s="27">
        <f>IFERROR((TA[[#This Row],[Work Completion time on fault]]-TA[[#This Row],[Fault Time]])*24,"")</f>
        <v>12.233333333333333</v>
      </c>
      <c r="AE1009" t="s">
        <v>300</v>
      </c>
      <c r="AF1009" t="s">
        <v>247</v>
      </c>
      <c r="AG1009" s="2"/>
      <c r="AH1009" s="35">
        <f>1-COS(RADIANS(TA[[#This Row],[Avg. Target Angle during Fault Time (Radians)]]-TA[[#This Row],[Angle of affected equipment ]]))</f>
        <v>0.11705240714107301</v>
      </c>
      <c r="AI1009" s="27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43">
        <f t="shared" ref="B1010:B1022" si="99">YEAR(H1010)+IF(MONTH(H1010)&gt;=4,1,0)</f>
        <v>2026</v>
      </c>
      <c r="C1010" s="116">
        <f t="shared" ref="C1010:C1022" si="100">YEAR(H1010)</f>
        <v>2025</v>
      </c>
      <c r="D1010" s="2" t="s">
        <v>155</v>
      </c>
      <c r="E1010" s="2" t="s">
        <v>155</v>
      </c>
      <c r="F1010" s="30">
        <v>45809</v>
      </c>
      <c r="G1010" s="2">
        <f>DAY(EOMONTH(TA[[#This Row],[Month Year]],0))</f>
        <v>30</v>
      </c>
      <c r="H1010" s="21">
        <v>45815</v>
      </c>
      <c r="I1010" s="32">
        <f>IFERROR(VLOOKUP(TA[[#This Row],[Date]],Raw_Data[[Date]:[Sunset Time (POA&lt;20 W/m2)]],3,0),"")</f>
        <v>0.24583333333333332</v>
      </c>
      <c r="J1010" s="32">
        <f>IFERROR(VLOOKUP(TA[[#This Row],[Date]],Raw_Data[[Date]:[Sunset Time (POA&lt;20 W/m2)]],4,0),"")</f>
        <v>0.77569444444444446</v>
      </c>
      <c r="K1010" s="27">
        <f>IFERROR((TA[[#This Row],[Sunset Time (POA&lt;20 W/m2)]]-TA[[#This Row],[Sunrise Time (POA&gt;20 W/m2)]])*24,"")</f>
        <v>12.716666666666667</v>
      </c>
      <c r="L1010" s="2" t="s">
        <v>285</v>
      </c>
      <c r="M1010" s="33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14" t="s">
        <v>309</v>
      </c>
      <c r="Q1010" s="113" t="s">
        <v>309</v>
      </c>
      <c r="R1010">
        <v>131</v>
      </c>
      <c r="S1010" s="2">
        <v>38</v>
      </c>
      <c r="T1010" t="s">
        <v>286</v>
      </c>
      <c r="U1010" t="s">
        <v>291</v>
      </c>
      <c r="V1010" t="s">
        <v>289</v>
      </c>
      <c r="W1010" s="32"/>
      <c r="X1010" s="32"/>
      <c r="Y1010" s="26"/>
      <c r="Z1010" s="26"/>
      <c r="AA1010" s="27">
        <f>IF(TA[[#This Row],[Work Start time on Fault]]="NA","",(TA[[#This Row],[Fault Acknowledgement Time ]]-TA[[#This Row],[Fault Time]])*24)</f>
        <v>0</v>
      </c>
      <c r="AB1010" s="27">
        <f>(TA[[#This Row],[Work Start time on Fault]]-TA[[#This Row],[Fault Time]])*24</f>
        <v>0</v>
      </c>
      <c r="AC1010" s="26">
        <f>(TA[[#This Row],[Work Completion time on fault]]-TA[[#This Row],[Fault Time]])*24</f>
        <v>0</v>
      </c>
      <c r="AD1010" s="27">
        <f>IFERROR((TA[[#This Row],[Work Completion time on fault]]-TA[[#This Row],[Fault Time]])*24,"")</f>
        <v>0</v>
      </c>
      <c r="AE1010" t="s">
        <v>319</v>
      </c>
      <c r="AF1010" t="s">
        <v>247</v>
      </c>
      <c r="AG1010" s="2"/>
      <c r="AH1010" s="35">
        <f>1-COS(RADIANS(TA[[#This Row],[Avg. Target Angle during Fault Time (Radians)]]-TA[[#This Row],[Angle of affected equipment ]]))</f>
        <v>0.11705240714107301</v>
      </c>
      <c r="AI1010" s="27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43">
        <f t="shared" si="99"/>
        <v>2026</v>
      </c>
      <c r="C1011" s="116">
        <f t="shared" si="100"/>
        <v>2025</v>
      </c>
      <c r="D1011" s="2" t="s">
        <v>155</v>
      </c>
      <c r="E1011" s="2" t="s">
        <v>155</v>
      </c>
      <c r="F1011" s="30">
        <v>45809</v>
      </c>
      <c r="G1011" s="2">
        <f>DAY(EOMONTH(TA[[#This Row],[Month Year]],0))</f>
        <v>30</v>
      </c>
      <c r="H1011" s="21">
        <v>45815</v>
      </c>
      <c r="I1011" s="32">
        <f>IFERROR(VLOOKUP(TA[[#This Row],[Date]],Raw_Data[[Date]:[Sunset Time (POA&lt;20 W/m2)]],3,0),"")</f>
        <v>0.24583333333333332</v>
      </c>
      <c r="J1011" s="32">
        <f>IFERROR(VLOOKUP(TA[[#This Row],[Date]],Raw_Data[[Date]:[Sunset Time (POA&lt;20 W/m2)]],4,0),"")</f>
        <v>0.77569444444444446</v>
      </c>
      <c r="K1011" s="27">
        <f>IFERROR((TA[[#This Row],[Sunset Time (POA&lt;20 W/m2)]]-TA[[#This Row],[Sunrise Time (POA&gt;20 W/m2)]])*24,"")</f>
        <v>12.716666666666667</v>
      </c>
      <c r="L1011" s="2" t="s">
        <v>285</v>
      </c>
      <c r="M1011" s="33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14" t="s">
        <v>309</v>
      </c>
      <c r="Q1011" s="113" t="s">
        <v>309</v>
      </c>
      <c r="R1011">
        <v>131</v>
      </c>
      <c r="S1011" s="2">
        <v>39</v>
      </c>
      <c r="T1011" t="s">
        <v>286</v>
      </c>
      <c r="U1011" t="s">
        <v>291</v>
      </c>
      <c r="V1011" t="s">
        <v>289</v>
      </c>
      <c r="W1011" s="32"/>
      <c r="X1011" s="32"/>
      <c r="Y1011" s="26"/>
      <c r="Z1011" s="26"/>
      <c r="AA1011" s="27">
        <f>IF(TA[[#This Row],[Work Start time on Fault]]="NA","",(TA[[#This Row],[Fault Acknowledgement Time ]]-TA[[#This Row],[Fault Time]])*24)</f>
        <v>0</v>
      </c>
      <c r="AB1011" s="27">
        <f>(TA[[#This Row],[Work Start time on Fault]]-TA[[#This Row],[Fault Time]])*24</f>
        <v>0</v>
      </c>
      <c r="AC1011" s="26">
        <f>(TA[[#This Row],[Work Completion time on fault]]-TA[[#This Row],[Fault Time]])*24</f>
        <v>0</v>
      </c>
      <c r="AD1011" s="27">
        <f>IFERROR((TA[[#This Row],[Work Completion time on fault]]-TA[[#This Row],[Fault Time]])*24,"")</f>
        <v>0</v>
      </c>
      <c r="AE1011" t="s">
        <v>319</v>
      </c>
      <c r="AF1011" t="s">
        <v>247</v>
      </c>
      <c r="AG1011" s="2"/>
      <c r="AH1011" s="35">
        <f>1-COS(RADIANS(TA[[#This Row],[Avg. Target Angle during Fault Time (Radians)]]-TA[[#This Row],[Angle of affected equipment ]]))</f>
        <v>0.11705240714107301</v>
      </c>
      <c r="AI1011" s="27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43">
        <f t="shared" si="99"/>
        <v>2026</v>
      </c>
      <c r="C1012" s="116">
        <f t="shared" si="100"/>
        <v>2025</v>
      </c>
      <c r="D1012" s="2" t="s">
        <v>155</v>
      </c>
      <c r="E1012" s="2" t="s">
        <v>155</v>
      </c>
      <c r="F1012" s="30">
        <v>45809</v>
      </c>
      <c r="G1012" s="2">
        <f>DAY(EOMONTH(TA[[#This Row],[Month Year]],0))</f>
        <v>30</v>
      </c>
      <c r="H1012" s="21">
        <v>45815</v>
      </c>
      <c r="I1012" s="32">
        <f>IFERROR(VLOOKUP(TA[[#This Row],[Date]],Raw_Data[[Date]:[Sunset Time (POA&lt;20 W/m2)]],3,0),"")</f>
        <v>0.24583333333333332</v>
      </c>
      <c r="J1012" s="32">
        <f>IFERROR(VLOOKUP(TA[[#This Row],[Date]],Raw_Data[[Date]:[Sunset Time (POA&lt;20 W/m2)]],4,0),"")</f>
        <v>0.77569444444444446</v>
      </c>
      <c r="K1012" s="27">
        <f>IFERROR((TA[[#This Row],[Sunset Time (POA&lt;20 W/m2)]]-TA[[#This Row],[Sunrise Time (POA&gt;20 W/m2)]])*24,"")</f>
        <v>12.716666666666667</v>
      </c>
      <c r="L1012" s="2" t="s">
        <v>287</v>
      </c>
      <c r="M1012" s="33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14" t="s">
        <v>309</v>
      </c>
      <c r="Q1012" s="2" t="s">
        <v>312</v>
      </c>
      <c r="R1012">
        <v>133</v>
      </c>
      <c r="S1012" s="2">
        <v>26</v>
      </c>
      <c r="T1012" t="s">
        <v>288</v>
      </c>
      <c r="U1012" t="s">
        <v>291</v>
      </c>
      <c r="V1012" t="s">
        <v>305</v>
      </c>
      <c r="W1012" s="32">
        <f>IFERROR(VLOOKUP(TA[[#This Row],[Date]],Raw_Data[[Date]:[Sunset Time (POA&lt;20 W/m2)]],3,0),"")</f>
        <v>0.24583333333333332</v>
      </c>
      <c r="X1012" s="32">
        <f>IFERROR(VLOOKUP(TA[[#This Row],[Date]],Raw_Data[[Date]:[Sunset Time (POA&lt;20 W/m2)]],3,0),"")</f>
        <v>0.24583333333333332</v>
      </c>
      <c r="Y1012" s="26"/>
      <c r="Z1012" s="26">
        <v>0.76041666666666663</v>
      </c>
      <c r="AA1012" s="27">
        <f>IF(TA[[#This Row],[Work Start time on Fault]]="NA","",(TA[[#This Row],[Fault Acknowledgement Time ]]-TA[[#This Row],[Fault Time]])*24)</f>
        <v>0</v>
      </c>
      <c r="AB1012" s="27">
        <f>(TA[[#This Row],[Work Start time on Fault]]-TA[[#This Row],[Fault Time]])*24</f>
        <v>-5.8999999999999995</v>
      </c>
      <c r="AC1012" s="26">
        <f>(TA[[#This Row],[Work Completion time on fault]]-TA[[#This Row],[Fault Time]])*24</f>
        <v>12.349999999999998</v>
      </c>
      <c r="AD1012" s="27">
        <f>IFERROR((TA[[#This Row],[Work Completion time on fault]]-TA[[#This Row],[Fault Time]])*24,"")</f>
        <v>12.349999999999998</v>
      </c>
      <c r="AE1012" t="s">
        <v>319</v>
      </c>
      <c r="AF1012" t="s">
        <v>247</v>
      </c>
      <c r="AG1012" s="2"/>
      <c r="AH1012" s="35">
        <f>1-COS(RADIANS(TA[[#This Row],[Avg. Target Angle during Fault Time (Radians)]]-TA[[#This Row],[Angle of affected equipment ]]))</f>
        <v>0.11705240714107301</v>
      </c>
      <c r="AI1012" s="27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43">
        <f t="shared" si="99"/>
        <v>2026</v>
      </c>
      <c r="C1013" s="116">
        <f t="shared" si="100"/>
        <v>2025</v>
      </c>
      <c r="D1013" s="2" t="s">
        <v>155</v>
      </c>
      <c r="E1013" s="2" t="s">
        <v>155</v>
      </c>
      <c r="F1013" s="30">
        <v>45809</v>
      </c>
      <c r="G1013" s="2">
        <f>DAY(EOMONTH(TA[[#This Row],[Month Year]],0))</f>
        <v>30</v>
      </c>
      <c r="H1013" s="21">
        <v>45815</v>
      </c>
      <c r="I1013" s="32">
        <f>IFERROR(VLOOKUP(TA[[#This Row],[Date]],Raw_Data[[Date]:[Sunset Time (POA&lt;20 W/m2)]],3,0),"")</f>
        <v>0.24583333333333332</v>
      </c>
      <c r="J1013" s="32">
        <f>IFERROR(VLOOKUP(TA[[#This Row],[Date]],Raw_Data[[Date]:[Sunset Time (POA&lt;20 W/m2)]],4,0),"")</f>
        <v>0.77569444444444446</v>
      </c>
      <c r="K1013" s="27">
        <f>IFERROR((TA[[#This Row],[Sunset Time (POA&lt;20 W/m2)]]-TA[[#This Row],[Sunrise Time (POA&gt;20 W/m2)]])*24,"")</f>
        <v>12.716666666666667</v>
      </c>
      <c r="L1013" s="2" t="s">
        <v>285</v>
      </c>
      <c r="M1013" s="33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14" t="s">
        <v>307</v>
      </c>
      <c r="Q1013" s="113" t="s">
        <v>308</v>
      </c>
      <c r="R1013">
        <v>7</v>
      </c>
      <c r="S1013" s="2">
        <v>32</v>
      </c>
      <c r="T1013" t="s">
        <v>286</v>
      </c>
      <c r="U1013" t="s">
        <v>291</v>
      </c>
      <c r="V1013" t="s">
        <v>289</v>
      </c>
      <c r="W1013" s="32"/>
      <c r="X1013" s="32"/>
      <c r="Y1013" s="26"/>
      <c r="Z1013" s="26"/>
      <c r="AA1013" s="27">
        <f>IF(TA[[#This Row],[Work Start time on Fault]]="NA","",(TA[[#This Row],[Fault Acknowledgement Time ]]-TA[[#This Row],[Fault Time]])*24)</f>
        <v>0</v>
      </c>
      <c r="AB1013" s="27">
        <f>(TA[[#This Row],[Work Start time on Fault]]-TA[[#This Row],[Fault Time]])*24</f>
        <v>0</v>
      </c>
      <c r="AC1013" s="26">
        <f>(TA[[#This Row],[Work Completion time on fault]]-TA[[#This Row],[Fault Time]])*24</f>
        <v>0</v>
      </c>
      <c r="AD1013" s="27">
        <f>IFERROR((TA[[#This Row],[Work Completion time on fault]]-TA[[#This Row],[Fault Time]])*24,"")</f>
        <v>0</v>
      </c>
      <c r="AE1013" t="s">
        <v>319</v>
      </c>
      <c r="AF1013" t="s">
        <v>247</v>
      </c>
      <c r="AG1013" s="2"/>
      <c r="AH1013" s="35">
        <f>1-COS(RADIANS(TA[[#This Row],[Avg. Target Angle during Fault Time (Radians)]]-TA[[#This Row],[Angle of affected equipment ]]))</f>
        <v>0.11705240714107301</v>
      </c>
      <c r="AI1013" s="27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43">
        <f t="shared" si="99"/>
        <v>2026</v>
      </c>
      <c r="C1014" s="116">
        <f t="shared" si="100"/>
        <v>2025</v>
      </c>
      <c r="D1014" s="2" t="s">
        <v>155</v>
      </c>
      <c r="E1014" s="2" t="s">
        <v>155</v>
      </c>
      <c r="F1014" s="30">
        <v>45809</v>
      </c>
      <c r="G1014" s="2">
        <f>DAY(EOMONTH(TA[[#This Row],[Month Year]],0))</f>
        <v>30</v>
      </c>
      <c r="H1014" s="21">
        <v>45815</v>
      </c>
      <c r="I1014" s="32">
        <f>IFERROR(VLOOKUP(TA[[#This Row],[Date]],Raw_Data[[Date]:[Sunset Time (POA&lt;20 W/m2)]],3,0),"")</f>
        <v>0.24583333333333332</v>
      </c>
      <c r="J1014" s="32">
        <f>IFERROR(VLOOKUP(TA[[#This Row],[Date]],Raw_Data[[Date]:[Sunset Time (POA&lt;20 W/m2)]],4,0),"")</f>
        <v>0.77569444444444446</v>
      </c>
      <c r="K1014" s="27">
        <f>IFERROR((TA[[#This Row],[Sunset Time (POA&lt;20 W/m2)]]-TA[[#This Row],[Sunrise Time (POA&gt;20 W/m2)]])*24,"")</f>
        <v>12.716666666666667</v>
      </c>
      <c r="L1014" s="2" t="s">
        <v>285</v>
      </c>
      <c r="M1014" s="33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14" t="s">
        <v>306</v>
      </c>
      <c r="Q1014" s="113" t="s">
        <v>310</v>
      </c>
      <c r="R1014">
        <v>166</v>
      </c>
      <c r="S1014" s="2">
        <v>91</v>
      </c>
      <c r="T1014" t="s">
        <v>286</v>
      </c>
      <c r="U1014" t="s">
        <v>291</v>
      </c>
      <c r="V1014" t="s">
        <v>289</v>
      </c>
      <c r="W1014" s="32"/>
      <c r="X1014" s="32"/>
      <c r="Y1014" s="26"/>
      <c r="Z1014" s="26"/>
      <c r="AA1014" s="27">
        <f>IF(TA[[#This Row],[Work Start time on Fault]]="NA","",(TA[[#This Row],[Fault Acknowledgement Time ]]-TA[[#This Row],[Fault Time]])*24)</f>
        <v>0</v>
      </c>
      <c r="AB1014" s="27">
        <f>(TA[[#This Row],[Work Start time on Fault]]-TA[[#This Row],[Fault Time]])*24</f>
        <v>0</v>
      </c>
      <c r="AC1014" s="26">
        <f>(TA[[#This Row],[Work Completion time on fault]]-TA[[#This Row],[Fault Time]])*24</f>
        <v>0</v>
      </c>
      <c r="AD1014" s="27">
        <f>IFERROR((TA[[#This Row],[Work Completion time on fault]]-TA[[#This Row],[Fault Time]])*24,"")</f>
        <v>0</v>
      </c>
      <c r="AE1014" t="s">
        <v>319</v>
      </c>
      <c r="AF1014" t="s">
        <v>247</v>
      </c>
      <c r="AG1014" s="2"/>
      <c r="AH1014" s="35">
        <f>1-COS(RADIANS(TA[[#This Row],[Avg. Target Angle during Fault Time (Radians)]]-TA[[#This Row],[Angle of affected equipment ]]))</f>
        <v>0.11705240714107301</v>
      </c>
      <c r="AI1014" s="27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43">
        <f t="shared" si="99"/>
        <v>2026</v>
      </c>
      <c r="C1015" s="116">
        <f t="shared" si="100"/>
        <v>2025</v>
      </c>
      <c r="D1015" s="2" t="s">
        <v>155</v>
      </c>
      <c r="E1015" s="2" t="s">
        <v>155</v>
      </c>
      <c r="F1015" s="30">
        <v>45809</v>
      </c>
      <c r="G1015" s="2">
        <f>DAY(EOMONTH(TA[[#This Row],[Month Year]],0))</f>
        <v>30</v>
      </c>
      <c r="H1015" s="21">
        <v>45815</v>
      </c>
      <c r="I1015" s="32">
        <f>IFERROR(VLOOKUP(TA[[#This Row],[Date]],Raw_Data[[Date]:[Sunset Time (POA&lt;20 W/m2)]],3,0),"")</f>
        <v>0.24583333333333332</v>
      </c>
      <c r="J1015" s="32">
        <f>IFERROR(VLOOKUP(TA[[#This Row],[Date]],Raw_Data[[Date]:[Sunset Time (POA&lt;20 W/m2)]],4,0),"")</f>
        <v>0.77569444444444446</v>
      </c>
      <c r="K1015" s="27">
        <f>IFERROR((TA[[#This Row],[Sunset Time (POA&lt;20 W/m2)]]-TA[[#This Row],[Sunrise Time (POA&gt;20 W/m2)]])*24,"")</f>
        <v>12.716666666666667</v>
      </c>
      <c r="L1015" s="2" t="s">
        <v>285</v>
      </c>
      <c r="M1015" s="33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14" t="s">
        <v>307</v>
      </c>
      <c r="Q1015" s="113" t="s">
        <v>307</v>
      </c>
      <c r="R1015">
        <v>117</v>
      </c>
      <c r="S1015" s="2">
        <v>20</v>
      </c>
      <c r="T1015" t="s">
        <v>286</v>
      </c>
      <c r="U1015" t="s">
        <v>291</v>
      </c>
      <c r="V1015" t="s">
        <v>289</v>
      </c>
      <c r="W1015" s="32"/>
      <c r="X1015" s="32"/>
      <c r="Y1015" s="26"/>
      <c r="Z1015" s="26"/>
      <c r="AA1015" s="27">
        <f>IF(TA[[#This Row],[Work Start time on Fault]]="NA","",(TA[[#This Row],[Fault Acknowledgement Time ]]-TA[[#This Row],[Fault Time]])*24)</f>
        <v>0</v>
      </c>
      <c r="AB1015" s="27">
        <f>(TA[[#This Row],[Work Start time on Fault]]-TA[[#This Row],[Fault Time]])*24</f>
        <v>0</v>
      </c>
      <c r="AC1015" s="26">
        <f>(TA[[#This Row],[Work Completion time on fault]]-TA[[#This Row],[Fault Time]])*24</f>
        <v>0</v>
      </c>
      <c r="AD1015" s="27">
        <f>IFERROR((TA[[#This Row],[Work Completion time on fault]]-TA[[#This Row],[Fault Time]])*24,"")</f>
        <v>0</v>
      </c>
      <c r="AE1015" t="s">
        <v>319</v>
      </c>
      <c r="AF1015" t="s">
        <v>247</v>
      </c>
      <c r="AG1015" s="2"/>
      <c r="AH1015" s="35">
        <f>1-COS(RADIANS(TA[[#This Row],[Avg. Target Angle during Fault Time (Radians)]]-TA[[#This Row],[Angle of affected equipment ]]))</f>
        <v>0.11705240714107301</v>
      </c>
      <c r="AI1015" s="27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43">
        <f t="shared" si="99"/>
        <v>2026</v>
      </c>
      <c r="C1016" s="116">
        <f t="shared" si="100"/>
        <v>2025</v>
      </c>
      <c r="D1016" s="2" t="s">
        <v>155</v>
      </c>
      <c r="E1016" s="2" t="s">
        <v>155</v>
      </c>
      <c r="F1016" s="30">
        <v>45809</v>
      </c>
      <c r="G1016" s="2">
        <f>DAY(EOMONTH(TA[[#This Row],[Month Year]],0))</f>
        <v>30</v>
      </c>
      <c r="H1016" s="21">
        <v>45815</v>
      </c>
      <c r="I1016" s="32">
        <f>IFERROR(VLOOKUP(TA[[#This Row],[Date]],Raw_Data[[Date]:[Sunset Time (POA&lt;20 W/m2)]],3,0),"")</f>
        <v>0.24583333333333332</v>
      </c>
      <c r="J1016" s="32">
        <f>IFERROR(VLOOKUP(TA[[#This Row],[Date]],Raw_Data[[Date]:[Sunset Time (POA&lt;20 W/m2)]],4,0),"")</f>
        <v>0.77569444444444446</v>
      </c>
      <c r="K1016" s="27">
        <f>IFERROR((TA[[#This Row],[Sunset Time (POA&lt;20 W/m2)]]-TA[[#This Row],[Sunrise Time (POA&gt;20 W/m2)]])*24,"")</f>
        <v>12.716666666666667</v>
      </c>
      <c r="L1016" s="2" t="s">
        <v>285</v>
      </c>
      <c r="M1016" s="33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14" t="s">
        <v>307</v>
      </c>
      <c r="Q1016" s="113" t="s">
        <v>307</v>
      </c>
      <c r="R1016">
        <v>118</v>
      </c>
      <c r="S1016" s="2">
        <v>22</v>
      </c>
      <c r="T1016" t="s">
        <v>286</v>
      </c>
      <c r="U1016" t="s">
        <v>291</v>
      </c>
      <c r="V1016" t="s">
        <v>289</v>
      </c>
      <c r="W1016" s="32"/>
      <c r="X1016" s="32"/>
      <c r="Y1016" s="26"/>
      <c r="Z1016" s="26"/>
      <c r="AA1016" s="27">
        <f>IF(TA[[#This Row],[Work Start time on Fault]]="NA","",(TA[[#This Row],[Fault Acknowledgement Time ]]-TA[[#This Row],[Fault Time]])*24)</f>
        <v>0</v>
      </c>
      <c r="AB1016" s="27">
        <f>(TA[[#This Row],[Work Start time on Fault]]-TA[[#This Row],[Fault Time]])*24</f>
        <v>0</v>
      </c>
      <c r="AC1016" s="26">
        <f>(TA[[#This Row],[Work Completion time on fault]]-TA[[#This Row],[Fault Time]])*24</f>
        <v>0</v>
      </c>
      <c r="AD1016" s="27">
        <f>IFERROR((TA[[#This Row],[Work Completion time on fault]]-TA[[#This Row],[Fault Time]])*24,"")</f>
        <v>0</v>
      </c>
      <c r="AE1016" t="s">
        <v>319</v>
      </c>
      <c r="AF1016" t="s">
        <v>247</v>
      </c>
      <c r="AG1016" s="2"/>
      <c r="AH1016" s="35">
        <f>1-COS(RADIANS(TA[[#This Row],[Avg. Target Angle during Fault Time (Radians)]]-TA[[#This Row],[Angle of affected equipment ]]))</f>
        <v>0.11705240714107301</v>
      </c>
      <c r="AI1016" s="27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43">
        <f t="shared" si="99"/>
        <v>2026</v>
      </c>
      <c r="C1017" s="116">
        <f t="shared" si="100"/>
        <v>2025</v>
      </c>
      <c r="D1017" s="2" t="s">
        <v>155</v>
      </c>
      <c r="E1017" s="2" t="s">
        <v>155</v>
      </c>
      <c r="F1017" s="30">
        <v>45809</v>
      </c>
      <c r="G1017" s="2">
        <f>DAY(EOMONTH(TA[[#This Row],[Month Year]],0))</f>
        <v>30</v>
      </c>
      <c r="H1017" s="21">
        <v>45815</v>
      </c>
      <c r="I1017" s="32">
        <f>IFERROR(VLOOKUP(TA[[#This Row],[Date]],Raw_Data[[Date]:[Sunset Time (POA&lt;20 W/m2)]],3,0),"")</f>
        <v>0.24583333333333332</v>
      </c>
      <c r="J1017" s="32">
        <f>IFERROR(VLOOKUP(TA[[#This Row],[Date]],Raw_Data[[Date]:[Sunset Time (POA&lt;20 W/m2)]],4,0),"")</f>
        <v>0.77569444444444446</v>
      </c>
      <c r="K1017" s="27">
        <f>IFERROR((TA[[#This Row],[Sunset Time (POA&lt;20 W/m2)]]-TA[[#This Row],[Sunrise Time (POA&gt;20 W/m2)]])*24,"")</f>
        <v>12.716666666666667</v>
      </c>
      <c r="L1017" s="2" t="s">
        <v>287</v>
      </c>
      <c r="M1017" s="33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314</v>
      </c>
      <c r="Q1017" s="2" t="s">
        <v>320</v>
      </c>
      <c r="R1017">
        <v>45</v>
      </c>
      <c r="S1017" s="2">
        <v>8</v>
      </c>
      <c r="T1017" t="s">
        <v>288</v>
      </c>
      <c r="U1017" t="s">
        <v>291</v>
      </c>
      <c r="V1017" t="s">
        <v>292</v>
      </c>
      <c r="W1017" s="32"/>
      <c r="X1017" s="32"/>
      <c r="Y1017" s="26"/>
      <c r="Z1017" s="26"/>
      <c r="AA1017" s="27">
        <f>IF(TA[[#This Row],[Work Start time on Fault]]="NA","",(TA[[#This Row],[Fault Acknowledgement Time ]]-TA[[#This Row],[Fault Time]])*24)</f>
        <v>0</v>
      </c>
      <c r="AB1017" s="27">
        <f>(TA[[#This Row],[Work Start time on Fault]]-TA[[#This Row],[Fault Time]])*24</f>
        <v>0</v>
      </c>
      <c r="AC1017" s="26">
        <f>(TA[[#This Row],[Work Completion time on fault]]-TA[[#This Row],[Fault Time]])*24</f>
        <v>0</v>
      </c>
      <c r="AD1017" s="27">
        <f>IFERROR((TA[[#This Row],[Work Completion time on fault]]-TA[[#This Row],[Fault Time]])*24,"")</f>
        <v>0</v>
      </c>
      <c r="AE1017" t="s">
        <v>319</v>
      </c>
      <c r="AF1017" t="s">
        <v>247</v>
      </c>
      <c r="AG1017" s="2"/>
      <c r="AH1017" s="35">
        <f>1-COS(RADIANS(TA[[#This Row],[Avg. Target Angle during Fault Time (Radians)]]-TA[[#This Row],[Angle of affected equipment ]]))</f>
        <v>0.11705240714107301</v>
      </c>
      <c r="AI1017" s="27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43">
        <f t="shared" si="99"/>
        <v>2026</v>
      </c>
      <c r="C1018" s="116">
        <f t="shared" si="100"/>
        <v>2025</v>
      </c>
      <c r="D1018" s="2" t="s">
        <v>155</v>
      </c>
      <c r="E1018" s="2" t="s">
        <v>155</v>
      </c>
      <c r="F1018" s="30">
        <v>45809</v>
      </c>
      <c r="G1018" s="2">
        <f>DAY(EOMONTH(TA[[#This Row],[Month Year]],0))</f>
        <v>30</v>
      </c>
      <c r="H1018" s="21">
        <v>45815</v>
      </c>
      <c r="I1018" s="32">
        <f>IFERROR(VLOOKUP(TA[[#This Row],[Date]],Raw_Data[[Date]:[Sunset Time (POA&lt;20 W/m2)]],3,0),"")</f>
        <v>0.24583333333333332</v>
      </c>
      <c r="J1018" s="32">
        <f>IFERROR(VLOOKUP(TA[[#This Row],[Date]],Raw_Data[[Date]:[Sunset Time (POA&lt;20 W/m2)]],4,0),"")</f>
        <v>0.77569444444444446</v>
      </c>
      <c r="K1018" s="27">
        <f>IFERROR((TA[[#This Row],[Sunset Time (POA&lt;20 W/m2)]]-TA[[#This Row],[Sunrise Time (POA&gt;20 W/m2)]])*24,"")</f>
        <v>12.716666666666667</v>
      </c>
      <c r="L1018" s="2" t="s">
        <v>287</v>
      </c>
      <c r="M1018" s="33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314</v>
      </c>
      <c r="Q1018" s="2" t="s">
        <v>320</v>
      </c>
      <c r="R1018">
        <v>47</v>
      </c>
      <c r="S1018" s="2">
        <v>18</v>
      </c>
      <c r="T1018" t="s">
        <v>288</v>
      </c>
      <c r="U1018" t="s">
        <v>291</v>
      </c>
      <c r="V1018" t="s">
        <v>292</v>
      </c>
      <c r="W1018" s="32"/>
      <c r="X1018" s="32"/>
      <c r="Y1018" s="26"/>
      <c r="Z1018" s="26"/>
      <c r="AA1018" s="27">
        <f>IF(TA[[#This Row],[Work Start time on Fault]]="NA","",(TA[[#This Row],[Fault Acknowledgement Time ]]-TA[[#This Row],[Fault Time]])*24)</f>
        <v>0</v>
      </c>
      <c r="AB1018" s="27">
        <f>(TA[[#This Row],[Work Start time on Fault]]-TA[[#This Row],[Fault Time]])*24</f>
        <v>0</v>
      </c>
      <c r="AC1018" s="26">
        <f>(TA[[#This Row],[Work Completion time on fault]]-TA[[#This Row],[Fault Time]])*24</f>
        <v>0</v>
      </c>
      <c r="AD1018" s="27">
        <f>IFERROR((TA[[#This Row],[Work Completion time on fault]]-TA[[#This Row],[Fault Time]])*24,"")</f>
        <v>0</v>
      </c>
      <c r="AE1018" t="s">
        <v>319</v>
      </c>
      <c r="AF1018" t="s">
        <v>247</v>
      </c>
      <c r="AG1018" s="2"/>
      <c r="AH1018" s="35">
        <f>1-COS(RADIANS(TA[[#This Row],[Avg. Target Angle during Fault Time (Radians)]]-TA[[#This Row],[Angle of affected equipment ]]))</f>
        <v>0.11705240714107301</v>
      </c>
      <c r="AI1018" s="27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43">
        <f t="shared" si="99"/>
        <v>2026</v>
      </c>
      <c r="C1019" s="116">
        <f t="shared" si="100"/>
        <v>2025</v>
      </c>
      <c r="D1019" s="2" t="s">
        <v>155</v>
      </c>
      <c r="E1019" s="2" t="s">
        <v>155</v>
      </c>
      <c r="F1019" s="30">
        <v>45809</v>
      </c>
      <c r="G1019" s="2">
        <f>DAY(EOMONTH(TA[[#This Row],[Month Year]],0))</f>
        <v>30</v>
      </c>
      <c r="H1019" s="21">
        <v>45815</v>
      </c>
      <c r="I1019" s="32">
        <f>IFERROR(VLOOKUP(TA[[#This Row],[Date]],Raw_Data[[Date]:[Sunset Time (POA&lt;20 W/m2)]],3,0),"")</f>
        <v>0.24583333333333332</v>
      </c>
      <c r="J1019" s="32">
        <f>IFERROR(VLOOKUP(TA[[#This Row],[Date]],Raw_Data[[Date]:[Sunset Time (POA&lt;20 W/m2)]],4,0),"")</f>
        <v>0.77569444444444446</v>
      </c>
      <c r="K1019" s="27">
        <f>IFERROR((TA[[#This Row],[Sunset Time (POA&lt;20 W/m2)]]-TA[[#This Row],[Sunrise Time (POA&gt;20 W/m2)]])*24,"")</f>
        <v>12.716666666666667</v>
      </c>
      <c r="L1019" s="2" t="s">
        <v>287</v>
      </c>
      <c r="M1019" s="33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321</v>
      </c>
      <c r="Q1019" s="2" t="s">
        <v>314</v>
      </c>
      <c r="R1019">
        <v>30</v>
      </c>
      <c r="S1019" s="2">
        <v>57</v>
      </c>
      <c r="T1019" t="s">
        <v>288</v>
      </c>
      <c r="U1019" t="s">
        <v>291</v>
      </c>
      <c r="V1019" t="s">
        <v>292</v>
      </c>
      <c r="W1019" s="32"/>
      <c r="X1019" s="32"/>
      <c r="Y1019" s="26"/>
      <c r="Z1019" s="26"/>
      <c r="AA1019" s="27">
        <f>IF(TA[[#This Row],[Work Start time on Fault]]="NA","",(TA[[#This Row],[Fault Acknowledgement Time ]]-TA[[#This Row],[Fault Time]])*24)</f>
        <v>0</v>
      </c>
      <c r="AB1019" s="27">
        <f>(TA[[#This Row],[Work Start time on Fault]]-TA[[#This Row],[Fault Time]])*24</f>
        <v>0</v>
      </c>
      <c r="AC1019" s="26">
        <f>(TA[[#This Row],[Work Completion time on fault]]-TA[[#This Row],[Fault Time]])*24</f>
        <v>0</v>
      </c>
      <c r="AD1019" s="27">
        <f>IFERROR((TA[[#This Row],[Work Completion time on fault]]-TA[[#This Row],[Fault Time]])*24,"")</f>
        <v>0</v>
      </c>
      <c r="AE1019" t="s">
        <v>319</v>
      </c>
      <c r="AF1019" t="s">
        <v>247</v>
      </c>
      <c r="AG1019" s="2"/>
      <c r="AH1019" s="35">
        <f>1-COS(RADIANS(TA[[#This Row],[Avg. Target Angle during Fault Time (Radians)]]-TA[[#This Row],[Angle of affected equipment ]]))</f>
        <v>0.11705240714107301</v>
      </c>
      <c r="AI1019" s="27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43">
        <f t="shared" si="99"/>
        <v>2026</v>
      </c>
      <c r="C1020" s="116">
        <f t="shared" si="100"/>
        <v>2025</v>
      </c>
      <c r="D1020" s="2" t="s">
        <v>155</v>
      </c>
      <c r="E1020" s="2" t="s">
        <v>155</v>
      </c>
      <c r="F1020" s="30">
        <v>45809</v>
      </c>
      <c r="G1020" s="2">
        <f>DAY(EOMONTH(TA[[#This Row],[Month Year]],0))</f>
        <v>30</v>
      </c>
      <c r="H1020" s="21">
        <v>45815</v>
      </c>
      <c r="I1020" s="32">
        <f>IFERROR(VLOOKUP(TA[[#This Row],[Date]],Raw_Data[[Date]:[Sunset Time (POA&lt;20 W/m2)]],3,0),"")</f>
        <v>0.24583333333333332</v>
      </c>
      <c r="J1020" s="32">
        <f>IFERROR(VLOOKUP(TA[[#This Row],[Date]],Raw_Data[[Date]:[Sunset Time (POA&lt;20 W/m2)]],4,0),"")</f>
        <v>0.77569444444444446</v>
      </c>
      <c r="K1020" s="27">
        <f>IFERROR((TA[[#This Row],[Sunset Time (POA&lt;20 W/m2)]]-TA[[#This Row],[Sunrise Time (POA&gt;20 W/m2)]])*24,"")</f>
        <v>12.716666666666667</v>
      </c>
      <c r="L1020" s="2" t="s">
        <v>287</v>
      </c>
      <c r="M1020" s="33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321</v>
      </c>
      <c r="Q1020" s="2" t="s">
        <v>314</v>
      </c>
      <c r="R1020">
        <v>31</v>
      </c>
      <c r="S1020" s="2">
        <v>61</v>
      </c>
      <c r="T1020" t="s">
        <v>288</v>
      </c>
      <c r="U1020" t="s">
        <v>291</v>
      </c>
      <c r="V1020" t="s">
        <v>292</v>
      </c>
      <c r="W1020" s="32"/>
      <c r="X1020" s="32"/>
      <c r="Y1020" s="26"/>
      <c r="Z1020" s="26"/>
      <c r="AA1020" s="27">
        <f>IF(TA[[#This Row],[Work Start time on Fault]]="NA","",(TA[[#This Row],[Fault Acknowledgement Time ]]-TA[[#This Row],[Fault Time]])*24)</f>
        <v>0</v>
      </c>
      <c r="AB1020" s="27">
        <f>(TA[[#This Row],[Work Start time on Fault]]-TA[[#This Row],[Fault Time]])*24</f>
        <v>0</v>
      </c>
      <c r="AC1020" s="26">
        <f>(TA[[#This Row],[Work Completion time on fault]]-TA[[#This Row],[Fault Time]])*24</f>
        <v>0</v>
      </c>
      <c r="AD1020" s="27">
        <f>IFERROR((TA[[#This Row],[Work Completion time on fault]]-TA[[#This Row],[Fault Time]])*24,"")</f>
        <v>0</v>
      </c>
      <c r="AE1020" t="s">
        <v>319</v>
      </c>
      <c r="AF1020" t="s">
        <v>247</v>
      </c>
      <c r="AG1020" s="2"/>
      <c r="AH1020" s="35">
        <f>1-COS(RADIANS(TA[[#This Row],[Avg. Target Angle during Fault Time (Radians)]]-TA[[#This Row],[Angle of affected equipment ]]))</f>
        <v>0.11705240714107301</v>
      </c>
      <c r="AI1020" s="27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43">
        <f t="shared" si="99"/>
        <v>2026</v>
      </c>
      <c r="C1021" s="116">
        <f t="shared" si="100"/>
        <v>2025</v>
      </c>
      <c r="D1021" s="2" t="s">
        <v>155</v>
      </c>
      <c r="E1021" s="2" t="s">
        <v>155</v>
      </c>
      <c r="F1021" s="30">
        <v>45809</v>
      </c>
      <c r="G1021" s="2">
        <f>DAY(EOMONTH(TA[[#This Row],[Month Year]],0))</f>
        <v>30</v>
      </c>
      <c r="H1021" s="21">
        <v>45815</v>
      </c>
      <c r="I1021" s="32">
        <f>IFERROR(VLOOKUP(TA[[#This Row],[Date]],Raw_Data[[Date]:[Sunset Time (POA&lt;20 W/m2)]],3,0),"")</f>
        <v>0.24583333333333332</v>
      </c>
      <c r="J1021" s="32">
        <f>IFERROR(VLOOKUP(TA[[#This Row],[Date]],Raw_Data[[Date]:[Sunset Time (POA&lt;20 W/m2)]],4,0),"")</f>
        <v>0.77569444444444446</v>
      </c>
      <c r="K1021" s="27">
        <f>IFERROR((TA[[#This Row],[Sunset Time (POA&lt;20 W/m2)]]-TA[[#This Row],[Sunrise Time (POA&gt;20 W/m2)]])*24,"")</f>
        <v>12.716666666666667</v>
      </c>
      <c r="L1021" s="2" t="s">
        <v>303</v>
      </c>
      <c r="M1021" s="33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321</v>
      </c>
      <c r="Q1021" s="2" t="s">
        <v>314</v>
      </c>
      <c r="R1021">
        <v>26</v>
      </c>
      <c r="S1021" s="2">
        <v>37</v>
      </c>
      <c r="T1021" t="s">
        <v>288</v>
      </c>
      <c r="U1021" t="s">
        <v>291</v>
      </c>
      <c r="V1021" t="s">
        <v>292</v>
      </c>
      <c r="W1021" s="32"/>
      <c r="X1021" s="32"/>
      <c r="Y1021" s="26"/>
      <c r="Z1021" s="26"/>
      <c r="AA1021" s="27">
        <f>IF(TA[[#This Row],[Work Start time on Fault]]="NA","",(TA[[#This Row],[Fault Acknowledgement Time ]]-TA[[#This Row],[Fault Time]])*24)</f>
        <v>0</v>
      </c>
      <c r="AB1021" s="27">
        <f>(TA[[#This Row],[Work Start time on Fault]]-TA[[#This Row],[Fault Time]])*24</f>
        <v>0</v>
      </c>
      <c r="AC1021" s="26">
        <f>(TA[[#This Row],[Work Completion time on fault]]-TA[[#This Row],[Fault Time]])*24</f>
        <v>0</v>
      </c>
      <c r="AD1021" s="27">
        <f>IFERROR((TA[[#This Row],[Work Completion time on fault]]-TA[[#This Row],[Fault Time]])*24,"")</f>
        <v>0</v>
      </c>
      <c r="AE1021" t="s">
        <v>319</v>
      </c>
      <c r="AF1021" t="s">
        <v>247</v>
      </c>
      <c r="AG1021" s="2"/>
      <c r="AH1021" s="35">
        <f>1-COS(RADIANS(TA[[#This Row],[Avg. Target Angle during Fault Time (Radians)]]-TA[[#This Row],[Angle of affected equipment ]]))</f>
        <v>0.11705240714107301</v>
      </c>
      <c r="AI1021" s="27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43">
        <f t="shared" si="99"/>
        <v>2026</v>
      </c>
      <c r="C1022" s="116">
        <f t="shared" si="100"/>
        <v>2025</v>
      </c>
      <c r="D1022" s="2" t="s">
        <v>155</v>
      </c>
      <c r="E1022" s="2" t="s">
        <v>155</v>
      </c>
      <c r="F1022" s="30">
        <v>45809</v>
      </c>
      <c r="G1022" s="2">
        <f>DAY(EOMONTH(TA[[#This Row],[Month Year]],0))</f>
        <v>30</v>
      </c>
      <c r="H1022" s="21">
        <v>45815</v>
      </c>
      <c r="I1022" s="32">
        <f>IFERROR(VLOOKUP(TA[[#This Row],[Date]],Raw_Data[[Date]:[Sunset Time (POA&lt;20 W/m2)]],3,0),"")</f>
        <v>0.24583333333333332</v>
      </c>
      <c r="J1022" s="32">
        <f>IFERROR(VLOOKUP(TA[[#This Row],[Date]],Raw_Data[[Date]:[Sunset Time (POA&lt;20 W/m2)]],4,0),"")</f>
        <v>0.77569444444444446</v>
      </c>
      <c r="K1022" s="27">
        <f>IFERROR((TA[[#This Row],[Sunset Time (POA&lt;20 W/m2)]]-TA[[#This Row],[Sunrise Time (POA&gt;20 W/m2)]])*24,"")</f>
        <v>12.716666666666667</v>
      </c>
      <c r="L1022" s="2" t="s">
        <v>303</v>
      </c>
      <c r="M1022" s="33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321</v>
      </c>
      <c r="Q1022" s="2" t="s">
        <v>314</v>
      </c>
      <c r="R1022">
        <v>27</v>
      </c>
      <c r="S1022" s="2">
        <v>42</v>
      </c>
      <c r="T1022" t="s">
        <v>288</v>
      </c>
      <c r="U1022" t="s">
        <v>291</v>
      </c>
      <c r="V1022" t="s">
        <v>292</v>
      </c>
      <c r="W1022" s="32">
        <f>IFERROR(VLOOKUP(TA[[#This Row],[Date]],Raw_Data[[Date]:[Sunset Time (POA&lt;20 W/m2)]],3,0),"")</f>
        <v>0.24583333333333332</v>
      </c>
      <c r="X1022" s="32">
        <f>IFERROR(VLOOKUP(TA[[#This Row],[Date]],Raw_Data[[Date]:[Sunset Time (POA&lt;20 W/m2)]],3,0),"")</f>
        <v>0.24583333333333332</v>
      </c>
      <c r="Y1022" s="26"/>
      <c r="Z1022" s="26">
        <v>0.76041666666666663</v>
      </c>
      <c r="AA1022" s="27">
        <f>IF(TA[[#This Row],[Work Start time on Fault]]="NA","",(TA[[#This Row],[Fault Acknowledgement Time ]]-TA[[#This Row],[Fault Time]])*24)</f>
        <v>0</v>
      </c>
      <c r="AB1022" s="27">
        <f>(TA[[#This Row],[Work Start time on Fault]]-TA[[#This Row],[Fault Time]])*24</f>
        <v>-5.8999999999999995</v>
      </c>
      <c r="AC1022" s="26">
        <f>(TA[[#This Row],[Work Completion time on fault]]-TA[[#This Row],[Fault Time]])*24</f>
        <v>12.349999999999998</v>
      </c>
      <c r="AD1022" s="27">
        <f>IFERROR((TA[[#This Row],[Work Completion time on fault]]-TA[[#This Row],[Fault Time]])*24,"")</f>
        <v>12.349999999999998</v>
      </c>
      <c r="AE1022" t="s">
        <v>300</v>
      </c>
      <c r="AF1022" t="s">
        <v>247</v>
      </c>
      <c r="AG1022" s="2"/>
      <c r="AH1022" s="35">
        <f>1-COS(RADIANS(TA[[#This Row],[Avg. Target Angle during Fault Time (Radians)]]-TA[[#This Row],[Angle of affected equipment ]]))</f>
        <v>0.11705240714107301</v>
      </c>
      <c r="AI1022" s="27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43">
        <f t="shared" ref="B1023:B1035" si="101">YEAR(H1023)+IF(MONTH(H1023)&gt;=4,1,0)</f>
        <v>2026</v>
      </c>
      <c r="C1023" s="116">
        <f t="shared" ref="C1023:C1035" si="102">YEAR(H1023)</f>
        <v>2025</v>
      </c>
      <c r="D1023" s="2" t="s">
        <v>155</v>
      </c>
      <c r="E1023" s="2" t="s">
        <v>155</v>
      </c>
      <c r="F1023" s="30">
        <v>45809</v>
      </c>
      <c r="G1023" s="2">
        <f>DAY(EOMONTH(TA[[#This Row],[Month Year]],0))</f>
        <v>30</v>
      </c>
      <c r="H1023" s="21">
        <v>45816</v>
      </c>
      <c r="I1023" s="32">
        <f>IFERROR(VLOOKUP(TA[[#This Row],[Date]],Raw_Data[[Date]:[Sunset Time (POA&lt;20 W/m2)]],3,0),"")</f>
        <v>0.24722222222222223</v>
      </c>
      <c r="J1023" s="32">
        <f>IFERROR(VLOOKUP(TA[[#This Row],[Date]],Raw_Data[[Date]:[Sunset Time (POA&lt;20 W/m2)]],4,0),"")</f>
        <v>0.77430555555555558</v>
      </c>
      <c r="K1023" s="27">
        <f>IFERROR((TA[[#This Row],[Sunset Time (POA&lt;20 W/m2)]]-TA[[#This Row],[Sunrise Time (POA&gt;20 W/m2)]])*24,"")</f>
        <v>12.65</v>
      </c>
      <c r="L1023" s="2" t="s">
        <v>285</v>
      </c>
      <c r="M1023" s="33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14" t="s">
        <v>309</v>
      </c>
      <c r="Q1023" s="113" t="s">
        <v>309</v>
      </c>
      <c r="R1023">
        <v>131</v>
      </c>
      <c r="S1023" s="2">
        <v>38</v>
      </c>
      <c r="T1023" t="s">
        <v>286</v>
      </c>
      <c r="U1023" t="s">
        <v>291</v>
      </c>
      <c r="V1023" t="s">
        <v>289</v>
      </c>
      <c r="W1023" s="32"/>
      <c r="X1023" s="32"/>
      <c r="Y1023" s="26"/>
      <c r="Z1023" s="26"/>
      <c r="AA1023" s="27">
        <f>IF(TA[[#This Row],[Work Start time on Fault]]="NA","",(TA[[#This Row],[Fault Acknowledgement Time ]]-TA[[#This Row],[Fault Time]])*24)</f>
        <v>0</v>
      </c>
      <c r="AB1023" s="27">
        <f>(TA[[#This Row],[Work Start time on Fault]]-TA[[#This Row],[Fault Time]])*24</f>
        <v>0</v>
      </c>
      <c r="AC1023" s="26">
        <f>(TA[[#This Row],[Work Completion time on fault]]-TA[[#This Row],[Fault Time]])*24</f>
        <v>0</v>
      </c>
      <c r="AD1023" s="27">
        <f>IFERROR((TA[[#This Row],[Work Completion time on fault]]-TA[[#This Row],[Fault Time]])*24,"")</f>
        <v>0</v>
      </c>
      <c r="AE1023" t="s">
        <v>319</v>
      </c>
      <c r="AF1023" t="s">
        <v>247</v>
      </c>
      <c r="AG1023" s="2"/>
      <c r="AH1023" s="35">
        <f>1-COS(RADIANS(TA[[#This Row],[Avg. Target Angle during Fault Time (Radians)]]-TA[[#This Row],[Angle of affected equipment ]]))</f>
        <v>0.11705240714107301</v>
      </c>
      <c r="AI1023" s="27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43">
        <f t="shared" si="101"/>
        <v>2026</v>
      </c>
      <c r="C1024" s="116">
        <f t="shared" si="102"/>
        <v>2025</v>
      </c>
      <c r="D1024" s="2" t="s">
        <v>155</v>
      </c>
      <c r="E1024" s="2" t="s">
        <v>155</v>
      </c>
      <c r="F1024" s="30">
        <v>45809</v>
      </c>
      <c r="G1024" s="2">
        <f>DAY(EOMONTH(TA[[#This Row],[Month Year]],0))</f>
        <v>30</v>
      </c>
      <c r="H1024" s="21">
        <v>45816</v>
      </c>
      <c r="I1024" s="32">
        <f>IFERROR(VLOOKUP(TA[[#This Row],[Date]],Raw_Data[[Date]:[Sunset Time (POA&lt;20 W/m2)]],3,0),"")</f>
        <v>0.24722222222222223</v>
      </c>
      <c r="J1024" s="32">
        <f>IFERROR(VLOOKUP(TA[[#This Row],[Date]],Raw_Data[[Date]:[Sunset Time (POA&lt;20 W/m2)]],4,0),"")</f>
        <v>0.77430555555555558</v>
      </c>
      <c r="K1024" s="27">
        <f>IFERROR((TA[[#This Row],[Sunset Time (POA&lt;20 W/m2)]]-TA[[#This Row],[Sunrise Time (POA&gt;20 W/m2)]])*24,"")</f>
        <v>12.65</v>
      </c>
      <c r="L1024" s="2" t="s">
        <v>285</v>
      </c>
      <c r="M1024" s="33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14" t="s">
        <v>309</v>
      </c>
      <c r="Q1024" s="113" t="s">
        <v>309</v>
      </c>
      <c r="R1024">
        <v>131</v>
      </c>
      <c r="S1024" s="2">
        <v>39</v>
      </c>
      <c r="T1024" t="s">
        <v>286</v>
      </c>
      <c r="U1024" t="s">
        <v>291</v>
      </c>
      <c r="V1024" t="s">
        <v>289</v>
      </c>
      <c r="W1024" s="32"/>
      <c r="X1024" s="32"/>
      <c r="Y1024" s="26"/>
      <c r="Z1024" s="26"/>
      <c r="AA1024" s="27">
        <f>IF(TA[[#This Row],[Work Start time on Fault]]="NA","",(TA[[#This Row],[Fault Acknowledgement Time ]]-TA[[#This Row],[Fault Time]])*24)</f>
        <v>0</v>
      </c>
      <c r="AB1024" s="27">
        <f>(TA[[#This Row],[Work Start time on Fault]]-TA[[#This Row],[Fault Time]])*24</f>
        <v>0</v>
      </c>
      <c r="AC1024" s="26">
        <f>(TA[[#This Row],[Work Completion time on fault]]-TA[[#This Row],[Fault Time]])*24</f>
        <v>0</v>
      </c>
      <c r="AD1024" s="27">
        <f>IFERROR((TA[[#This Row],[Work Completion time on fault]]-TA[[#This Row],[Fault Time]])*24,"")</f>
        <v>0</v>
      </c>
      <c r="AE1024" t="s">
        <v>319</v>
      </c>
      <c r="AF1024" t="s">
        <v>247</v>
      </c>
      <c r="AG1024" s="2"/>
      <c r="AH1024" s="35">
        <f>1-COS(RADIANS(TA[[#This Row],[Avg. Target Angle during Fault Time (Radians)]]-TA[[#This Row],[Angle of affected equipment ]]))</f>
        <v>0.11705240714107301</v>
      </c>
      <c r="AI1024" s="27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43">
        <f t="shared" si="101"/>
        <v>2026</v>
      </c>
      <c r="C1025" s="116">
        <f t="shared" si="102"/>
        <v>2025</v>
      </c>
      <c r="D1025" s="2" t="s">
        <v>155</v>
      </c>
      <c r="E1025" s="2" t="s">
        <v>155</v>
      </c>
      <c r="F1025" s="30">
        <v>45809</v>
      </c>
      <c r="G1025" s="2">
        <f>DAY(EOMONTH(TA[[#This Row],[Month Year]],0))</f>
        <v>30</v>
      </c>
      <c r="H1025" s="21">
        <v>45816</v>
      </c>
      <c r="I1025" s="32">
        <f>IFERROR(VLOOKUP(TA[[#This Row],[Date]],Raw_Data[[Date]:[Sunset Time (POA&lt;20 W/m2)]],3,0),"")</f>
        <v>0.24722222222222223</v>
      </c>
      <c r="J1025" s="32">
        <f>IFERROR(VLOOKUP(TA[[#This Row],[Date]],Raw_Data[[Date]:[Sunset Time (POA&lt;20 W/m2)]],4,0),"")</f>
        <v>0.77430555555555558</v>
      </c>
      <c r="K1025" s="27">
        <f>IFERROR((TA[[#This Row],[Sunset Time (POA&lt;20 W/m2)]]-TA[[#This Row],[Sunrise Time (POA&gt;20 W/m2)]])*24,"")</f>
        <v>12.65</v>
      </c>
      <c r="L1025" s="2" t="s">
        <v>287</v>
      </c>
      <c r="M1025" s="33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14" t="s">
        <v>309</v>
      </c>
      <c r="Q1025" s="2" t="s">
        <v>312</v>
      </c>
      <c r="R1025">
        <v>133</v>
      </c>
      <c r="S1025" s="2">
        <v>26</v>
      </c>
      <c r="T1025" t="s">
        <v>288</v>
      </c>
      <c r="U1025" t="s">
        <v>291</v>
      </c>
      <c r="V1025" t="s">
        <v>305</v>
      </c>
      <c r="W1025" s="32">
        <f>IFERROR(VLOOKUP(TA[[#This Row],[Date]],Raw_Data[[Date]:[Sunset Time (POA&lt;20 W/m2)]],3,0),"")</f>
        <v>0.24722222222222223</v>
      </c>
      <c r="X1025" s="32">
        <f>IFERROR(VLOOKUP(TA[[#This Row],[Date]],Raw_Data[[Date]:[Sunset Time (POA&lt;20 W/m2)]],3,0),"")</f>
        <v>0.24722222222222223</v>
      </c>
      <c r="Y1025" s="26"/>
      <c r="Z1025" s="26">
        <v>0.76041666666666663</v>
      </c>
      <c r="AA1025" s="27">
        <f>IF(TA[[#This Row],[Work Start time on Fault]]="NA","",(TA[[#This Row],[Fault Acknowledgement Time ]]-TA[[#This Row],[Fault Time]])*24)</f>
        <v>0</v>
      </c>
      <c r="AB1025" s="27">
        <f>(TA[[#This Row],[Work Start time on Fault]]-TA[[#This Row],[Fault Time]])*24</f>
        <v>-5.9333333333333336</v>
      </c>
      <c r="AC1025" s="26">
        <f>(TA[[#This Row],[Work Completion time on fault]]-TA[[#This Row],[Fault Time]])*24</f>
        <v>12.316666666666666</v>
      </c>
      <c r="AD1025" s="27">
        <f>IFERROR((TA[[#This Row],[Work Completion time on fault]]-TA[[#This Row],[Fault Time]])*24,"")</f>
        <v>12.316666666666666</v>
      </c>
      <c r="AE1025" t="s">
        <v>319</v>
      </c>
      <c r="AF1025" t="s">
        <v>247</v>
      </c>
      <c r="AG1025" s="2"/>
      <c r="AH1025" s="35">
        <f>1-COS(RADIANS(TA[[#This Row],[Avg. Target Angle during Fault Time (Radians)]]-TA[[#This Row],[Angle of affected equipment ]]))</f>
        <v>0.11705240714107301</v>
      </c>
      <c r="AI1025" s="27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43">
        <f t="shared" si="101"/>
        <v>2026</v>
      </c>
      <c r="C1026" s="116">
        <f t="shared" si="102"/>
        <v>2025</v>
      </c>
      <c r="D1026" s="2" t="s">
        <v>155</v>
      </c>
      <c r="E1026" s="2" t="s">
        <v>155</v>
      </c>
      <c r="F1026" s="30">
        <v>45809</v>
      </c>
      <c r="G1026" s="2">
        <f>DAY(EOMONTH(TA[[#This Row],[Month Year]],0))</f>
        <v>30</v>
      </c>
      <c r="H1026" s="21">
        <v>45816</v>
      </c>
      <c r="I1026" s="32">
        <f>IFERROR(VLOOKUP(TA[[#This Row],[Date]],Raw_Data[[Date]:[Sunset Time (POA&lt;20 W/m2)]],3,0),"")</f>
        <v>0.24722222222222223</v>
      </c>
      <c r="J1026" s="32">
        <f>IFERROR(VLOOKUP(TA[[#This Row],[Date]],Raw_Data[[Date]:[Sunset Time (POA&lt;20 W/m2)]],4,0),"")</f>
        <v>0.77430555555555558</v>
      </c>
      <c r="K1026" s="27">
        <f>IFERROR((TA[[#This Row],[Sunset Time (POA&lt;20 W/m2)]]-TA[[#This Row],[Sunrise Time (POA&gt;20 W/m2)]])*24,"")</f>
        <v>12.65</v>
      </c>
      <c r="L1026" s="2" t="s">
        <v>285</v>
      </c>
      <c r="M1026" s="33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14" t="s">
        <v>307</v>
      </c>
      <c r="Q1026" s="113" t="s">
        <v>308</v>
      </c>
      <c r="R1026">
        <v>7</v>
      </c>
      <c r="S1026" s="2">
        <v>32</v>
      </c>
      <c r="T1026" t="s">
        <v>286</v>
      </c>
      <c r="U1026" t="s">
        <v>291</v>
      </c>
      <c r="V1026" t="s">
        <v>289</v>
      </c>
      <c r="W1026" s="32"/>
      <c r="X1026" s="32"/>
      <c r="Y1026" s="26"/>
      <c r="Z1026" s="26"/>
      <c r="AA1026" s="27">
        <f>IF(TA[[#This Row],[Work Start time on Fault]]="NA","",(TA[[#This Row],[Fault Acknowledgement Time ]]-TA[[#This Row],[Fault Time]])*24)</f>
        <v>0</v>
      </c>
      <c r="AB1026" s="27">
        <f>(TA[[#This Row],[Work Start time on Fault]]-TA[[#This Row],[Fault Time]])*24</f>
        <v>0</v>
      </c>
      <c r="AC1026" s="26">
        <f>(TA[[#This Row],[Work Completion time on fault]]-TA[[#This Row],[Fault Time]])*24</f>
        <v>0</v>
      </c>
      <c r="AD1026" s="27">
        <f>IFERROR((TA[[#This Row],[Work Completion time on fault]]-TA[[#This Row],[Fault Time]])*24,"")</f>
        <v>0</v>
      </c>
      <c r="AE1026" t="s">
        <v>319</v>
      </c>
      <c r="AF1026" t="s">
        <v>247</v>
      </c>
      <c r="AG1026" s="2"/>
      <c r="AH1026" s="35">
        <f>1-COS(RADIANS(TA[[#This Row],[Avg. Target Angle during Fault Time (Radians)]]-TA[[#This Row],[Angle of affected equipment ]]))</f>
        <v>0.11705240714107301</v>
      </c>
      <c r="AI1026" s="27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43">
        <f t="shared" si="101"/>
        <v>2026</v>
      </c>
      <c r="C1027" s="116">
        <f t="shared" si="102"/>
        <v>2025</v>
      </c>
      <c r="D1027" s="2" t="s">
        <v>155</v>
      </c>
      <c r="E1027" s="2" t="s">
        <v>155</v>
      </c>
      <c r="F1027" s="30">
        <v>45809</v>
      </c>
      <c r="G1027" s="2">
        <f>DAY(EOMONTH(TA[[#This Row],[Month Year]],0))</f>
        <v>30</v>
      </c>
      <c r="H1027" s="21">
        <v>45816</v>
      </c>
      <c r="I1027" s="32">
        <f>IFERROR(VLOOKUP(TA[[#This Row],[Date]],Raw_Data[[Date]:[Sunset Time (POA&lt;20 W/m2)]],3,0),"")</f>
        <v>0.24722222222222223</v>
      </c>
      <c r="J1027" s="32">
        <f>IFERROR(VLOOKUP(TA[[#This Row],[Date]],Raw_Data[[Date]:[Sunset Time (POA&lt;20 W/m2)]],4,0),"")</f>
        <v>0.77430555555555558</v>
      </c>
      <c r="K1027" s="27">
        <f>IFERROR((TA[[#This Row],[Sunset Time (POA&lt;20 W/m2)]]-TA[[#This Row],[Sunrise Time (POA&gt;20 W/m2)]])*24,"")</f>
        <v>12.65</v>
      </c>
      <c r="L1027" s="2" t="s">
        <v>285</v>
      </c>
      <c r="M1027" s="33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14" t="s">
        <v>306</v>
      </c>
      <c r="Q1027" s="113" t="s">
        <v>310</v>
      </c>
      <c r="R1027">
        <v>166</v>
      </c>
      <c r="S1027" s="2">
        <v>91</v>
      </c>
      <c r="T1027" t="s">
        <v>286</v>
      </c>
      <c r="U1027" t="s">
        <v>291</v>
      </c>
      <c r="V1027" t="s">
        <v>289</v>
      </c>
      <c r="W1027" s="32"/>
      <c r="X1027" s="32"/>
      <c r="Y1027" s="26"/>
      <c r="Z1027" s="26"/>
      <c r="AA1027" s="27">
        <f>IF(TA[[#This Row],[Work Start time on Fault]]="NA","",(TA[[#This Row],[Fault Acknowledgement Time ]]-TA[[#This Row],[Fault Time]])*24)</f>
        <v>0</v>
      </c>
      <c r="AB1027" s="27">
        <f>(TA[[#This Row],[Work Start time on Fault]]-TA[[#This Row],[Fault Time]])*24</f>
        <v>0</v>
      </c>
      <c r="AC1027" s="26">
        <f>(TA[[#This Row],[Work Completion time on fault]]-TA[[#This Row],[Fault Time]])*24</f>
        <v>0</v>
      </c>
      <c r="AD1027" s="27">
        <f>IFERROR((TA[[#This Row],[Work Completion time on fault]]-TA[[#This Row],[Fault Time]])*24,"")</f>
        <v>0</v>
      </c>
      <c r="AE1027" t="s">
        <v>319</v>
      </c>
      <c r="AF1027" t="s">
        <v>247</v>
      </c>
      <c r="AG1027" s="2"/>
      <c r="AH1027" s="35">
        <f>1-COS(RADIANS(TA[[#This Row],[Avg. Target Angle during Fault Time (Radians)]]-TA[[#This Row],[Angle of affected equipment ]]))</f>
        <v>0.11705240714107301</v>
      </c>
      <c r="AI1027" s="27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43">
        <f t="shared" si="101"/>
        <v>2026</v>
      </c>
      <c r="C1028" s="116">
        <f t="shared" si="102"/>
        <v>2025</v>
      </c>
      <c r="D1028" s="2" t="s">
        <v>155</v>
      </c>
      <c r="E1028" s="2" t="s">
        <v>155</v>
      </c>
      <c r="F1028" s="30">
        <v>45809</v>
      </c>
      <c r="G1028" s="2">
        <f>DAY(EOMONTH(TA[[#This Row],[Month Year]],0))</f>
        <v>30</v>
      </c>
      <c r="H1028" s="21">
        <v>45816</v>
      </c>
      <c r="I1028" s="32">
        <f>IFERROR(VLOOKUP(TA[[#This Row],[Date]],Raw_Data[[Date]:[Sunset Time (POA&lt;20 W/m2)]],3,0),"")</f>
        <v>0.24722222222222223</v>
      </c>
      <c r="J1028" s="32">
        <f>IFERROR(VLOOKUP(TA[[#This Row],[Date]],Raw_Data[[Date]:[Sunset Time (POA&lt;20 W/m2)]],4,0),"")</f>
        <v>0.77430555555555558</v>
      </c>
      <c r="K1028" s="27">
        <f>IFERROR((TA[[#This Row],[Sunset Time (POA&lt;20 W/m2)]]-TA[[#This Row],[Sunrise Time (POA&gt;20 W/m2)]])*24,"")</f>
        <v>12.65</v>
      </c>
      <c r="L1028" s="2" t="s">
        <v>285</v>
      </c>
      <c r="M1028" s="33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14" t="s">
        <v>307</v>
      </c>
      <c r="Q1028" s="113" t="s">
        <v>307</v>
      </c>
      <c r="R1028">
        <v>117</v>
      </c>
      <c r="S1028" s="2">
        <v>20</v>
      </c>
      <c r="T1028" t="s">
        <v>286</v>
      </c>
      <c r="U1028" t="s">
        <v>291</v>
      </c>
      <c r="V1028" t="s">
        <v>289</v>
      </c>
      <c r="W1028" s="32"/>
      <c r="X1028" s="32"/>
      <c r="Y1028" s="26"/>
      <c r="Z1028" s="26"/>
      <c r="AA1028" s="27">
        <f>IF(TA[[#This Row],[Work Start time on Fault]]="NA","",(TA[[#This Row],[Fault Acknowledgement Time ]]-TA[[#This Row],[Fault Time]])*24)</f>
        <v>0</v>
      </c>
      <c r="AB1028" s="27">
        <f>(TA[[#This Row],[Work Start time on Fault]]-TA[[#This Row],[Fault Time]])*24</f>
        <v>0</v>
      </c>
      <c r="AC1028" s="26">
        <f>(TA[[#This Row],[Work Completion time on fault]]-TA[[#This Row],[Fault Time]])*24</f>
        <v>0</v>
      </c>
      <c r="AD1028" s="27">
        <f>IFERROR((TA[[#This Row],[Work Completion time on fault]]-TA[[#This Row],[Fault Time]])*24,"")</f>
        <v>0</v>
      </c>
      <c r="AE1028" t="s">
        <v>319</v>
      </c>
      <c r="AF1028" t="s">
        <v>247</v>
      </c>
      <c r="AG1028" s="2"/>
      <c r="AH1028" s="35">
        <f>1-COS(RADIANS(TA[[#This Row],[Avg. Target Angle during Fault Time (Radians)]]-TA[[#This Row],[Angle of affected equipment ]]))</f>
        <v>0.11705240714107301</v>
      </c>
      <c r="AI1028" s="27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43">
        <f t="shared" si="101"/>
        <v>2026</v>
      </c>
      <c r="C1029" s="116">
        <f t="shared" si="102"/>
        <v>2025</v>
      </c>
      <c r="D1029" s="2" t="s">
        <v>155</v>
      </c>
      <c r="E1029" s="2" t="s">
        <v>155</v>
      </c>
      <c r="F1029" s="30">
        <v>45809</v>
      </c>
      <c r="G1029" s="2">
        <f>DAY(EOMONTH(TA[[#This Row],[Month Year]],0))</f>
        <v>30</v>
      </c>
      <c r="H1029" s="21">
        <v>45816</v>
      </c>
      <c r="I1029" s="32">
        <f>IFERROR(VLOOKUP(TA[[#This Row],[Date]],Raw_Data[[Date]:[Sunset Time (POA&lt;20 W/m2)]],3,0),"")</f>
        <v>0.24722222222222223</v>
      </c>
      <c r="J1029" s="32">
        <f>IFERROR(VLOOKUP(TA[[#This Row],[Date]],Raw_Data[[Date]:[Sunset Time (POA&lt;20 W/m2)]],4,0),"")</f>
        <v>0.77430555555555558</v>
      </c>
      <c r="K1029" s="27">
        <f>IFERROR((TA[[#This Row],[Sunset Time (POA&lt;20 W/m2)]]-TA[[#This Row],[Sunrise Time (POA&gt;20 W/m2)]])*24,"")</f>
        <v>12.65</v>
      </c>
      <c r="L1029" s="2" t="s">
        <v>285</v>
      </c>
      <c r="M1029" s="33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14" t="s">
        <v>307</v>
      </c>
      <c r="Q1029" s="113" t="s">
        <v>307</v>
      </c>
      <c r="R1029">
        <v>118</v>
      </c>
      <c r="S1029" s="2">
        <v>22</v>
      </c>
      <c r="T1029" t="s">
        <v>286</v>
      </c>
      <c r="U1029" t="s">
        <v>291</v>
      </c>
      <c r="V1029" t="s">
        <v>289</v>
      </c>
      <c r="W1029" s="32"/>
      <c r="X1029" s="32"/>
      <c r="Y1029" s="26"/>
      <c r="Z1029" s="26"/>
      <c r="AA1029" s="27">
        <f>IF(TA[[#This Row],[Work Start time on Fault]]="NA","",(TA[[#This Row],[Fault Acknowledgement Time ]]-TA[[#This Row],[Fault Time]])*24)</f>
        <v>0</v>
      </c>
      <c r="AB1029" s="27">
        <f>(TA[[#This Row],[Work Start time on Fault]]-TA[[#This Row],[Fault Time]])*24</f>
        <v>0</v>
      </c>
      <c r="AC1029" s="26">
        <f>(TA[[#This Row],[Work Completion time on fault]]-TA[[#This Row],[Fault Time]])*24</f>
        <v>0</v>
      </c>
      <c r="AD1029" s="27">
        <f>IFERROR((TA[[#This Row],[Work Completion time on fault]]-TA[[#This Row],[Fault Time]])*24,"")</f>
        <v>0</v>
      </c>
      <c r="AE1029" t="s">
        <v>319</v>
      </c>
      <c r="AF1029" t="s">
        <v>247</v>
      </c>
      <c r="AG1029" s="2"/>
      <c r="AH1029" s="35">
        <f>1-COS(RADIANS(TA[[#This Row],[Avg. Target Angle during Fault Time (Radians)]]-TA[[#This Row],[Angle of affected equipment ]]))</f>
        <v>0.11705240714107301</v>
      </c>
      <c r="AI1029" s="27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43">
        <f t="shared" si="101"/>
        <v>2026</v>
      </c>
      <c r="C1030" s="116">
        <f t="shared" si="102"/>
        <v>2025</v>
      </c>
      <c r="D1030" s="2" t="s">
        <v>155</v>
      </c>
      <c r="E1030" s="2" t="s">
        <v>155</v>
      </c>
      <c r="F1030" s="30">
        <v>45809</v>
      </c>
      <c r="G1030" s="2">
        <f>DAY(EOMONTH(TA[[#This Row],[Month Year]],0))</f>
        <v>30</v>
      </c>
      <c r="H1030" s="21">
        <v>45816</v>
      </c>
      <c r="I1030" s="32">
        <f>IFERROR(VLOOKUP(TA[[#This Row],[Date]],Raw_Data[[Date]:[Sunset Time (POA&lt;20 W/m2)]],3,0),"")</f>
        <v>0.24722222222222223</v>
      </c>
      <c r="J1030" s="32">
        <f>IFERROR(VLOOKUP(TA[[#This Row],[Date]],Raw_Data[[Date]:[Sunset Time (POA&lt;20 W/m2)]],4,0),"")</f>
        <v>0.77430555555555558</v>
      </c>
      <c r="K1030" s="27">
        <f>IFERROR((TA[[#This Row],[Sunset Time (POA&lt;20 W/m2)]]-TA[[#This Row],[Sunrise Time (POA&gt;20 W/m2)]])*24,"")</f>
        <v>12.65</v>
      </c>
      <c r="L1030" s="2" t="s">
        <v>287</v>
      </c>
      <c r="M1030" s="33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314</v>
      </c>
      <c r="Q1030" s="2" t="s">
        <v>320</v>
      </c>
      <c r="R1030">
        <v>45</v>
      </c>
      <c r="S1030" s="2">
        <v>8</v>
      </c>
      <c r="T1030" t="s">
        <v>288</v>
      </c>
      <c r="U1030" t="s">
        <v>291</v>
      </c>
      <c r="V1030" t="s">
        <v>292</v>
      </c>
      <c r="W1030" s="32"/>
      <c r="X1030" s="32"/>
      <c r="Y1030" s="26"/>
      <c r="Z1030" s="26"/>
      <c r="AA1030" s="27">
        <f>IF(TA[[#This Row],[Work Start time on Fault]]="NA","",(TA[[#This Row],[Fault Acknowledgement Time ]]-TA[[#This Row],[Fault Time]])*24)</f>
        <v>0</v>
      </c>
      <c r="AB1030" s="27">
        <f>(TA[[#This Row],[Work Start time on Fault]]-TA[[#This Row],[Fault Time]])*24</f>
        <v>0</v>
      </c>
      <c r="AC1030" s="26">
        <f>(TA[[#This Row],[Work Completion time on fault]]-TA[[#This Row],[Fault Time]])*24</f>
        <v>0</v>
      </c>
      <c r="AD1030" s="27">
        <f>IFERROR((TA[[#This Row],[Work Completion time on fault]]-TA[[#This Row],[Fault Time]])*24,"")</f>
        <v>0</v>
      </c>
      <c r="AE1030" t="s">
        <v>319</v>
      </c>
      <c r="AF1030" t="s">
        <v>247</v>
      </c>
      <c r="AG1030" s="2"/>
      <c r="AH1030" s="35">
        <f>1-COS(RADIANS(TA[[#This Row],[Avg. Target Angle during Fault Time (Radians)]]-TA[[#This Row],[Angle of affected equipment ]]))</f>
        <v>0.11705240714107301</v>
      </c>
      <c r="AI1030" s="27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43">
        <f t="shared" si="101"/>
        <v>2026</v>
      </c>
      <c r="C1031" s="116">
        <f t="shared" si="102"/>
        <v>2025</v>
      </c>
      <c r="D1031" s="2" t="s">
        <v>155</v>
      </c>
      <c r="E1031" s="2" t="s">
        <v>155</v>
      </c>
      <c r="F1031" s="30">
        <v>45809</v>
      </c>
      <c r="G1031" s="2">
        <f>DAY(EOMONTH(TA[[#This Row],[Month Year]],0))</f>
        <v>30</v>
      </c>
      <c r="H1031" s="21">
        <v>45816</v>
      </c>
      <c r="I1031" s="32">
        <f>IFERROR(VLOOKUP(TA[[#This Row],[Date]],Raw_Data[[Date]:[Sunset Time (POA&lt;20 W/m2)]],3,0),"")</f>
        <v>0.24722222222222223</v>
      </c>
      <c r="J1031" s="32">
        <f>IFERROR(VLOOKUP(TA[[#This Row],[Date]],Raw_Data[[Date]:[Sunset Time (POA&lt;20 W/m2)]],4,0),"")</f>
        <v>0.77430555555555558</v>
      </c>
      <c r="K1031" s="27">
        <f>IFERROR((TA[[#This Row],[Sunset Time (POA&lt;20 W/m2)]]-TA[[#This Row],[Sunrise Time (POA&gt;20 W/m2)]])*24,"")</f>
        <v>12.65</v>
      </c>
      <c r="L1031" s="2" t="s">
        <v>287</v>
      </c>
      <c r="M1031" s="33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314</v>
      </c>
      <c r="Q1031" s="2" t="s">
        <v>320</v>
      </c>
      <c r="R1031">
        <v>47</v>
      </c>
      <c r="S1031" s="2">
        <v>18</v>
      </c>
      <c r="T1031" t="s">
        <v>288</v>
      </c>
      <c r="U1031" t="s">
        <v>291</v>
      </c>
      <c r="V1031" t="s">
        <v>292</v>
      </c>
      <c r="W1031" s="32"/>
      <c r="X1031" s="32"/>
      <c r="Y1031" s="26"/>
      <c r="Z1031" s="26"/>
      <c r="AA1031" s="27">
        <f>IF(TA[[#This Row],[Work Start time on Fault]]="NA","",(TA[[#This Row],[Fault Acknowledgement Time ]]-TA[[#This Row],[Fault Time]])*24)</f>
        <v>0</v>
      </c>
      <c r="AB1031" s="27">
        <f>(TA[[#This Row],[Work Start time on Fault]]-TA[[#This Row],[Fault Time]])*24</f>
        <v>0</v>
      </c>
      <c r="AC1031" s="26">
        <f>(TA[[#This Row],[Work Completion time on fault]]-TA[[#This Row],[Fault Time]])*24</f>
        <v>0</v>
      </c>
      <c r="AD1031" s="27">
        <f>IFERROR((TA[[#This Row],[Work Completion time on fault]]-TA[[#This Row],[Fault Time]])*24,"")</f>
        <v>0</v>
      </c>
      <c r="AE1031" t="s">
        <v>319</v>
      </c>
      <c r="AF1031" t="s">
        <v>247</v>
      </c>
      <c r="AG1031" s="2"/>
      <c r="AH1031" s="35">
        <f>1-COS(RADIANS(TA[[#This Row],[Avg. Target Angle during Fault Time (Radians)]]-TA[[#This Row],[Angle of affected equipment ]]))</f>
        <v>0.11705240714107301</v>
      </c>
      <c r="AI1031" s="27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43">
        <f t="shared" si="101"/>
        <v>2026</v>
      </c>
      <c r="C1032" s="116">
        <f t="shared" si="102"/>
        <v>2025</v>
      </c>
      <c r="D1032" s="2" t="s">
        <v>155</v>
      </c>
      <c r="E1032" s="2" t="s">
        <v>155</v>
      </c>
      <c r="F1032" s="30">
        <v>45809</v>
      </c>
      <c r="G1032" s="2">
        <f>DAY(EOMONTH(TA[[#This Row],[Month Year]],0))</f>
        <v>30</v>
      </c>
      <c r="H1032" s="21">
        <v>45816</v>
      </c>
      <c r="I1032" s="32">
        <f>IFERROR(VLOOKUP(TA[[#This Row],[Date]],Raw_Data[[Date]:[Sunset Time (POA&lt;20 W/m2)]],3,0),"")</f>
        <v>0.24722222222222223</v>
      </c>
      <c r="J1032" s="32">
        <f>IFERROR(VLOOKUP(TA[[#This Row],[Date]],Raw_Data[[Date]:[Sunset Time (POA&lt;20 W/m2)]],4,0),"")</f>
        <v>0.77430555555555558</v>
      </c>
      <c r="K1032" s="27">
        <f>IFERROR((TA[[#This Row],[Sunset Time (POA&lt;20 W/m2)]]-TA[[#This Row],[Sunrise Time (POA&gt;20 W/m2)]])*24,"")</f>
        <v>12.65</v>
      </c>
      <c r="L1032" s="2" t="s">
        <v>287</v>
      </c>
      <c r="M1032" s="33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321</v>
      </c>
      <c r="Q1032" s="2" t="s">
        <v>314</v>
      </c>
      <c r="R1032">
        <v>30</v>
      </c>
      <c r="S1032" s="2">
        <v>57</v>
      </c>
      <c r="T1032" t="s">
        <v>288</v>
      </c>
      <c r="U1032" t="s">
        <v>291</v>
      </c>
      <c r="V1032" t="s">
        <v>292</v>
      </c>
      <c r="W1032" s="32"/>
      <c r="X1032" s="32"/>
      <c r="Y1032" s="26"/>
      <c r="Z1032" s="26"/>
      <c r="AA1032" s="27">
        <f>IF(TA[[#This Row],[Work Start time on Fault]]="NA","",(TA[[#This Row],[Fault Acknowledgement Time ]]-TA[[#This Row],[Fault Time]])*24)</f>
        <v>0</v>
      </c>
      <c r="AB1032" s="27">
        <f>(TA[[#This Row],[Work Start time on Fault]]-TA[[#This Row],[Fault Time]])*24</f>
        <v>0</v>
      </c>
      <c r="AC1032" s="26">
        <f>(TA[[#This Row],[Work Completion time on fault]]-TA[[#This Row],[Fault Time]])*24</f>
        <v>0</v>
      </c>
      <c r="AD1032" s="27">
        <f>IFERROR((TA[[#This Row],[Work Completion time on fault]]-TA[[#This Row],[Fault Time]])*24,"")</f>
        <v>0</v>
      </c>
      <c r="AE1032" t="s">
        <v>319</v>
      </c>
      <c r="AF1032" t="s">
        <v>247</v>
      </c>
      <c r="AG1032" s="2"/>
      <c r="AH1032" s="35">
        <f>1-COS(RADIANS(TA[[#This Row],[Avg. Target Angle during Fault Time (Radians)]]-TA[[#This Row],[Angle of affected equipment ]]))</f>
        <v>0.11705240714107301</v>
      </c>
      <c r="AI1032" s="27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43">
        <f t="shared" si="101"/>
        <v>2026</v>
      </c>
      <c r="C1033" s="116">
        <f t="shared" si="102"/>
        <v>2025</v>
      </c>
      <c r="D1033" s="2" t="s">
        <v>155</v>
      </c>
      <c r="E1033" s="2" t="s">
        <v>155</v>
      </c>
      <c r="F1033" s="30">
        <v>45809</v>
      </c>
      <c r="G1033" s="2">
        <f>DAY(EOMONTH(TA[[#This Row],[Month Year]],0))</f>
        <v>30</v>
      </c>
      <c r="H1033" s="21">
        <v>45816</v>
      </c>
      <c r="I1033" s="32">
        <f>IFERROR(VLOOKUP(TA[[#This Row],[Date]],Raw_Data[[Date]:[Sunset Time (POA&lt;20 W/m2)]],3,0),"")</f>
        <v>0.24722222222222223</v>
      </c>
      <c r="J1033" s="32">
        <f>IFERROR(VLOOKUP(TA[[#This Row],[Date]],Raw_Data[[Date]:[Sunset Time (POA&lt;20 W/m2)]],4,0),"")</f>
        <v>0.77430555555555558</v>
      </c>
      <c r="K1033" s="27">
        <f>IFERROR((TA[[#This Row],[Sunset Time (POA&lt;20 W/m2)]]-TA[[#This Row],[Sunrise Time (POA&gt;20 W/m2)]])*24,"")</f>
        <v>12.65</v>
      </c>
      <c r="L1033" s="2" t="s">
        <v>287</v>
      </c>
      <c r="M1033" s="33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321</v>
      </c>
      <c r="Q1033" s="2" t="s">
        <v>314</v>
      </c>
      <c r="R1033">
        <v>31</v>
      </c>
      <c r="S1033" s="2">
        <v>61</v>
      </c>
      <c r="T1033" t="s">
        <v>288</v>
      </c>
      <c r="U1033" t="s">
        <v>291</v>
      </c>
      <c r="V1033" t="s">
        <v>292</v>
      </c>
      <c r="W1033" s="32"/>
      <c r="X1033" s="32"/>
      <c r="Y1033" s="26"/>
      <c r="Z1033" s="26"/>
      <c r="AA1033" s="27">
        <f>IF(TA[[#This Row],[Work Start time on Fault]]="NA","",(TA[[#This Row],[Fault Acknowledgement Time ]]-TA[[#This Row],[Fault Time]])*24)</f>
        <v>0</v>
      </c>
      <c r="AB1033" s="27">
        <f>(TA[[#This Row],[Work Start time on Fault]]-TA[[#This Row],[Fault Time]])*24</f>
        <v>0</v>
      </c>
      <c r="AC1033" s="26">
        <f>(TA[[#This Row],[Work Completion time on fault]]-TA[[#This Row],[Fault Time]])*24</f>
        <v>0</v>
      </c>
      <c r="AD1033" s="27">
        <f>IFERROR((TA[[#This Row],[Work Completion time on fault]]-TA[[#This Row],[Fault Time]])*24,"")</f>
        <v>0</v>
      </c>
      <c r="AE1033" t="s">
        <v>319</v>
      </c>
      <c r="AF1033" t="s">
        <v>247</v>
      </c>
      <c r="AG1033" s="2"/>
      <c r="AH1033" s="35">
        <f>1-COS(RADIANS(TA[[#This Row],[Avg. Target Angle during Fault Time (Radians)]]-TA[[#This Row],[Angle of affected equipment ]]))</f>
        <v>0.11705240714107301</v>
      </c>
      <c r="AI1033" s="27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43">
        <f t="shared" si="101"/>
        <v>2026</v>
      </c>
      <c r="C1034" s="116">
        <f t="shared" si="102"/>
        <v>2025</v>
      </c>
      <c r="D1034" s="2" t="s">
        <v>155</v>
      </c>
      <c r="E1034" s="2" t="s">
        <v>155</v>
      </c>
      <c r="F1034" s="30">
        <v>45809</v>
      </c>
      <c r="G1034" s="2">
        <f>DAY(EOMONTH(TA[[#This Row],[Month Year]],0))</f>
        <v>30</v>
      </c>
      <c r="H1034" s="21">
        <v>45816</v>
      </c>
      <c r="I1034" s="32">
        <f>IFERROR(VLOOKUP(TA[[#This Row],[Date]],Raw_Data[[Date]:[Sunset Time (POA&lt;20 W/m2)]],3,0),"")</f>
        <v>0.24722222222222223</v>
      </c>
      <c r="J1034" s="32">
        <f>IFERROR(VLOOKUP(TA[[#This Row],[Date]],Raw_Data[[Date]:[Sunset Time (POA&lt;20 W/m2)]],4,0),"")</f>
        <v>0.77430555555555558</v>
      </c>
      <c r="K1034" s="27">
        <f>IFERROR((TA[[#This Row],[Sunset Time (POA&lt;20 W/m2)]]-TA[[#This Row],[Sunrise Time (POA&gt;20 W/m2)]])*24,"")</f>
        <v>12.65</v>
      </c>
      <c r="L1034" s="2" t="s">
        <v>303</v>
      </c>
      <c r="M1034" s="33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321</v>
      </c>
      <c r="Q1034" s="2" t="s">
        <v>314</v>
      </c>
      <c r="R1034">
        <v>26</v>
      </c>
      <c r="S1034" s="2">
        <v>37</v>
      </c>
      <c r="T1034" t="s">
        <v>288</v>
      </c>
      <c r="U1034" t="s">
        <v>291</v>
      </c>
      <c r="V1034" t="s">
        <v>292</v>
      </c>
      <c r="W1034" s="32"/>
      <c r="X1034" s="32"/>
      <c r="Y1034" s="26"/>
      <c r="Z1034" s="26"/>
      <c r="AA1034" s="27">
        <f>IF(TA[[#This Row],[Work Start time on Fault]]="NA","",(TA[[#This Row],[Fault Acknowledgement Time ]]-TA[[#This Row],[Fault Time]])*24)</f>
        <v>0</v>
      </c>
      <c r="AB1034" s="27">
        <f>(TA[[#This Row],[Work Start time on Fault]]-TA[[#This Row],[Fault Time]])*24</f>
        <v>0</v>
      </c>
      <c r="AC1034" s="26">
        <f>(TA[[#This Row],[Work Completion time on fault]]-TA[[#This Row],[Fault Time]])*24</f>
        <v>0</v>
      </c>
      <c r="AD1034" s="27">
        <f>IFERROR((TA[[#This Row],[Work Completion time on fault]]-TA[[#This Row],[Fault Time]])*24,"")</f>
        <v>0</v>
      </c>
      <c r="AE1034" t="s">
        <v>319</v>
      </c>
      <c r="AF1034" t="s">
        <v>247</v>
      </c>
      <c r="AG1034" s="2"/>
      <c r="AH1034" s="35">
        <f>1-COS(RADIANS(TA[[#This Row],[Avg. Target Angle during Fault Time (Radians)]]-TA[[#This Row],[Angle of affected equipment ]]))</f>
        <v>0.11705240714107301</v>
      </c>
      <c r="AI1034" s="27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43">
        <f t="shared" si="101"/>
        <v>2026</v>
      </c>
      <c r="C1035" s="116">
        <f t="shared" si="102"/>
        <v>2025</v>
      </c>
      <c r="D1035" s="2" t="s">
        <v>155</v>
      </c>
      <c r="E1035" s="2" t="s">
        <v>155</v>
      </c>
      <c r="F1035" s="30">
        <v>45809</v>
      </c>
      <c r="G1035" s="2">
        <f>DAY(EOMONTH(TA[[#This Row],[Month Year]],0))</f>
        <v>30</v>
      </c>
      <c r="H1035" s="21">
        <v>45816</v>
      </c>
      <c r="I1035" s="32">
        <f>IFERROR(VLOOKUP(TA[[#This Row],[Date]],Raw_Data[[Date]:[Sunset Time (POA&lt;20 W/m2)]],3,0),"")</f>
        <v>0.24722222222222223</v>
      </c>
      <c r="J1035" s="32">
        <f>IFERROR(VLOOKUP(TA[[#This Row],[Date]],Raw_Data[[Date]:[Sunset Time (POA&lt;20 W/m2)]],4,0),"")</f>
        <v>0.77430555555555558</v>
      </c>
      <c r="K1035" s="27">
        <f>IFERROR((TA[[#This Row],[Sunset Time (POA&lt;20 W/m2)]]-TA[[#This Row],[Sunrise Time (POA&gt;20 W/m2)]])*24,"")</f>
        <v>12.65</v>
      </c>
      <c r="L1035" s="2" t="s">
        <v>303</v>
      </c>
      <c r="M1035" s="33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321</v>
      </c>
      <c r="Q1035" s="2" t="s">
        <v>314</v>
      </c>
      <c r="R1035">
        <v>27</v>
      </c>
      <c r="S1035" s="2">
        <v>42</v>
      </c>
      <c r="T1035" t="s">
        <v>288</v>
      </c>
      <c r="U1035" t="s">
        <v>291</v>
      </c>
      <c r="V1035" t="s">
        <v>292</v>
      </c>
      <c r="W1035" s="32">
        <f>IFERROR(VLOOKUP(TA[[#This Row],[Date]],Raw_Data[[Date]:[Sunset Time (POA&lt;20 W/m2)]],3,0),"")</f>
        <v>0.24722222222222223</v>
      </c>
      <c r="X1035" s="32">
        <f>IFERROR(VLOOKUP(TA[[#This Row],[Date]],Raw_Data[[Date]:[Sunset Time (POA&lt;20 W/m2)]],3,0),"")</f>
        <v>0.24722222222222223</v>
      </c>
      <c r="Y1035" s="26"/>
      <c r="Z1035" s="26">
        <v>0.76041666666666663</v>
      </c>
      <c r="AA1035" s="27">
        <f>IF(TA[[#This Row],[Work Start time on Fault]]="NA","",(TA[[#This Row],[Fault Acknowledgement Time ]]-TA[[#This Row],[Fault Time]])*24)</f>
        <v>0</v>
      </c>
      <c r="AB1035" s="27">
        <f>(TA[[#This Row],[Work Start time on Fault]]-TA[[#This Row],[Fault Time]])*24</f>
        <v>-5.9333333333333336</v>
      </c>
      <c r="AC1035" s="26">
        <f>(TA[[#This Row],[Work Completion time on fault]]-TA[[#This Row],[Fault Time]])*24</f>
        <v>12.316666666666666</v>
      </c>
      <c r="AD1035" s="27">
        <f>IFERROR((TA[[#This Row],[Work Completion time on fault]]-TA[[#This Row],[Fault Time]])*24,"")</f>
        <v>12.316666666666666</v>
      </c>
      <c r="AE1035" t="s">
        <v>300</v>
      </c>
      <c r="AF1035" t="s">
        <v>247</v>
      </c>
      <c r="AG1035" s="2"/>
      <c r="AH1035" s="35">
        <f>1-COS(RADIANS(TA[[#This Row],[Avg. Target Angle during Fault Time (Radians)]]-TA[[#This Row],[Angle of affected equipment ]]))</f>
        <v>0.11705240714107301</v>
      </c>
      <c r="AI1035" s="27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43">
        <f t="shared" ref="B1036:B1048" si="103">YEAR(H1036)+IF(MONTH(H1036)&gt;=4,1,0)</f>
        <v>2026</v>
      </c>
      <c r="C1036" s="116">
        <f t="shared" ref="C1036:C1048" si="104">YEAR(H1036)</f>
        <v>2025</v>
      </c>
      <c r="D1036" s="2" t="s">
        <v>155</v>
      </c>
      <c r="E1036" s="2" t="s">
        <v>155</v>
      </c>
      <c r="F1036" s="30">
        <v>45809</v>
      </c>
      <c r="G1036" s="2">
        <f>DAY(EOMONTH(TA[[#This Row],[Month Year]],0))</f>
        <v>30</v>
      </c>
      <c r="H1036" s="21">
        <v>45817</v>
      </c>
      <c r="I1036" s="32">
        <f>IFERROR(VLOOKUP(TA[[#This Row],[Date]],Raw_Data[[Date]:[Sunset Time (POA&lt;20 W/m2)]],3,0),"")</f>
        <v>0.27847222222222223</v>
      </c>
      <c r="J1036" s="32">
        <f>IFERROR(VLOOKUP(TA[[#This Row],[Date]],Raw_Data[[Date]:[Sunset Time (POA&lt;20 W/m2)]],4,0),"")</f>
        <v>0.77916666666666667</v>
      </c>
      <c r="K1036" s="27">
        <f>IFERROR((TA[[#This Row],[Sunset Time (POA&lt;20 W/m2)]]-TA[[#This Row],[Sunrise Time (POA&gt;20 W/m2)]])*24,"")</f>
        <v>12.016666666666666</v>
      </c>
      <c r="L1036" s="2" t="s">
        <v>285</v>
      </c>
      <c r="M1036" s="33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14" t="s">
        <v>309</v>
      </c>
      <c r="Q1036" s="113" t="s">
        <v>309</v>
      </c>
      <c r="R1036">
        <v>131</v>
      </c>
      <c r="S1036" s="2">
        <v>38</v>
      </c>
      <c r="T1036" t="s">
        <v>286</v>
      </c>
      <c r="U1036" t="s">
        <v>291</v>
      </c>
      <c r="V1036" t="s">
        <v>289</v>
      </c>
      <c r="W1036" s="32"/>
      <c r="X1036" s="32"/>
      <c r="Y1036" s="26"/>
      <c r="Z1036" s="26"/>
      <c r="AA1036" s="27">
        <f>IF(TA[[#This Row],[Work Start time on Fault]]="NA","",(TA[[#This Row],[Fault Acknowledgement Time ]]-TA[[#This Row],[Fault Time]])*24)</f>
        <v>0</v>
      </c>
      <c r="AB1036" s="27">
        <f>(TA[[#This Row],[Work Start time on Fault]]-TA[[#This Row],[Fault Time]])*24</f>
        <v>0</v>
      </c>
      <c r="AC1036" s="26">
        <f>(TA[[#This Row],[Work Completion time on fault]]-TA[[#This Row],[Fault Time]])*24</f>
        <v>0</v>
      </c>
      <c r="AD1036" s="27">
        <f>IFERROR((TA[[#This Row],[Work Completion time on fault]]-TA[[#This Row],[Fault Time]])*24,"")</f>
        <v>0</v>
      </c>
      <c r="AE1036" t="s">
        <v>319</v>
      </c>
      <c r="AF1036" t="s">
        <v>247</v>
      </c>
      <c r="AG1036" s="2"/>
      <c r="AH1036" s="35">
        <f>1-COS(RADIANS(TA[[#This Row],[Avg. Target Angle during Fault Time (Radians)]]-TA[[#This Row],[Angle of affected equipment ]]))</f>
        <v>0.11705240714107301</v>
      </c>
      <c r="AI1036" s="27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43">
        <f t="shared" si="103"/>
        <v>2026</v>
      </c>
      <c r="C1037" s="116">
        <f t="shared" si="104"/>
        <v>2025</v>
      </c>
      <c r="D1037" s="2" t="s">
        <v>155</v>
      </c>
      <c r="E1037" s="2" t="s">
        <v>155</v>
      </c>
      <c r="F1037" s="30">
        <v>45809</v>
      </c>
      <c r="G1037" s="2">
        <f>DAY(EOMONTH(TA[[#This Row],[Month Year]],0))</f>
        <v>30</v>
      </c>
      <c r="H1037" s="21">
        <v>45817</v>
      </c>
      <c r="I1037" s="32">
        <f>IFERROR(VLOOKUP(TA[[#This Row],[Date]],Raw_Data[[Date]:[Sunset Time (POA&lt;20 W/m2)]],3,0),"")</f>
        <v>0.27847222222222223</v>
      </c>
      <c r="J1037" s="32">
        <f>IFERROR(VLOOKUP(TA[[#This Row],[Date]],Raw_Data[[Date]:[Sunset Time (POA&lt;20 W/m2)]],4,0),"")</f>
        <v>0.77916666666666667</v>
      </c>
      <c r="K1037" s="27">
        <f>IFERROR((TA[[#This Row],[Sunset Time (POA&lt;20 W/m2)]]-TA[[#This Row],[Sunrise Time (POA&gt;20 W/m2)]])*24,"")</f>
        <v>12.016666666666666</v>
      </c>
      <c r="L1037" s="2" t="s">
        <v>285</v>
      </c>
      <c r="M1037" s="33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14" t="s">
        <v>309</v>
      </c>
      <c r="Q1037" s="113" t="s">
        <v>309</v>
      </c>
      <c r="R1037">
        <v>131</v>
      </c>
      <c r="S1037" s="2">
        <v>39</v>
      </c>
      <c r="T1037" t="s">
        <v>286</v>
      </c>
      <c r="U1037" t="s">
        <v>291</v>
      </c>
      <c r="V1037" t="s">
        <v>289</v>
      </c>
      <c r="W1037" s="32"/>
      <c r="X1037" s="32"/>
      <c r="Y1037" s="26"/>
      <c r="Z1037" s="26"/>
      <c r="AA1037" s="27">
        <f>IF(TA[[#This Row],[Work Start time on Fault]]="NA","",(TA[[#This Row],[Fault Acknowledgement Time ]]-TA[[#This Row],[Fault Time]])*24)</f>
        <v>0</v>
      </c>
      <c r="AB1037" s="27">
        <f>(TA[[#This Row],[Work Start time on Fault]]-TA[[#This Row],[Fault Time]])*24</f>
        <v>0</v>
      </c>
      <c r="AC1037" s="26">
        <f>(TA[[#This Row],[Work Completion time on fault]]-TA[[#This Row],[Fault Time]])*24</f>
        <v>0</v>
      </c>
      <c r="AD1037" s="27">
        <f>IFERROR((TA[[#This Row],[Work Completion time on fault]]-TA[[#This Row],[Fault Time]])*24,"")</f>
        <v>0</v>
      </c>
      <c r="AE1037" t="s">
        <v>319</v>
      </c>
      <c r="AF1037" t="s">
        <v>247</v>
      </c>
      <c r="AG1037" s="2"/>
      <c r="AH1037" s="35">
        <f>1-COS(RADIANS(TA[[#This Row],[Avg. Target Angle during Fault Time (Radians)]]-TA[[#This Row],[Angle of affected equipment ]]))</f>
        <v>0.11705240714107301</v>
      </c>
      <c r="AI1037" s="27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43">
        <f t="shared" si="103"/>
        <v>2026</v>
      </c>
      <c r="C1038" s="116">
        <f t="shared" si="104"/>
        <v>2025</v>
      </c>
      <c r="D1038" s="2" t="s">
        <v>155</v>
      </c>
      <c r="E1038" s="2" t="s">
        <v>155</v>
      </c>
      <c r="F1038" s="30">
        <v>45809</v>
      </c>
      <c r="G1038" s="2">
        <f>DAY(EOMONTH(TA[[#This Row],[Month Year]],0))</f>
        <v>30</v>
      </c>
      <c r="H1038" s="21">
        <v>45817</v>
      </c>
      <c r="I1038" s="32">
        <f>IFERROR(VLOOKUP(TA[[#This Row],[Date]],Raw_Data[[Date]:[Sunset Time (POA&lt;20 W/m2)]],3,0),"")</f>
        <v>0.27847222222222223</v>
      </c>
      <c r="J1038" s="32">
        <f>IFERROR(VLOOKUP(TA[[#This Row],[Date]],Raw_Data[[Date]:[Sunset Time (POA&lt;20 W/m2)]],4,0),"")</f>
        <v>0.77916666666666667</v>
      </c>
      <c r="K1038" s="27">
        <f>IFERROR((TA[[#This Row],[Sunset Time (POA&lt;20 W/m2)]]-TA[[#This Row],[Sunrise Time (POA&gt;20 W/m2)]])*24,"")</f>
        <v>12.016666666666666</v>
      </c>
      <c r="L1038" s="2" t="s">
        <v>287</v>
      </c>
      <c r="M1038" s="33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14" t="s">
        <v>309</v>
      </c>
      <c r="Q1038" s="2" t="s">
        <v>312</v>
      </c>
      <c r="R1038">
        <v>133</v>
      </c>
      <c r="S1038" s="2">
        <v>26</v>
      </c>
      <c r="T1038" t="s">
        <v>288</v>
      </c>
      <c r="U1038" t="s">
        <v>291</v>
      </c>
      <c r="V1038" t="s">
        <v>305</v>
      </c>
      <c r="W1038" s="32">
        <f>IFERROR(VLOOKUP(TA[[#This Row],[Date]],Raw_Data[[Date]:[Sunset Time (POA&lt;20 W/m2)]],3,0),"")</f>
        <v>0.27847222222222223</v>
      </c>
      <c r="X1038" s="32">
        <f>IFERROR(VLOOKUP(TA[[#This Row],[Date]],Raw_Data[[Date]:[Sunset Time (POA&lt;20 W/m2)]],3,0),"")</f>
        <v>0.27847222222222223</v>
      </c>
      <c r="Y1038" s="26"/>
      <c r="Z1038" s="26">
        <v>0.76041666666666663</v>
      </c>
      <c r="AA1038" s="27">
        <f>IF(TA[[#This Row],[Work Start time on Fault]]="NA","",(TA[[#This Row],[Fault Acknowledgement Time ]]-TA[[#This Row],[Fault Time]])*24)</f>
        <v>0</v>
      </c>
      <c r="AB1038" s="27">
        <f>(TA[[#This Row],[Work Start time on Fault]]-TA[[#This Row],[Fault Time]])*24</f>
        <v>-6.6833333333333336</v>
      </c>
      <c r="AC1038" s="26">
        <f>(TA[[#This Row],[Work Completion time on fault]]-TA[[#This Row],[Fault Time]])*24</f>
        <v>11.566666666666666</v>
      </c>
      <c r="AD1038" s="27">
        <f>IFERROR((TA[[#This Row],[Work Completion time on fault]]-TA[[#This Row],[Fault Time]])*24,"")</f>
        <v>11.566666666666666</v>
      </c>
      <c r="AE1038" t="s">
        <v>319</v>
      </c>
      <c r="AF1038" t="s">
        <v>247</v>
      </c>
      <c r="AG1038" s="2"/>
      <c r="AH1038" s="35">
        <f>1-COS(RADIANS(TA[[#This Row],[Avg. Target Angle during Fault Time (Radians)]]-TA[[#This Row],[Angle of affected equipment ]]))</f>
        <v>0.11705240714107301</v>
      </c>
      <c r="AI1038" s="27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43">
        <f t="shared" si="103"/>
        <v>2026</v>
      </c>
      <c r="C1039" s="116">
        <f t="shared" si="104"/>
        <v>2025</v>
      </c>
      <c r="D1039" s="2" t="s">
        <v>155</v>
      </c>
      <c r="E1039" s="2" t="s">
        <v>155</v>
      </c>
      <c r="F1039" s="30">
        <v>45809</v>
      </c>
      <c r="G1039" s="2">
        <f>DAY(EOMONTH(TA[[#This Row],[Month Year]],0))</f>
        <v>30</v>
      </c>
      <c r="H1039" s="21">
        <v>45817</v>
      </c>
      <c r="I1039" s="32">
        <f>IFERROR(VLOOKUP(TA[[#This Row],[Date]],Raw_Data[[Date]:[Sunset Time (POA&lt;20 W/m2)]],3,0),"")</f>
        <v>0.27847222222222223</v>
      </c>
      <c r="J1039" s="32">
        <f>IFERROR(VLOOKUP(TA[[#This Row],[Date]],Raw_Data[[Date]:[Sunset Time (POA&lt;20 W/m2)]],4,0),"")</f>
        <v>0.77916666666666667</v>
      </c>
      <c r="K1039" s="27">
        <f>IFERROR((TA[[#This Row],[Sunset Time (POA&lt;20 W/m2)]]-TA[[#This Row],[Sunrise Time (POA&gt;20 W/m2)]])*24,"")</f>
        <v>12.016666666666666</v>
      </c>
      <c r="L1039" s="2" t="s">
        <v>285</v>
      </c>
      <c r="M1039" s="33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14" t="s">
        <v>307</v>
      </c>
      <c r="Q1039" s="113" t="s">
        <v>308</v>
      </c>
      <c r="R1039">
        <v>7</v>
      </c>
      <c r="S1039" s="2">
        <v>32</v>
      </c>
      <c r="T1039" t="s">
        <v>286</v>
      </c>
      <c r="U1039" t="s">
        <v>291</v>
      </c>
      <c r="V1039" t="s">
        <v>289</v>
      </c>
      <c r="W1039" s="32"/>
      <c r="X1039" s="32"/>
      <c r="Y1039" s="26"/>
      <c r="Z1039" s="26"/>
      <c r="AA1039" s="27">
        <f>IF(TA[[#This Row],[Work Start time on Fault]]="NA","",(TA[[#This Row],[Fault Acknowledgement Time ]]-TA[[#This Row],[Fault Time]])*24)</f>
        <v>0</v>
      </c>
      <c r="AB1039" s="27">
        <f>(TA[[#This Row],[Work Start time on Fault]]-TA[[#This Row],[Fault Time]])*24</f>
        <v>0</v>
      </c>
      <c r="AC1039" s="26">
        <f>(TA[[#This Row],[Work Completion time on fault]]-TA[[#This Row],[Fault Time]])*24</f>
        <v>0</v>
      </c>
      <c r="AD1039" s="27">
        <f>IFERROR((TA[[#This Row],[Work Completion time on fault]]-TA[[#This Row],[Fault Time]])*24,"")</f>
        <v>0</v>
      </c>
      <c r="AE1039" t="s">
        <v>319</v>
      </c>
      <c r="AF1039" t="s">
        <v>247</v>
      </c>
      <c r="AG1039" s="2"/>
      <c r="AH1039" s="35">
        <f>1-COS(RADIANS(TA[[#This Row],[Avg. Target Angle during Fault Time (Radians)]]-TA[[#This Row],[Angle of affected equipment ]]))</f>
        <v>0.11705240714107301</v>
      </c>
      <c r="AI1039" s="27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43">
        <f t="shared" si="103"/>
        <v>2026</v>
      </c>
      <c r="C1040" s="116">
        <f t="shared" si="104"/>
        <v>2025</v>
      </c>
      <c r="D1040" s="2" t="s">
        <v>155</v>
      </c>
      <c r="E1040" s="2" t="s">
        <v>155</v>
      </c>
      <c r="F1040" s="30">
        <v>45809</v>
      </c>
      <c r="G1040" s="2">
        <f>DAY(EOMONTH(TA[[#This Row],[Month Year]],0))</f>
        <v>30</v>
      </c>
      <c r="H1040" s="21">
        <v>45817</v>
      </c>
      <c r="I1040" s="32">
        <f>IFERROR(VLOOKUP(TA[[#This Row],[Date]],Raw_Data[[Date]:[Sunset Time (POA&lt;20 W/m2)]],3,0),"")</f>
        <v>0.27847222222222223</v>
      </c>
      <c r="J1040" s="32">
        <f>IFERROR(VLOOKUP(TA[[#This Row],[Date]],Raw_Data[[Date]:[Sunset Time (POA&lt;20 W/m2)]],4,0),"")</f>
        <v>0.77916666666666667</v>
      </c>
      <c r="K1040" s="27">
        <f>IFERROR((TA[[#This Row],[Sunset Time (POA&lt;20 W/m2)]]-TA[[#This Row],[Sunrise Time (POA&gt;20 W/m2)]])*24,"")</f>
        <v>12.016666666666666</v>
      </c>
      <c r="L1040" s="2" t="s">
        <v>285</v>
      </c>
      <c r="M1040" s="33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14" t="s">
        <v>306</v>
      </c>
      <c r="Q1040" s="113" t="s">
        <v>310</v>
      </c>
      <c r="R1040">
        <v>166</v>
      </c>
      <c r="S1040" s="2">
        <v>91</v>
      </c>
      <c r="T1040" t="s">
        <v>286</v>
      </c>
      <c r="U1040" t="s">
        <v>291</v>
      </c>
      <c r="V1040" t="s">
        <v>289</v>
      </c>
      <c r="W1040" s="32"/>
      <c r="X1040" s="32"/>
      <c r="Y1040" s="26"/>
      <c r="Z1040" s="26"/>
      <c r="AA1040" s="27">
        <f>IF(TA[[#This Row],[Work Start time on Fault]]="NA","",(TA[[#This Row],[Fault Acknowledgement Time ]]-TA[[#This Row],[Fault Time]])*24)</f>
        <v>0</v>
      </c>
      <c r="AB1040" s="27">
        <f>(TA[[#This Row],[Work Start time on Fault]]-TA[[#This Row],[Fault Time]])*24</f>
        <v>0</v>
      </c>
      <c r="AC1040" s="26">
        <f>(TA[[#This Row],[Work Completion time on fault]]-TA[[#This Row],[Fault Time]])*24</f>
        <v>0</v>
      </c>
      <c r="AD1040" s="27">
        <f>IFERROR((TA[[#This Row],[Work Completion time on fault]]-TA[[#This Row],[Fault Time]])*24,"")</f>
        <v>0</v>
      </c>
      <c r="AE1040" t="s">
        <v>319</v>
      </c>
      <c r="AF1040" t="s">
        <v>247</v>
      </c>
      <c r="AG1040" s="2"/>
      <c r="AH1040" s="35">
        <f>1-COS(RADIANS(TA[[#This Row],[Avg. Target Angle during Fault Time (Radians)]]-TA[[#This Row],[Angle of affected equipment ]]))</f>
        <v>0.11705240714107301</v>
      </c>
      <c r="AI1040" s="27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43">
        <f t="shared" si="103"/>
        <v>2026</v>
      </c>
      <c r="C1041" s="116">
        <f t="shared" si="104"/>
        <v>2025</v>
      </c>
      <c r="D1041" s="2" t="s">
        <v>155</v>
      </c>
      <c r="E1041" s="2" t="s">
        <v>155</v>
      </c>
      <c r="F1041" s="30">
        <v>45809</v>
      </c>
      <c r="G1041" s="2">
        <f>DAY(EOMONTH(TA[[#This Row],[Month Year]],0))</f>
        <v>30</v>
      </c>
      <c r="H1041" s="21">
        <v>45817</v>
      </c>
      <c r="I1041" s="32">
        <f>IFERROR(VLOOKUP(TA[[#This Row],[Date]],Raw_Data[[Date]:[Sunset Time (POA&lt;20 W/m2)]],3,0),"")</f>
        <v>0.27847222222222223</v>
      </c>
      <c r="J1041" s="32">
        <f>IFERROR(VLOOKUP(TA[[#This Row],[Date]],Raw_Data[[Date]:[Sunset Time (POA&lt;20 W/m2)]],4,0),"")</f>
        <v>0.77916666666666667</v>
      </c>
      <c r="K1041" s="27">
        <f>IFERROR((TA[[#This Row],[Sunset Time (POA&lt;20 W/m2)]]-TA[[#This Row],[Sunrise Time (POA&gt;20 W/m2)]])*24,"")</f>
        <v>12.016666666666666</v>
      </c>
      <c r="L1041" s="2" t="s">
        <v>285</v>
      </c>
      <c r="M1041" s="33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14" t="s">
        <v>307</v>
      </c>
      <c r="Q1041" s="113" t="s">
        <v>307</v>
      </c>
      <c r="R1041">
        <v>117</v>
      </c>
      <c r="S1041" s="2">
        <v>20</v>
      </c>
      <c r="T1041" t="s">
        <v>286</v>
      </c>
      <c r="U1041" t="s">
        <v>291</v>
      </c>
      <c r="V1041" t="s">
        <v>289</v>
      </c>
      <c r="W1041" s="32"/>
      <c r="X1041" s="32"/>
      <c r="Y1041" s="26"/>
      <c r="Z1041" s="26"/>
      <c r="AA1041" s="27">
        <f>IF(TA[[#This Row],[Work Start time on Fault]]="NA","",(TA[[#This Row],[Fault Acknowledgement Time ]]-TA[[#This Row],[Fault Time]])*24)</f>
        <v>0</v>
      </c>
      <c r="AB1041" s="27">
        <f>(TA[[#This Row],[Work Start time on Fault]]-TA[[#This Row],[Fault Time]])*24</f>
        <v>0</v>
      </c>
      <c r="AC1041" s="26">
        <f>(TA[[#This Row],[Work Completion time on fault]]-TA[[#This Row],[Fault Time]])*24</f>
        <v>0</v>
      </c>
      <c r="AD1041" s="27">
        <f>IFERROR((TA[[#This Row],[Work Completion time on fault]]-TA[[#This Row],[Fault Time]])*24,"")</f>
        <v>0</v>
      </c>
      <c r="AE1041" t="s">
        <v>319</v>
      </c>
      <c r="AF1041" t="s">
        <v>247</v>
      </c>
      <c r="AG1041" s="2"/>
      <c r="AH1041" s="35">
        <f>1-COS(RADIANS(TA[[#This Row],[Avg. Target Angle during Fault Time (Radians)]]-TA[[#This Row],[Angle of affected equipment ]]))</f>
        <v>0.11705240714107301</v>
      </c>
      <c r="AI1041" s="27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43">
        <f t="shared" si="103"/>
        <v>2026</v>
      </c>
      <c r="C1042" s="116">
        <f t="shared" si="104"/>
        <v>2025</v>
      </c>
      <c r="D1042" s="2" t="s">
        <v>155</v>
      </c>
      <c r="E1042" s="2" t="s">
        <v>155</v>
      </c>
      <c r="F1042" s="30">
        <v>45809</v>
      </c>
      <c r="G1042" s="2">
        <f>DAY(EOMONTH(TA[[#This Row],[Month Year]],0))</f>
        <v>30</v>
      </c>
      <c r="H1042" s="21">
        <v>45817</v>
      </c>
      <c r="I1042" s="32">
        <f>IFERROR(VLOOKUP(TA[[#This Row],[Date]],Raw_Data[[Date]:[Sunset Time (POA&lt;20 W/m2)]],3,0),"")</f>
        <v>0.27847222222222223</v>
      </c>
      <c r="J1042" s="32">
        <f>IFERROR(VLOOKUP(TA[[#This Row],[Date]],Raw_Data[[Date]:[Sunset Time (POA&lt;20 W/m2)]],4,0),"")</f>
        <v>0.77916666666666667</v>
      </c>
      <c r="K1042" s="27">
        <f>IFERROR((TA[[#This Row],[Sunset Time (POA&lt;20 W/m2)]]-TA[[#This Row],[Sunrise Time (POA&gt;20 W/m2)]])*24,"")</f>
        <v>12.016666666666666</v>
      </c>
      <c r="L1042" s="2" t="s">
        <v>285</v>
      </c>
      <c r="M1042" s="33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14" t="s">
        <v>307</v>
      </c>
      <c r="Q1042" s="113" t="s">
        <v>307</v>
      </c>
      <c r="R1042">
        <v>118</v>
      </c>
      <c r="S1042" s="2">
        <v>22</v>
      </c>
      <c r="T1042" t="s">
        <v>286</v>
      </c>
      <c r="U1042" t="s">
        <v>291</v>
      </c>
      <c r="V1042" t="s">
        <v>289</v>
      </c>
      <c r="W1042" s="32"/>
      <c r="X1042" s="32"/>
      <c r="Y1042" s="26"/>
      <c r="Z1042" s="26"/>
      <c r="AA1042" s="27">
        <f>IF(TA[[#This Row],[Work Start time on Fault]]="NA","",(TA[[#This Row],[Fault Acknowledgement Time ]]-TA[[#This Row],[Fault Time]])*24)</f>
        <v>0</v>
      </c>
      <c r="AB1042" s="27">
        <f>(TA[[#This Row],[Work Start time on Fault]]-TA[[#This Row],[Fault Time]])*24</f>
        <v>0</v>
      </c>
      <c r="AC1042" s="26">
        <f>(TA[[#This Row],[Work Completion time on fault]]-TA[[#This Row],[Fault Time]])*24</f>
        <v>0</v>
      </c>
      <c r="AD1042" s="27">
        <f>IFERROR((TA[[#This Row],[Work Completion time on fault]]-TA[[#This Row],[Fault Time]])*24,"")</f>
        <v>0</v>
      </c>
      <c r="AE1042" t="s">
        <v>319</v>
      </c>
      <c r="AF1042" t="s">
        <v>247</v>
      </c>
      <c r="AG1042" s="2"/>
      <c r="AH1042" s="35">
        <f>1-COS(RADIANS(TA[[#This Row],[Avg. Target Angle during Fault Time (Radians)]]-TA[[#This Row],[Angle of affected equipment ]]))</f>
        <v>0.11705240714107301</v>
      </c>
      <c r="AI1042" s="27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43">
        <f t="shared" si="103"/>
        <v>2026</v>
      </c>
      <c r="C1043" s="116">
        <f t="shared" si="104"/>
        <v>2025</v>
      </c>
      <c r="D1043" s="2" t="s">
        <v>155</v>
      </c>
      <c r="E1043" s="2" t="s">
        <v>155</v>
      </c>
      <c r="F1043" s="30">
        <v>45809</v>
      </c>
      <c r="G1043" s="2">
        <f>DAY(EOMONTH(TA[[#This Row],[Month Year]],0))</f>
        <v>30</v>
      </c>
      <c r="H1043" s="21">
        <v>45817</v>
      </c>
      <c r="I1043" s="32">
        <f>IFERROR(VLOOKUP(TA[[#This Row],[Date]],Raw_Data[[Date]:[Sunset Time (POA&lt;20 W/m2)]],3,0),"")</f>
        <v>0.27847222222222223</v>
      </c>
      <c r="J1043" s="32">
        <f>IFERROR(VLOOKUP(TA[[#This Row],[Date]],Raw_Data[[Date]:[Sunset Time (POA&lt;20 W/m2)]],4,0),"")</f>
        <v>0.77916666666666667</v>
      </c>
      <c r="K1043" s="27">
        <f>IFERROR((TA[[#This Row],[Sunset Time (POA&lt;20 W/m2)]]-TA[[#This Row],[Sunrise Time (POA&gt;20 W/m2)]])*24,"")</f>
        <v>12.016666666666666</v>
      </c>
      <c r="L1043" s="2" t="s">
        <v>287</v>
      </c>
      <c r="M1043" s="33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314</v>
      </c>
      <c r="Q1043" s="2" t="s">
        <v>320</v>
      </c>
      <c r="R1043">
        <v>45</v>
      </c>
      <c r="S1043" s="2">
        <v>8</v>
      </c>
      <c r="T1043" t="s">
        <v>288</v>
      </c>
      <c r="U1043" t="s">
        <v>291</v>
      </c>
      <c r="V1043" t="s">
        <v>292</v>
      </c>
      <c r="W1043" s="32"/>
      <c r="X1043" s="32"/>
      <c r="Y1043" s="26"/>
      <c r="Z1043" s="26"/>
      <c r="AA1043" s="27">
        <f>IF(TA[[#This Row],[Work Start time on Fault]]="NA","",(TA[[#This Row],[Fault Acknowledgement Time ]]-TA[[#This Row],[Fault Time]])*24)</f>
        <v>0</v>
      </c>
      <c r="AB1043" s="27">
        <f>(TA[[#This Row],[Work Start time on Fault]]-TA[[#This Row],[Fault Time]])*24</f>
        <v>0</v>
      </c>
      <c r="AC1043" s="26">
        <f>(TA[[#This Row],[Work Completion time on fault]]-TA[[#This Row],[Fault Time]])*24</f>
        <v>0</v>
      </c>
      <c r="AD1043" s="27">
        <f>IFERROR((TA[[#This Row],[Work Completion time on fault]]-TA[[#This Row],[Fault Time]])*24,"")</f>
        <v>0</v>
      </c>
      <c r="AE1043" t="s">
        <v>319</v>
      </c>
      <c r="AF1043" t="s">
        <v>247</v>
      </c>
      <c r="AG1043" s="2"/>
      <c r="AH1043" s="35">
        <f>1-COS(RADIANS(TA[[#This Row],[Avg. Target Angle during Fault Time (Radians)]]-TA[[#This Row],[Angle of affected equipment ]]))</f>
        <v>0.11705240714107301</v>
      </c>
      <c r="AI1043" s="27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43">
        <f t="shared" si="103"/>
        <v>2026</v>
      </c>
      <c r="C1044" s="116">
        <f t="shared" si="104"/>
        <v>2025</v>
      </c>
      <c r="D1044" s="2" t="s">
        <v>155</v>
      </c>
      <c r="E1044" s="2" t="s">
        <v>155</v>
      </c>
      <c r="F1044" s="30">
        <v>45809</v>
      </c>
      <c r="G1044" s="2">
        <f>DAY(EOMONTH(TA[[#This Row],[Month Year]],0))</f>
        <v>30</v>
      </c>
      <c r="H1044" s="21">
        <v>45817</v>
      </c>
      <c r="I1044" s="32">
        <f>IFERROR(VLOOKUP(TA[[#This Row],[Date]],Raw_Data[[Date]:[Sunset Time (POA&lt;20 W/m2)]],3,0),"")</f>
        <v>0.27847222222222223</v>
      </c>
      <c r="J1044" s="32">
        <f>IFERROR(VLOOKUP(TA[[#This Row],[Date]],Raw_Data[[Date]:[Sunset Time (POA&lt;20 W/m2)]],4,0),"")</f>
        <v>0.77916666666666667</v>
      </c>
      <c r="K1044" s="27">
        <f>IFERROR((TA[[#This Row],[Sunset Time (POA&lt;20 W/m2)]]-TA[[#This Row],[Sunrise Time (POA&gt;20 W/m2)]])*24,"")</f>
        <v>12.016666666666666</v>
      </c>
      <c r="L1044" s="2" t="s">
        <v>287</v>
      </c>
      <c r="M1044" s="33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314</v>
      </c>
      <c r="Q1044" s="2" t="s">
        <v>320</v>
      </c>
      <c r="R1044">
        <v>47</v>
      </c>
      <c r="S1044" s="2">
        <v>18</v>
      </c>
      <c r="T1044" t="s">
        <v>288</v>
      </c>
      <c r="U1044" t="s">
        <v>291</v>
      </c>
      <c r="V1044" t="s">
        <v>292</v>
      </c>
      <c r="W1044" s="32"/>
      <c r="X1044" s="32"/>
      <c r="Y1044" s="26"/>
      <c r="Z1044" s="26"/>
      <c r="AA1044" s="27">
        <f>IF(TA[[#This Row],[Work Start time on Fault]]="NA","",(TA[[#This Row],[Fault Acknowledgement Time ]]-TA[[#This Row],[Fault Time]])*24)</f>
        <v>0</v>
      </c>
      <c r="AB1044" s="27">
        <f>(TA[[#This Row],[Work Start time on Fault]]-TA[[#This Row],[Fault Time]])*24</f>
        <v>0</v>
      </c>
      <c r="AC1044" s="26">
        <f>(TA[[#This Row],[Work Completion time on fault]]-TA[[#This Row],[Fault Time]])*24</f>
        <v>0</v>
      </c>
      <c r="AD1044" s="27">
        <f>IFERROR((TA[[#This Row],[Work Completion time on fault]]-TA[[#This Row],[Fault Time]])*24,"")</f>
        <v>0</v>
      </c>
      <c r="AE1044" t="s">
        <v>319</v>
      </c>
      <c r="AF1044" t="s">
        <v>247</v>
      </c>
      <c r="AG1044" s="2"/>
      <c r="AH1044" s="35">
        <f>1-COS(RADIANS(TA[[#This Row],[Avg. Target Angle during Fault Time (Radians)]]-TA[[#This Row],[Angle of affected equipment ]]))</f>
        <v>0.11705240714107301</v>
      </c>
      <c r="AI1044" s="27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43">
        <f t="shared" si="103"/>
        <v>2026</v>
      </c>
      <c r="C1045" s="116">
        <f t="shared" si="104"/>
        <v>2025</v>
      </c>
      <c r="D1045" s="2" t="s">
        <v>155</v>
      </c>
      <c r="E1045" s="2" t="s">
        <v>155</v>
      </c>
      <c r="F1045" s="30">
        <v>45809</v>
      </c>
      <c r="G1045" s="2">
        <f>DAY(EOMONTH(TA[[#This Row],[Month Year]],0))</f>
        <v>30</v>
      </c>
      <c r="H1045" s="21">
        <v>45817</v>
      </c>
      <c r="I1045" s="32">
        <f>IFERROR(VLOOKUP(TA[[#This Row],[Date]],Raw_Data[[Date]:[Sunset Time (POA&lt;20 W/m2)]],3,0),"")</f>
        <v>0.27847222222222223</v>
      </c>
      <c r="J1045" s="32">
        <f>IFERROR(VLOOKUP(TA[[#This Row],[Date]],Raw_Data[[Date]:[Sunset Time (POA&lt;20 W/m2)]],4,0),"")</f>
        <v>0.77916666666666667</v>
      </c>
      <c r="K1045" s="27">
        <f>IFERROR((TA[[#This Row],[Sunset Time (POA&lt;20 W/m2)]]-TA[[#This Row],[Sunrise Time (POA&gt;20 W/m2)]])*24,"")</f>
        <v>12.016666666666666</v>
      </c>
      <c r="L1045" s="2" t="s">
        <v>287</v>
      </c>
      <c r="M1045" s="33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321</v>
      </c>
      <c r="Q1045" s="2" t="s">
        <v>314</v>
      </c>
      <c r="R1045">
        <v>30</v>
      </c>
      <c r="S1045" s="2">
        <v>57</v>
      </c>
      <c r="T1045" t="s">
        <v>288</v>
      </c>
      <c r="U1045" t="s">
        <v>291</v>
      </c>
      <c r="V1045" t="s">
        <v>292</v>
      </c>
      <c r="W1045" s="32"/>
      <c r="X1045" s="32"/>
      <c r="Y1045" s="26"/>
      <c r="Z1045" s="26"/>
      <c r="AA1045" s="27">
        <f>IF(TA[[#This Row],[Work Start time on Fault]]="NA","",(TA[[#This Row],[Fault Acknowledgement Time ]]-TA[[#This Row],[Fault Time]])*24)</f>
        <v>0</v>
      </c>
      <c r="AB1045" s="27">
        <f>(TA[[#This Row],[Work Start time on Fault]]-TA[[#This Row],[Fault Time]])*24</f>
        <v>0</v>
      </c>
      <c r="AC1045" s="26">
        <f>(TA[[#This Row],[Work Completion time on fault]]-TA[[#This Row],[Fault Time]])*24</f>
        <v>0</v>
      </c>
      <c r="AD1045" s="27">
        <f>IFERROR((TA[[#This Row],[Work Completion time on fault]]-TA[[#This Row],[Fault Time]])*24,"")</f>
        <v>0</v>
      </c>
      <c r="AE1045" t="s">
        <v>319</v>
      </c>
      <c r="AF1045" t="s">
        <v>247</v>
      </c>
      <c r="AG1045" s="2"/>
      <c r="AH1045" s="35">
        <f>1-COS(RADIANS(TA[[#This Row],[Avg. Target Angle during Fault Time (Radians)]]-TA[[#This Row],[Angle of affected equipment ]]))</f>
        <v>0.11705240714107301</v>
      </c>
      <c r="AI1045" s="27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43">
        <f t="shared" si="103"/>
        <v>2026</v>
      </c>
      <c r="C1046" s="116">
        <f t="shared" si="104"/>
        <v>2025</v>
      </c>
      <c r="D1046" s="2" t="s">
        <v>155</v>
      </c>
      <c r="E1046" s="2" t="s">
        <v>155</v>
      </c>
      <c r="F1046" s="30">
        <v>45809</v>
      </c>
      <c r="G1046" s="2">
        <f>DAY(EOMONTH(TA[[#This Row],[Month Year]],0))</f>
        <v>30</v>
      </c>
      <c r="H1046" s="21">
        <v>45817</v>
      </c>
      <c r="I1046" s="32">
        <f>IFERROR(VLOOKUP(TA[[#This Row],[Date]],Raw_Data[[Date]:[Sunset Time (POA&lt;20 W/m2)]],3,0),"")</f>
        <v>0.27847222222222223</v>
      </c>
      <c r="J1046" s="32">
        <f>IFERROR(VLOOKUP(TA[[#This Row],[Date]],Raw_Data[[Date]:[Sunset Time (POA&lt;20 W/m2)]],4,0),"")</f>
        <v>0.77916666666666667</v>
      </c>
      <c r="K1046" s="27">
        <f>IFERROR((TA[[#This Row],[Sunset Time (POA&lt;20 W/m2)]]-TA[[#This Row],[Sunrise Time (POA&gt;20 W/m2)]])*24,"")</f>
        <v>12.016666666666666</v>
      </c>
      <c r="L1046" s="2" t="s">
        <v>287</v>
      </c>
      <c r="M1046" s="33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321</v>
      </c>
      <c r="Q1046" s="2" t="s">
        <v>314</v>
      </c>
      <c r="R1046">
        <v>31</v>
      </c>
      <c r="S1046" s="2">
        <v>61</v>
      </c>
      <c r="T1046" t="s">
        <v>288</v>
      </c>
      <c r="U1046" t="s">
        <v>291</v>
      </c>
      <c r="V1046" t="s">
        <v>292</v>
      </c>
      <c r="W1046" s="32"/>
      <c r="X1046" s="32"/>
      <c r="Y1046" s="26"/>
      <c r="Z1046" s="26"/>
      <c r="AA1046" s="27">
        <f>IF(TA[[#This Row],[Work Start time on Fault]]="NA","",(TA[[#This Row],[Fault Acknowledgement Time ]]-TA[[#This Row],[Fault Time]])*24)</f>
        <v>0</v>
      </c>
      <c r="AB1046" s="27">
        <f>(TA[[#This Row],[Work Start time on Fault]]-TA[[#This Row],[Fault Time]])*24</f>
        <v>0</v>
      </c>
      <c r="AC1046" s="26">
        <f>(TA[[#This Row],[Work Completion time on fault]]-TA[[#This Row],[Fault Time]])*24</f>
        <v>0</v>
      </c>
      <c r="AD1046" s="27">
        <f>IFERROR((TA[[#This Row],[Work Completion time on fault]]-TA[[#This Row],[Fault Time]])*24,"")</f>
        <v>0</v>
      </c>
      <c r="AE1046" t="s">
        <v>319</v>
      </c>
      <c r="AF1046" t="s">
        <v>247</v>
      </c>
      <c r="AG1046" s="2"/>
      <c r="AH1046" s="35">
        <f>1-COS(RADIANS(TA[[#This Row],[Avg. Target Angle during Fault Time (Radians)]]-TA[[#This Row],[Angle of affected equipment ]]))</f>
        <v>0.11705240714107301</v>
      </c>
      <c r="AI1046" s="27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43">
        <f t="shared" si="103"/>
        <v>2026</v>
      </c>
      <c r="C1047" s="116">
        <f t="shared" si="104"/>
        <v>2025</v>
      </c>
      <c r="D1047" s="2" t="s">
        <v>155</v>
      </c>
      <c r="E1047" s="2" t="s">
        <v>155</v>
      </c>
      <c r="F1047" s="30">
        <v>45809</v>
      </c>
      <c r="G1047" s="2">
        <f>DAY(EOMONTH(TA[[#This Row],[Month Year]],0))</f>
        <v>30</v>
      </c>
      <c r="H1047" s="21">
        <v>45817</v>
      </c>
      <c r="I1047" s="32">
        <f>IFERROR(VLOOKUP(TA[[#This Row],[Date]],Raw_Data[[Date]:[Sunset Time (POA&lt;20 W/m2)]],3,0),"")</f>
        <v>0.27847222222222223</v>
      </c>
      <c r="J1047" s="32">
        <f>IFERROR(VLOOKUP(TA[[#This Row],[Date]],Raw_Data[[Date]:[Sunset Time (POA&lt;20 W/m2)]],4,0),"")</f>
        <v>0.77916666666666667</v>
      </c>
      <c r="K1047" s="27">
        <f>IFERROR((TA[[#This Row],[Sunset Time (POA&lt;20 W/m2)]]-TA[[#This Row],[Sunrise Time (POA&gt;20 W/m2)]])*24,"")</f>
        <v>12.016666666666666</v>
      </c>
      <c r="L1047" s="2" t="s">
        <v>303</v>
      </c>
      <c r="M1047" s="33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321</v>
      </c>
      <c r="Q1047" s="2" t="s">
        <v>314</v>
      </c>
      <c r="R1047">
        <v>26</v>
      </c>
      <c r="S1047" s="2">
        <v>37</v>
      </c>
      <c r="T1047" t="s">
        <v>288</v>
      </c>
      <c r="U1047" t="s">
        <v>291</v>
      </c>
      <c r="V1047" t="s">
        <v>292</v>
      </c>
      <c r="W1047" s="32"/>
      <c r="X1047" s="32"/>
      <c r="Y1047" s="26"/>
      <c r="Z1047" s="26"/>
      <c r="AA1047" s="27">
        <f>IF(TA[[#This Row],[Work Start time on Fault]]="NA","",(TA[[#This Row],[Fault Acknowledgement Time ]]-TA[[#This Row],[Fault Time]])*24)</f>
        <v>0</v>
      </c>
      <c r="AB1047" s="27">
        <f>(TA[[#This Row],[Work Start time on Fault]]-TA[[#This Row],[Fault Time]])*24</f>
        <v>0</v>
      </c>
      <c r="AC1047" s="26">
        <f>(TA[[#This Row],[Work Completion time on fault]]-TA[[#This Row],[Fault Time]])*24</f>
        <v>0</v>
      </c>
      <c r="AD1047" s="27">
        <f>IFERROR((TA[[#This Row],[Work Completion time on fault]]-TA[[#This Row],[Fault Time]])*24,"")</f>
        <v>0</v>
      </c>
      <c r="AE1047" t="s">
        <v>319</v>
      </c>
      <c r="AF1047" t="s">
        <v>247</v>
      </c>
      <c r="AG1047" s="2"/>
      <c r="AH1047" s="35">
        <f>1-COS(RADIANS(TA[[#This Row],[Avg. Target Angle during Fault Time (Radians)]]-TA[[#This Row],[Angle of affected equipment ]]))</f>
        <v>0.11705240714107301</v>
      </c>
      <c r="AI1047" s="27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43">
        <f t="shared" si="103"/>
        <v>2026</v>
      </c>
      <c r="C1048" s="116">
        <f t="shared" si="104"/>
        <v>2025</v>
      </c>
      <c r="D1048" s="2" t="s">
        <v>155</v>
      </c>
      <c r="E1048" s="2" t="s">
        <v>155</v>
      </c>
      <c r="F1048" s="30">
        <v>45809</v>
      </c>
      <c r="G1048" s="2">
        <f>DAY(EOMONTH(TA[[#This Row],[Month Year]],0))</f>
        <v>30</v>
      </c>
      <c r="H1048" s="21">
        <v>45817</v>
      </c>
      <c r="I1048" s="32">
        <f>IFERROR(VLOOKUP(TA[[#This Row],[Date]],Raw_Data[[Date]:[Sunset Time (POA&lt;20 W/m2)]],3,0),"")</f>
        <v>0.27847222222222223</v>
      </c>
      <c r="J1048" s="32">
        <f>IFERROR(VLOOKUP(TA[[#This Row],[Date]],Raw_Data[[Date]:[Sunset Time (POA&lt;20 W/m2)]],4,0),"")</f>
        <v>0.77916666666666667</v>
      </c>
      <c r="K1048" s="27">
        <f>IFERROR((TA[[#This Row],[Sunset Time (POA&lt;20 W/m2)]]-TA[[#This Row],[Sunrise Time (POA&gt;20 W/m2)]])*24,"")</f>
        <v>12.016666666666666</v>
      </c>
      <c r="L1048" s="2" t="s">
        <v>303</v>
      </c>
      <c r="M1048" s="33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321</v>
      </c>
      <c r="Q1048" s="2" t="s">
        <v>314</v>
      </c>
      <c r="R1048">
        <v>27</v>
      </c>
      <c r="S1048" s="2">
        <v>42</v>
      </c>
      <c r="T1048" t="s">
        <v>288</v>
      </c>
      <c r="U1048" t="s">
        <v>291</v>
      </c>
      <c r="V1048" t="s">
        <v>292</v>
      </c>
      <c r="W1048" s="32">
        <f>IFERROR(VLOOKUP(TA[[#This Row],[Date]],Raw_Data[[Date]:[Sunset Time (POA&lt;20 W/m2)]],3,0),"")</f>
        <v>0.27847222222222223</v>
      </c>
      <c r="X1048" s="32">
        <f>IFERROR(VLOOKUP(TA[[#This Row],[Date]],Raw_Data[[Date]:[Sunset Time (POA&lt;20 W/m2)]],3,0),"")</f>
        <v>0.27847222222222223</v>
      </c>
      <c r="Y1048" s="26"/>
      <c r="Z1048" s="26">
        <v>0.76041666666666663</v>
      </c>
      <c r="AA1048" s="27">
        <f>IF(TA[[#This Row],[Work Start time on Fault]]="NA","",(TA[[#This Row],[Fault Acknowledgement Time ]]-TA[[#This Row],[Fault Time]])*24)</f>
        <v>0</v>
      </c>
      <c r="AB1048" s="27">
        <f>(TA[[#This Row],[Work Start time on Fault]]-TA[[#This Row],[Fault Time]])*24</f>
        <v>-6.6833333333333336</v>
      </c>
      <c r="AC1048" s="26">
        <f>(TA[[#This Row],[Work Completion time on fault]]-TA[[#This Row],[Fault Time]])*24</f>
        <v>11.566666666666666</v>
      </c>
      <c r="AD1048" s="27">
        <f>IFERROR((TA[[#This Row],[Work Completion time on fault]]-TA[[#This Row],[Fault Time]])*24,"")</f>
        <v>11.566666666666666</v>
      </c>
      <c r="AE1048" t="s">
        <v>300</v>
      </c>
      <c r="AF1048" t="s">
        <v>247</v>
      </c>
      <c r="AG1048" s="2"/>
      <c r="AH1048" s="35">
        <f>1-COS(RADIANS(TA[[#This Row],[Avg. Target Angle during Fault Time (Radians)]]-TA[[#This Row],[Angle of affected equipment ]]))</f>
        <v>0.11705240714107301</v>
      </c>
      <c r="AI1048" s="27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43">
        <f t="shared" ref="B1049:B1061" si="105">YEAR(H1049)+IF(MONTH(H1049)&gt;=4,1,0)</f>
        <v>2026</v>
      </c>
      <c r="C1049" s="116">
        <f t="shared" ref="C1049:C1061" si="106">YEAR(H1049)</f>
        <v>2025</v>
      </c>
      <c r="D1049" s="2" t="s">
        <v>155</v>
      </c>
      <c r="E1049" s="2" t="s">
        <v>155</v>
      </c>
      <c r="F1049" s="30">
        <v>45809</v>
      </c>
      <c r="G1049" s="2">
        <f>DAY(EOMONTH(TA[[#This Row],[Month Year]],0))</f>
        <v>30</v>
      </c>
      <c r="H1049" s="21">
        <v>45818</v>
      </c>
      <c r="I1049" s="32">
        <f>IFERROR(VLOOKUP(TA[[#This Row],[Date]],Raw_Data[[Date]:[Sunset Time (POA&lt;20 W/m2)]],3,0),"")</f>
        <v>0.25138888888888888</v>
      </c>
      <c r="J1049" s="32">
        <f>IFERROR(VLOOKUP(TA[[#This Row],[Date]],Raw_Data[[Date]:[Sunset Time (POA&lt;20 W/m2)]],4,0),"")</f>
        <v>0.77777777777777779</v>
      </c>
      <c r="K1049" s="27">
        <f>IFERROR((TA[[#This Row],[Sunset Time (POA&lt;20 W/m2)]]-TA[[#This Row],[Sunrise Time (POA&gt;20 W/m2)]])*24,"")</f>
        <v>12.633333333333333</v>
      </c>
      <c r="L1049" s="2" t="s">
        <v>285</v>
      </c>
      <c r="M1049" s="33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14" t="s">
        <v>309</v>
      </c>
      <c r="Q1049" s="113" t="s">
        <v>309</v>
      </c>
      <c r="R1049">
        <v>131</v>
      </c>
      <c r="S1049" s="2">
        <v>38</v>
      </c>
      <c r="T1049" t="s">
        <v>286</v>
      </c>
      <c r="U1049" t="s">
        <v>291</v>
      </c>
      <c r="V1049" t="s">
        <v>289</v>
      </c>
      <c r="W1049" s="32"/>
      <c r="X1049" s="32"/>
      <c r="Y1049" s="26"/>
      <c r="Z1049" s="26"/>
      <c r="AA1049" s="27">
        <f>IF(TA[[#This Row],[Work Start time on Fault]]="NA","",(TA[[#This Row],[Fault Acknowledgement Time ]]-TA[[#This Row],[Fault Time]])*24)</f>
        <v>0</v>
      </c>
      <c r="AB1049" s="27">
        <f>(TA[[#This Row],[Work Start time on Fault]]-TA[[#This Row],[Fault Time]])*24</f>
        <v>0</v>
      </c>
      <c r="AC1049" s="26">
        <f>(TA[[#This Row],[Work Completion time on fault]]-TA[[#This Row],[Fault Time]])*24</f>
        <v>0</v>
      </c>
      <c r="AD1049" s="27">
        <f>IFERROR((TA[[#This Row],[Work Completion time on fault]]-TA[[#This Row],[Fault Time]])*24,"")</f>
        <v>0</v>
      </c>
      <c r="AE1049" t="s">
        <v>319</v>
      </c>
      <c r="AF1049" t="s">
        <v>247</v>
      </c>
      <c r="AG1049" s="2"/>
      <c r="AH1049" s="35">
        <f>1-COS(RADIANS(TA[[#This Row],[Avg. Target Angle during Fault Time (Radians)]]-TA[[#This Row],[Angle of affected equipment ]]))</f>
        <v>0.11705240714107301</v>
      </c>
      <c r="AI1049" s="27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43">
        <f t="shared" si="105"/>
        <v>2026</v>
      </c>
      <c r="C1050" s="116">
        <f t="shared" si="106"/>
        <v>2025</v>
      </c>
      <c r="D1050" s="2" t="s">
        <v>155</v>
      </c>
      <c r="E1050" s="2" t="s">
        <v>155</v>
      </c>
      <c r="F1050" s="30">
        <v>45809</v>
      </c>
      <c r="G1050" s="2">
        <f>DAY(EOMONTH(TA[[#This Row],[Month Year]],0))</f>
        <v>30</v>
      </c>
      <c r="H1050" s="21">
        <v>45818</v>
      </c>
      <c r="I1050" s="32">
        <f>IFERROR(VLOOKUP(TA[[#This Row],[Date]],Raw_Data[[Date]:[Sunset Time (POA&lt;20 W/m2)]],3,0),"")</f>
        <v>0.25138888888888888</v>
      </c>
      <c r="J1050" s="32">
        <f>IFERROR(VLOOKUP(TA[[#This Row],[Date]],Raw_Data[[Date]:[Sunset Time (POA&lt;20 W/m2)]],4,0),"")</f>
        <v>0.77777777777777779</v>
      </c>
      <c r="K1050" s="27">
        <f>IFERROR((TA[[#This Row],[Sunset Time (POA&lt;20 W/m2)]]-TA[[#This Row],[Sunrise Time (POA&gt;20 W/m2)]])*24,"")</f>
        <v>12.633333333333333</v>
      </c>
      <c r="L1050" s="2" t="s">
        <v>285</v>
      </c>
      <c r="M1050" s="33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14" t="s">
        <v>309</v>
      </c>
      <c r="Q1050" s="113" t="s">
        <v>309</v>
      </c>
      <c r="R1050">
        <v>131</v>
      </c>
      <c r="S1050" s="2">
        <v>39</v>
      </c>
      <c r="T1050" t="s">
        <v>286</v>
      </c>
      <c r="U1050" t="s">
        <v>291</v>
      </c>
      <c r="V1050" t="s">
        <v>289</v>
      </c>
      <c r="W1050" s="32"/>
      <c r="X1050" s="32"/>
      <c r="Y1050" s="26"/>
      <c r="Z1050" s="26"/>
      <c r="AA1050" s="27">
        <f>IF(TA[[#This Row],[Work Start time on Fault]]="NA","",(TA[[#This Row],[Fault Acknowledgement Time ]]-TA[[#This Row],[Fault Time]])*24)</f>
        <v>0</v>
      </c>
      <c r="AB1050" s="27">
        <f>(TA[[#This Row],[Work Start time on Fault]]-TA[[#This Row],[Fault Time]])*24</f>
        <v>0</v>
      </c>
      <c r="AC1050" s="26">
        <f>(TA[[#This Row],[Work Completion time on fault]]-TA[[#This Row],[Fault Time]])*24</f>
        <v>0</v>
      </c>
      <c r="AD1050" s="27">
        <f>IFERROR((TA[[#This Row],[Work Completion time on fault]]-TA[[#This Row],[Fault Time]])*24,"")</f>
        <v>0</v>
      </c>
      <c r="AE1050" t="s">
        <v>319</v>
      </c>
      <c r="AF1050" t="s">
        <v>247</v>
      </c>
      <c r="AG1050" s="2"/>
      <c r="AH1050" s="35">
        <f>1-COS(RADIANS(TA[[#This Row],[Avg. Target Angle during Fault Time (Radians)]]-TA[[#This Row],[Angle of affected equipment ]]))</f>
        <v>0.11705240714107301</v>
      </c>
      <c r="AI1050" s="27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43">
        <f t="shared" si="105"/>
        <v>2026</v>
      </c>
      <c r="C1051" s="116">
        <f t="shared" si="106"/>
        <v>2025</v>
      </c>
      <c r="D1051" s="2" t="s">
        <v>155</v>
      </c>
      <c r="E1051" s="2" t="s">
        <v>155</v>
      </c>
      <c r="F1051" s="30">
        <v>45809</v>
      </c>
      <c r="G1051" s="2">
        <f>DAY(EOMONTH(TA[[#This Row],[Month Year]],0))</f>
        <v>30</v>
      </c>
      <c r="H1051" s="21">
        <v>45818</v>
      </c>
      <c r="I1051" s="32">
        <f>IFERROR(VLOOKUP(TA[[#This Row],[Date]],Raw_Data[[Date]:[Sunset Time (POA&lt;20 W/m2)]],3,0),"")</f>
        <v>0.25138888888888888</v>
      </c>
      <c r="J1051" s="32">
        <f>IFERROR(VLOOKUP(TA[[#This Row],[Date]],Raw_Data[[Date]:[Sunset Time (POA&lt;20 W/m2)]],4,0),"")</f>
        <v>0.77777777777777779</v>
      </c>
      <c r="K1051" s="27">
        <f>IFERROR((TA[[#This Row],[Sunset Time (POA&lt;20 W/m2)]]-TA[[#This Row],[Sunrise Time (POA&gt;20 W/m2)]])*24,"")</f>
        <v>12.633333333333333</v>
      </c>
      <c r="L1051" s="2" t="s">
        <v>287</v>
      </c>
      <c r="M1051" s="33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14" t="s">
        <v>309</v>
      </c>
      <c r="Q1051" s="2" t="s">
        <v>312</v>
      </c>
      <c r="R1051">
        <v>133</v>
      </c>
      <c r="S1051" s="2">
        <v>26</v>
      </c>
      <c r="T1051" t="s">
        <v>288</v>
      </c>
      <c r="U1051" t="s">
        <v>291</v>
      </c>
      <c r="V1051" t="s">
        <v>305</v>
      </c>
      <c r="W1051" s="32">
        <f>IFERROR(VLOOKUP(TA[[#This Row],[Date]],Raw_Data[[Date]:[Sunset Time (POA&lt;20 W/m2)]],3,0),"")</f>
        <v>0.25138888888888888</v>
      </c>
      <c r="X1051" s="32">
        <f>IFERROR(VLOOKUP(TA[[#This Row],[Date]],Raw_Data[[Date]:[Sunset Time (POA&lt;20 W/m2)]],3,0),"")</f>
        <v>0.25138888888888888</v>
      </c>
      <c r="Y1051" s="26"/>
      <c r="Z1051" s="26">
        <v>0.76041666666666663</v>
      </c>
      <c r="AA1051" s="27">
        <f>IF(TA[[#This Row],[Work Start time on Fault]]="NA","",(TA[[#This Row],[Fault Acknowledgement Time ]]-TA[[#This Row],[Fault Time]])*24)</f>
        <v>0</v>
      </c>
      <c r="AB1051" s="27">
        <f>(TA[[#This Row],[Work Start time on Fault]]-TA[[#This Row],[Fault Time]])*24</f>
        <v>-6.0333333333333332</v>
      </c>
      <c r="AC1051" s="26">
        <f>(TA[[#This Row],[Work Completion time on fault]]-TA[[#This Row],[Fault Time]])*24</f>
        <v>12.216666666666665</v>
      </c>
      <c r="AD1051" s="27">
        <f>IFERROR((TA[[#This Row],[Work Completion time on fault]]-TA[[#This Row],[Fault Time]])*24,"")</f>
        <v>12.216666666666665</v>
      </c>
      <c r="AE1051" t="s">
        <v>319</v>
      </c>
      <c r="AF1051" t="s">
        <v>247</v>
      </c>
      <c r="AG1051" s="2"/>
      <c r="AH1051" s="35">
        <f>1-COS(RADIANS(TA[[#This Row],[Avg. Target Angle during Fault Time (Radians)]]-TA[[#This Row],[Angle of affected equipment ]]))</f>
        <v>0.11705240714107301</v>
      </c>
      <c r="AI1051" s="27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43">
        <f t="shared" si="105"/>
        <v>2026</v>
      </c>
      <c r="C1052" s="116">
        <f t="shared" si="106"/>
        <v>2025</v>
      </c>
      <c r="D1052" s="2" t="s">
        <v>155</v>
      </c>
      <c r="E1052" s="2" t="s">
        <v>155</v>
      </c>
      <c r="F1052" s="30">
        <v>45809</v>
      </c>
      <c r="G1052" s="2">
        <f>DAY(EOMONTH(TA[[#This Row],[Month Year]],0))</f>
        <v>30</v>
      </c>
      <c r="H1052" s="21">
        <v>45818</v>
      </c>
      <c r="I1052" s="32">
        <f>IFERROR(VLOOKUP(TA[[#This Row],[Date]],Raw_Data[[Date]:[Sunset Time (POA&lt;20 W/m2)]],3,0),"")</f>
        <v>0.25138888888888888</v>
      </c>
      <c r="J1052" s="32">
        <f>IFERROR(VLOOKUP(TA[[#This Row],[Date]],Raw_Data[[Date]:[Sunset Time (POA&lt;20 W/m2)]],4,0),"")</f>
        <v>0.77777777777777779</v>
      </c>
      <c r="K1052" s="27">
        <f>IFERROR((TA[[#This Row],[Sunset Time (POA&lt;20 W/m2)]]-TA[[#This Row],[Sunrise Time (POA&gt;20 W/m2)]])*24,"")</f>
        <v>12.633333333333333</v>
      </c>
      <c r="L1052" s="2" t="s">
        <v>285</v>
      </c>
      <c r="M1052" s="33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14" t="s">
        <v>307</v>
      </c>
      <c r="Q1052" s="113" t="s">
        <v>308</v>
      </c>
      <c r="R1052">
        <v>7</v>
      </c>
      <c r="S1052" s="2">
        <v>32</v>
      </c>
      <c r="T1052" t="s">
        <v>286</v>
      </c>
      <c r="U1052" t="s">
        <v>291</v>
      </c>
      <c r="V1052" t="s">
        <v>289</v>
      </c>
      <c r="W1052" s="32"/>
      <c r="X1052" s="32"/>
      <c r="Y1052" s="26"/>
      <c r="Z1052" s="26"/>
      <c r="AA1052" s="27">
        <f>IF(TA[[#This Row],[Work Start time on Fault]]="NA","",(TA[[#This Row],[Fault Acknowledgement Time ]]-TA[[#This Row],[Fault Time]])*24)</f>
        <v>0</v>
      </c>
      <c r="AB1052" s="27">
        <f>(TA[[#This Row],[Work Start time on Fault]]-TA[[#This Row],[Fault Time]])*24</f>
        <v>0</v>
      </c>
      <c r="AC1052" s="26">
        <f>(TA[[#This Row],[Work Completion time on fault]]-TA[[#This Row],[Fault Time]])*24</f>
        <v>0</v>
      </c>
      <c r="AD1052" s="27">
        <f>IFERROR((TA[[#This Row],[Work Completion time on fault]]-TA[[#This Row],[Fault Time]])*24,"")</f>
        <v>0</v>
      </c>
      <c r="AE1052" t="s">
        <v>319</v>
      </c>
      <c r="AF1052" t="s">
        <v>247</v>
      </c>
      <c r="AG1052" s="2"/>
      <c r="AH1052" s="35">
        <f>1-COS(RADIANS(TA[[#This Row],[Avg. Target Angle during Fault Time (Radians)]]-TA[[#This Row],[Angle of affected equipment ]]))</f>
        <v>0.11705240714107301</v>
      </c>
      <c r="AI1052" s="27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43">
        <f t="shared" si="105"/>
        <v>2026</v>
      </c>
      <c r="C1053" s="116">
        <f t="shared" si="106"/>
        <v>2025</v>
      </c>
      <c r="D1053" s="2" t="s">
        <v>155</v>
      </c>
      <c r="E1053" s="2" t="s">
        <v>155</v>
      </c>
      <c r="F1053" s="30">
        <v>45809</v>
      </c>
      <c r="G1053" s="2">
        <f>DAY(EOMONTH(TA[[#This Row],[Month Year]],0))</f>
        <v>30</v>
      </c>
      <c r="H1053" s="21">
        <v>45818</v>
      </c>
      <c r="I1053" s="32">
        <f>IFERROR(VLOOKUP(TA[[#This Row],[Date]],Raw_Data[[Date]:[Sunset Time (POA&lt;20 W/m2)]],3,0),"")</f>
        <v>0.25138888888888888</v>
      </c>
      <c r="J1053" s="32">
        <f>IFERROR(VLOOKUP(TA[[#This Row],[Date]],Raw_Data[[Date]:[Sunset Time (POA&lt;20 W/m2)]],4,0),"")</f>
        <v>0.77777777777777779</v>
      </c>
      <c r="K1053" s="27">
        <f>IFERROR((TA[[#This Row],[Sunset Time (POA&lt;20 W/m2)]]-TA[[#This Row],[Sunrise Time (POA&gt;20 W/m2)]])*24,"")</f>
        <v>12.633333333333333</v>
      </c>
      <c r="L1053" s="2" t="s">
        <v>285</v>
      </c>
      <c r="M1053" s="33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14" t="s">
        <v>306</v>
      </c>
      <c r="Q1053" s="113" t="s">
        <v>310</v>
      </c>
      <c r="R1053">
        <v>166</v>
      </c>
      <c r="S1053" s="2">
        <v>91</v>
      </c>
      <c r="T1053" t="s">
        <v>286</v>
      </c>
      <c r="U1053" t="s">
        <v>291</v>
      </c>
      <c r="V1053" t="s">
        <v>289</v>
      </c>
      <c r="W1053" s="32"/>
      <c r="X1053" s="32"/>
      <c r="Y1053" s="26"/>
      <c r="Z1053" s="26"/>
      <c r="AA1053" s="27">
        <f>IF(TA[[#This Row],[Work Start time on Fault]]="NA","",(TA[[#This Row],[Fault Acknowledgement Time ]]-TA[[#This Row],[Fault Time]])*24)</f>
        <v>0</v>
      </c>
      <c r="AB1053" s="27">
        <f>(TA[[#This Row],[Work Start time on Fault]]-TA[[#This Row],[Fault Time]])*24</f>
        <v>0</v>
      </c>
      <c r="AC1053" s="26">
        <f>(TA[[#This Row],[Work Completion time on fault]]-TA[[#This Row],[Fault Time]])*24</f>
        <v>0</v>
      </c>
      <c r="AD1053" s="27">
        <f>IFERROR((TA[[#This Row],[Work Completion time on fault]]-TA[[#This Row],[Fault Time]])*24,"")</f>
        <v>0</v>
      </c>
      <c r="AE1053" t="s">
        <v>319</v>
      </c>
      <c r="AF1053" t="s">
        <v>247</v>
      </c>
      <c r="AG1053" s="2"/>
      <c r="AH1053" s="35">
        <f>1-COS(RADIANS(TA[[#This Row],[Avg. Target Angle during Fault Time (Radians)]]-TA[[#This Row],[Angle of affected equipment ]]))</f>
        <v>0.11705240714107301</v>
      </c>
      <c r="AI1053" s="27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43">
        <f t="shared" si="105"/>
        <v>2026</v>
      </c>
      <c r="C1054" s="116">
        <f t="shared" si="106"/>
        <v>2025</v>
      </c>
      <c r="D1054" s="2" t="s">
        <v>155</v>
      </c>
      <c r="E1054" s="2" t="s">
        <v>155</v>
      </c>
      <c r="F1054" s="30">
        <v>45809</v>
      </c>
      <c r="G1054" s="2">
        <f>DAY(EOMONTH(TA[[#This Row],[Month Year]],0))</f>
        <v>30</v>
      </c>
      <c r="H1054" s="21">
        <v>45818</v>
      </c>
      <c r="I1054" s="32">
        <f>IFERROR(VLOOKUP(TA[[#This Row],[Date]],Raw_Data[[Date]:[Sunset Time (POA&lt;20 W/m2)]],3,0),"")</f>
        <v>0.25138888888888888</v>
      </c>
      <c r="J1054" s="32">
        <f>IFERROR(VLOOKUP(TA[[#This Row],[Date]],Raw_Data[[Date]:[Sunset Time (POA&lt;20 W/m2)]],4,0),"")</f>
        <v>0.77777777777777779</v>
      </c>
      <c r="K1054" s="27">
        <f>IFERROR((TA[[#This Row],[Sunset Time (POA&lt;20 W/m2)]]-TA[[#This Row],[Sunrise Time (POA&gt;20 W/m2)]])*24,"")</f>
        <v>12.633333333333333</v>
      </c>
      <c r="L1054" s="2" t="s">
        <v>285</v>
      </c>
      <c r="M1054" s="33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14" t="s">
        <v>307</v>
      </c>
      <c r="Q1054" s="113" t="s">
        <v>307</v>
      </c>
      <c r="R1054">
        <v>117</v>
      </c>
      <c r="S1054" s="2">
        <v>20</v>
      </c>
      <c r="T1054" t="s">
        <v>286</v>
      </c>
      <c r="U1054" t="s">
        <v>291</v>
      </c>
      <c r="V1054" t="s">
        <v>289</v>
      </c>
      <c r="W1054" s="32"/>
      <c r="X1054" s="32"/>
      <c r="Y1054" s="26"/>
      <c r="Z1054" s="26"/>
      <c r="AA1054" s="27">
        <f>IF(TA[[#This Row],[Work Start time on Fault]]="NA","",(TA[[#This Row],[Fault Acknowledgement Time ]]-TA[[#This Row],[Fault Time]])*24)</f>
        <v>0</v>
      </c>
      <c r="AB1054" s="27">
        <f>(TA[[#This Row],[Work Start time on Fault]]-TA[[#This Row],[Fault Time]])*24</f>
        <v>0</v>
      </c>
      <c r="AC1054" s="26">
        <f>(TA[[#This Row],[Work Completion time on fault]]-TA[[#This Row],[Fault Time]])*24</f>
        <v>0</v>
      </c>
      <c r="AD1054" s="27">
        <f>IFERROR((TA[[#This Row],[Work Completion time on fault]]-TA[[#This Row],[Fault Time]])*24,"")</f>
        <v>0</v>
      </c>
      <c r="AE1054" t="s">
        <v>319</v>
      </c>
      <c r="AF1054" t="s">
        <v>247</v>
      </c>
      <c r="AG1054" s="2"/>
      <c r="AH1054" s="35">
        <f>1-COS(RADIANS(TA[[#This Row],[Avg. Target Angle during Fault Time (Radians)]]-TA[[#This Row],[Angle of affected equipment ]]))</f>
        <v>0.11705240714107301</v>
      </c>
      <c r="AI1054" s="27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43">
        <f t="shared" si="105"/>
        <v>2026</v>
      </c>
      <c r="C1055" s="116">
        <f t="shared" si="106"/>
        <v>2025</v>
      </c>
      <c r="D1055" s="2" t="s">
        <v>155</v>
      </c>
      <c r="E1055" s="2" t="s">
        <v>155</v>
      </c>
      <c r="F1055" s="30">
        <v>45809</v>
      </c>
      <c r="G1055" s="2">
        <f>DAY(EOMONTH(TA[[#This Row],[Month Year]],0))</f>
        <v>30</v>
      </c>
      <c r="H1055" s="21">
        <v>45818</v>
      </c>
      <c r="I1055" s="32">
        <f>IFERROR(VLOOKUP(TA[[#This Row],[Date]],Raw_Data[[Date]:[Sunset Time (POA&lt;20 W/m2)]],3,0),"")</f>
        <v>0.25138888888888888</v>
      </c>
      <c r="J1055" s="32">
        <f>IFERROR(VLOOKUP(TA[[#This Row],[Date]],Raw_Data[[Date]:[Sunset Time (POA&lt;20 W/m2)]],4,0),"")</f>
        <v>0.77777777777777779</v>
      </c>
      <c r="K1055" s="27">
        <f>IFERROR((TA[[#This Row],[Sunset Time (POA&lt;20 W/m2)]]-TA[[#This Row],[Sunrise Time (POA&gt;20 W/m2)]])*24,"")</f>
        <v>12.633333333333333</v>
      </c>
      <c r="L1055" s="2" t="s">
        <v>285</v>
      </c>
      <c r="M1055" s="33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14" t="s">
        <v>307</v>
      </c>
      <c r="Q1055" s="113" t="s">
        <v>307</v>
      </c>
      <c r="R1055">
        <v>118</v>
      </c>
      <c r="S1055" s="2">
        <v>22</v>
      </c>
      <c r="T1055" t="s">
        <v>286</v>
      </c>
      <c r="U1055" t="s">
        <v>291</v>
      </c>
      <c r="V1055" t="s">
        <v>289</v>
      </c>
      <c r="W1055" s="32"/>
      <c r="X1055" s="32"/>
      <c r="Y1055" s="26"/>
      <c r="Z1055" s="26"/>
      <c r="AA1055" s="27">
        <f>IF(TA[[#This Row],[Work Start time on Fault]]="NA","",(TA[[#This Row],[Fault Acknowledgement Time ]]-TA[[#This Row],[Fault Time]])*24)</f>
        <v>0</v>
      </c>
      <c r="AB1055" s="27">
        <f>(TA[[#This Row],[Work Start time on Fault]]-TA[[#This Row],[Fault Time]])*24</f>
        <v>0</v>
      </c>
      <c r="AC1055" s="26">
        <f>(TA[[#This Row],[Work Completion time on fault]]-TA[[#This Row],[Fault Time]])*24</f>
        <v>0</v>
      </c>
      <c r="AD1055" s="27">
        <f>IFERROR((TA[[#This Row],[Work Completion time on fault]]-TA[[#This Row],[Fault Time]])*24,"")</f>
        <v>0</v>
      </c>
      <c r="AE1055" t="s">
        <v>319</v>
      </c>
      <c r="AF1055" t="s">
        <v>247</v>
      </c>
      <c r="AG1055" s="2"/>
      <c r="AH1055" s="35">
        <f>1-COS(RADIANS(TA[[#This Row],[Avg. Target Angle during Fault Time (Radians)]]-TA[[#This Row],[Angle of affected equipment ]]))</f>
        <v>0.11705240714107301</v>
      </c>
      <c r="AI1055" s="27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43">
        <f t="shared" si="105"/>
        <v>2026</v>
      </c>
      <c r="C1056" s="116">
        <f t="shared" si="106"/>
        <v>2025</v>
      </c>
      <c r="D1056" s="2" t="s">
        <v>155</v>
      </c>
      <c r="E1056" s="2" t="s">
        <v>155</v>
      </c>
      <c r="F1056" s="30">
        <v>45809</v>
      </c>
      <c r="G1056" s="2">
        <f>DAY(EOMONTH(TA[[#This Row],[Month Year]],0))</f>
        <v>30</v>
      </c>
      <c r="H1056" s="21">
        <v>45818</v>
      </c>
      <c r="I1056" s="32">
        <f>IFERROR(VLOOKUP(TA[[#This Row],[Date]],Raw_Data[[Date]:[Sunset Time (POA&lt;20 W/m2)]],3,0),"")</f>
        <v>0.25138888888888888</v>
      </c>
      <c r="J1056" s="32">
        <f>IFERROR(VLOOKUP(TA[[#This Row],[Date]],Raw_Data[[Date]:[Sunset Time (POA&lt;20 W/m2)]],4,0),"")</f>
        <v>0.77777777777777779</v>
      </c>
      <c r="K1056" s="27">
        <f>IFERROR((TA[[#This Row],[Sunset Time (POA&lt;20 W/m2)]]-TA[[#This Row],[Sunrise Time (POA&gt;20 W/m2)]])*24,"")</f>
        <v>12.633333333333333</v>
      </c>
      <c r="L1056" s="2" t="s">
        <v>287</v>
      </c>
      <c r="M1056" s="33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314</v>
      </c>
      <c r="Q1056" s="2" t="s">
        <v>320</v>
      </c>
      <c r="R1056">
        <v>45</v>
      </c>
      <c r="S1056" s="2">
        <v>8</v>
      </c>
      <c r="T1056" t="s">
        <v>288</v>
      </c>
      <c r="U1056" t="s">
        <v>291</v>
      </c>
      <c r="V1056" t="s">
        <v>292</v>
      </c>
      <c r="W1056" s="32"/>
      <c r="X1056" s="32"/>
      <c r="Y1056" s="26"/>
      <c r="Z1056" s="26"/>
      <c r="AA1056" s="27">
        <f>IF(TA[[#This Row],[Work Start time on Fault]]="NA","",(TA[[#This Row],[Fault Acknowledgement Time ]]-TA[[#This Row],[Fault Time]])*24)</f>
        <v>0</v>
      </c>
      <c r="AB1056" s="27">
        <f>(TA[[#This Row],[Work Start time on Fault]]-TA[[#This Row],[Fault Time]])*24</f>
        <v>0</v>
      </c>
      <c r="AC1056" s="26">
        <f>(TA[[#This Row],[Work Completion time on fault]]-TA[[#This Row],[Fault Time]])*24</f>
        <v>0</v>
      </c>
      <c r="AD1056" s="27">
        <f>IFERROR((TA[[#This Row],[Work Completion time on fault]]-TA[[#This Row],[Fault Time]])*24,"")</f>
        <v>0</v>
      </c>
      <c r="AE1056" t="s">
        <v>319</v>
      </c>
      <c r="AF1056" t="s">
        <v>247</v>
      </c>
      <c r="AG1056" s="2"/>
      <c r="AH1056" s="35">
        <f>1-COS(RADIANS(TA[[#This Row],[Avg. Target Angle during Fault Time (Radians)]]-TA[[#This Row],[Angle of affected equipment ]]))</f>
        <v>0.11705240714107301</v>
      </c>
      <c r="AI1056" s="27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43">
        <f t="shared" si="105"/>
        <v>2026</v>
      </c>
      <c r="C1057" s="116">
        <f t="shared" si="106"/>
        <v>2025</v>
      </c>
      <c r="D1057" s="2" t="s">
        <v>155</v>
      </c>
      <c r="E1057" s="2" t="s">
        <v>155</v>
      </c>
      <c r="F1057" s="30">
        <v>45809</v>
      </c>
      <c r="G1057" s="2">
        <f>DAY(EOMONTH(TA[[#This Row],[Month Year]],0))</f>
        <v>30</v>
      </c>
      <c r="H1057" s="21">
        <v>45818</v>
      </c>
      <c r="I1057" s="32">
        <f>IFERROR(VLOOKUP(TA[[#This Row],[Date]],Raw_Data[[Date]:[Sunset Time (POA&lt;20 W/m2)]],3,0),"")</f>
        <v>0.25138888888888888</v>
      </c>
      <c r="J1057" s="32">
        <f>IFERROR(VLOOKUP(TA[[#This Row],[Date]],Raw_Data[[Date]:[Sunset Time (POA&lt;20 W/m2)]],4,0),"")</f>
        <v>0.77777777777777779</v>
      </c>
      <c r="K1057" s="27">
        <f>IFERROR((TA[[#This Row],[Sunset Time (POA&lt;20 W/m2)]]-TA[[#This Row],[Sunrise Time (POA&gt;20 W/m2)]])*24,"")</f>
        <v>12.633333333333333</v>
      </c>
      <c r="L1057" s="2" t="s">
        <v>287</v>
      </c>
      <c r="M1057" s="33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314</v>
      </c>
      <c r="Q1057" s="2" t="s">
        <v>320</v>
      </c>
      <c r="R1057">
        <v>47</v>
      </c>
      <c r="S1057" s="2">
        <v>18</v>
      </c>
      <c r="T1057" t="s">
        <v>288</v>
      </c>
      <c r="U1057" t="s">
        <v>291</v>
      </c>
      <c r="V1057" t="s">
        <v>292</v>
      </c>
      <c r="W1057" s="32"/>
      <c r="X1057" s="32"/>
      <c r="Y1057" s="26"/>
      <c r="Z1057" s="26"/>
      <c r="AA1057" s="27">
        <f>IF(TA[[#This Row],[Work Start time on Fault]]="NA","",(TA[[#This Row],[Fault Acknowledgement Time ]]-TA[[#This Row],[Fault Time]])*24)</f>
        <v>0</v>
      </c>
      <c r="AB1057" s="27">
        <f>(TA[[#This Row],[Work Start time on Fault]]-TA[[#This Row],[Fault Time]])*24</f>
        <v>0</v>
      </c>
      <c r="AC1057" s="26">
        <f>(TA[[#This Row],[Work Completion time on fault]]-TA[[#This Row],[Fault Time]])*24</f>
        <v>0</v>
      </c>
      <c r="AD1057" s="27">
        <f>IFERROR((TA[[#This Row],[Work Completion time on fault]]-TA[[#This Row],[Fault Time]])*24,"")</f>
        <v>0</v>
      </c>
      <c r="AE1057" t="s">
        <v>319</v>
      </c>
      <c r="AF1057" t="s">
        <v>247</v>
      </c>
      <c r="AG1057" s="2"/>
      <c r="AH1057" s="35">
        <f>1-COS(RADIANS(TA[[#This Row],[Avg. Target Angle during Fault Time (Radians)]]-TA[[#This Row],[Angle of affected equipment ]]))</f>
        <v>0.11705240714107301</v>
      </c>
      <c r="AI1057" s="27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43">
        <f t="shared" si="105"/>
        <v>2026</v>
      </c>
      <c r="C1058" s="116">
        <f t="shared" si="106"/>
        <v>2025</v>
      </c>
      <c r="D1058" s="2" t="s">
        <v>155</v>
      </c>
      <c r="E1058" s="2" t="s">
        <v>155</v>
      </c>
      <c r="F1058" s="30">
        <v>45809</v>
      </c>
      <c r="G1058" s="2">
        <f>DAY(EOMONTH(TA[[#This Row],[Month Year]],0))</f>
        <v>30</v>
      </c>
      <c r="H1058" s="21">
        <v>45818</v>
      </c>
      <c r="I1058" s="32">
        <f>IFERROR(VLOOKUP(TA[[#This Row],[Date]],Raw_Data[[Date]:[Sunset Time (POA&lt;20 W/m2)]],3,0),"")</f>
        <v>0.25138888888888888</v>
      </c>
      <c r="J1058" s="32">
        <f>IFERROR(VLOOKUP(TA[[#This Row],[Date]],Raw_Data[[Date]:[Sunset Time (POA&lt;20 W/m2)]],4,0),"")</f>
        <v>0.77777777777777779</v>
      </c>
      <c r="K1058" s="27">
        <f>IFERROR((TA[[#This Row],[Sunset Time (POA&lt;20 W/m2)]]-TA[[#This Row],[Sunrise Time (POA&gt;20 W/m2)]])*24,"")</f>
        <v>12.633333333333333</v>
      </c>
      <c r="L1058" s="2" t="s">
        <v>287</v>
      </c>
      <c r="M1058" s="33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321</v>
      </c>
      <c r="Q1058" s="2" t="s">
        <v>314</v>
      </c>
      <c r="R1058">
        <v>30</v>
      </c>
      <c r="S1058" s="2">
        <v>57</v>
      </c>
      <c r="T1058" t="s">
        <v>288</v>
      </c>
      <c r="U1058" t="s">
        <v>291</v>
      </c>
      <c r="V1058" t="s">
        <v>292</v>
      </c>
      <c r="W1058" s="32"/>
      <c r="X1058" s="32"/>
      <c r="Y1058" s="26"/>
      <c r="Z1058" s="26"/>
      <c r="AA1058" s="27">
        <f>IF(TA[[#This Row],[Work Start time on Fault]]="NA","",(TA[[#This Row],[Fault Acknowledgement Time ]]-TA[[#This Row],[Fault Time]])*24)</f>
        <v>0</v>
      </c>
      <c r="AB1058" s="27">
        <f>(TA[[#This Row],[Work Start time on Fault]]-TA[[#This Row],[Fault Time]])*24</f>
        <v>0</v>
      </c>
      <c r="AC1058" s="26">
        <f>(TA[[#This Row],[Work Completion time on fault]]-TA[[#This Row],[Fault Time]])*24</f>
        <v>0</v>
      </c>
      <c r="AD1058" s="27">
        <f>IFERROR((TA[[#This Row],[Work Completion time on fault]]-TA[[#This Row],[Fault Time]])*24,"")</f>
        <v>0</v>
      </c>
      <c r="AE1058" t="s">
        <v>319</v>
      </c>
      <c r="AF1058" t="s">
        <v>247</v>
      </c>
      <c r="AG1058" s="2"/>
      <c r="AH1058" s="35">
        <f>1-COS(RADIANS(TA[[#This Row],[Avg. Target Angle during Fault Time (Radians)]]-TA[[#This Row],[Angle of affected equipment ]]))</f>
        <v>0.11705240714107301</v>
      </c>
      <c r="AI1058" s="27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43">
        <f t="shared" si="105"/>
        <v>2026</v>
      </c>
      <c r="C1059" s="116">
        <f t="shared" si="106"/>
        <v>2025</v>
      </c>
      <c r="D1059" s="2" t="s">
        <v>155</v>
      </c>
      <c r="E1059" s="2" t="s">
        <v>155</v>
      </c>
      <c r="F1059" s="30">
        <v>45809</v>
      </c>
      <c r="G1059" s="2">
        <f>DAY(EOMONTH(TA[[#This Row],[Month Year]],0))</f>
        <v>30</v>
      </c>
      <c r="H1059" s="21">
        <v>45818</v>
      </c>
      <c r="I1059" s="32">
        <f>IFERROR(VLOOKUP(TA[[#This Row],[Date]],Raw_Data[[Date]:[Sunset Time (POA&lt;20 W/m2)]],3,0),"")</f>
        <v>0.25138888888888888</v>
      </c>
      <c r="J1059" s="32">
        <f>IFERROR(VLOOKUP(TA[[#This Row],[Date]],Raw_Data[[Date]:[Sunset Time (POA&lt;20 W/m2)]],4,0),"")</f>
        <v>0.77777777777777779</v>
      </c>
      <c r="K1059" s="27">
        <f>IFERROR((TA[[#This Row],[Sunset Time (POA&lt;20 W/m2)]]-TA[[#This Row],[Sunrise Time (POA&gt;20 W/m2)]])*24,"")</f>
        <v>12.633333333333333</v>
      </c>
      <c r="L1059" s="2" t="s">
        <v>287</v>
      </c>
      <c r="M1059" s="33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321</v>
      </c>
      <c r="Q1059" s="2" t="s">
        <v>314</v>
      </c>
      <c r="R1059">
        <v>31</v>
      </c>
      <c r="S1059" s="2">
        <v>61</v>
      </c>
      <c r="T1059" t="s">
        <v>288</v>
      </c>
      <c r="U1059" t="s">
        <v>291</v>
      </c>
      <c r="V1059" t="s">
        <v>292</v>
      </c>
      <c r="W1059" s="32"/>
      <c r="X1059" s="32"/>
      <c r="Y1059" s="26"/>
      <c r="Z1059" s="26"/>
      <c r="AA1059" s="27">
        <f>IF(TA[[#This Row],[Work Start time on Fault]]="NA","",(TA[[#This Row],[Fault Acknowledgement Time ]]-TA[[#This Row],[Fault Time]])*24)</f>
        <v>0</v>
      </c>
      <c r="AB1059" s="27">
        <f>(TA[[#This Row],[Work Start time on Fault]]-TA[[#This Row],[Fault Time]])*24</f>
        <v>0</v>
      </c>
      <c r="AC1059" s="26">
        <f>(TA[[#This Row],[Work Completion time on fault]]-TA[[#This Row],[Fault Time]])*24</f>
        <v>0</v>
      </c>
      <c r="AD1059" s="27">
        <f>IFERROR((TA[[#This Row],[Work Completion time on fault]]-TA[[#This Row],[Fault Time]])*24,"")</f>
        <v>0</v>
      </c>
      <c r="AE1059" t="s">
        <v>319</v>
      </c>
      <c r="AF1059" t="s">
        <v>247</v>
      </c>
      <c r="AG1059" s="2"/>
      <c r="AH1059" s="35">
        <f>1-COS(RADIANS(TA[[#This Row],[Avg. Target Angle during Fault Time (Radians)]]-TA[[#This Row],[Angle of affected equipment ]]))</f>
        <v>0.11705240714107301</v>
      </c>
      <c r="AI1059" s="27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43">
        <f t="shared" si="105"/>
        <v>2026</v>
      </c>
      <c r="C1060" s="116">
        <f t="shared" si="106"/>
        <v>2025</v>
      </c>
      <c r="D1060" s="2" t="s">
        <v>155</v>
      </c>
      <c r="E1060" s="2" t="s">
        <v>155</v>
      </c>
      <c r="F1060" s="30">
        <v>45809</v>
      </c>
      <c r="G1060" s="2">
        <f>DAY(EOMONTH(TA[[#This Row],[Month Year]],0))</f>
        <v>30</v>
      </c>
      <c r="H1060" s="21">
        <v>45818</v>
      </c>
      <c r="I1060" s="32">
        <f>IFERROR(VLOOKUP(TA[[#This Row],[Date]],Raw_Data[[Date]:[Sunset Time (POA&lt;20 W/m2)]],3,0),"")</f>
        <v>0.25138888888888888</v>
      </c>
      <c r="J1060" s="32">
        <f>IFERROR(VLOOKUP(TA[[#This Row],[Date]],Raw_Data[[Date]:[Sunset Time (POA&lt;20 W/m2)]],4,0),"")</f>
        <v>0.77777777777777779</v>
      </c>
      <c r="K1060" s="27">
        <f>IFERROR((TA[[#This Row],[Sunset Time (POA&lt;20 W/m2)]]-TA[[#This Row],[Sunrise Time (POA&gt;20 W/m2)]])*24,"")</f>
        <v>12.633333333333333</v>
      </c>
      <c r="L1060" s="2" t="s">
        <v>303</v>
      </c>
      <c r="M1060" s="33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321</v>
      </c>
      <c r="Q1060" s="2" t="s">
        <v>314</v>
      </c>
      <c r="R1060">
        <v>26</v>
      </c>
      <c r="S1060" s="2">
        <v>37</v>
      </c>
      <c r="T1060" t="s">
        <v>288</v>
      </c>
      <c r="U1060" t="s">
        <v>291</v>
      </c>
      <c r="V1060" t="s">
        <v>292</v>
      </c>
      <c r="W1060" s="32"/>
      <c r="X1060" s="32"/>
      <c r="Y1060" s="26"/>
      <c r="Z1060" s="26"/>
      <c r="AA1060" s="27">
        <f>IF(TA[[#This Row],[Work Start time on Fault]]="NA","",(TA[[#This Row],[Fault Acknowledgement Time ]]-TA[[#This Row],[Fault Time]])*24)</f>
        <v>0</v>
      </c>
      <c r="AB1060" s="27">
        <f>(TA[[#This Row],[Work Start time on Fault]]-TA[[#This Row],[Fault Time]])*24</f>
        <v>0</v>
      </c>
      <c r="AC1060" s="26">
        <f>(TA[[#This Row],[Work Completion time on fault]]-TA[[#This Row],[Fault Time]])*24</f>
        <v>0</v>
      </c>
      <c r="AD1060" s="27">
        <f>IFERROR((TA[[#This Row],[Work Completion time on fault]]-TA[[#This Row],[Fault Time]])*24,"")</f>
        <v>0</v>
      </c>
      <c r="AE1060" t="s">
        <v>319</v>
      </c>
      <c r="AF1060" t="s">
        <v>247</v>
      </c>
      <c r="AG1060" s="2"/>
      <c r="AH1060" s="35">
        <f>1-COS(RADIANS(TA[[#This Row],[Avg. Target Angle during Fault Time (Radians)]]-TA[[#This Row],[Angle of affected equipment ]]))</f>
        <v>0.11705240714107301</v>
      </c>
      <c r="AI1060" s="27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43">
        <f t="shared" si="105"/>
        <v>2026</v>
      </c>
      <c r="C1061" s="116">
        <f t="shared" si="106"/>
        <v>2025</v>
      </c>
      <c r="D1061" s="2" t="s">
        <v>155</v>
      </c>
      <c r="E1061" s="2" t="s">
        <v>155</v>
      </c>
      <c r="F1061" s="30">
        <v>45809</v>
      </c>
      <c r="G1061" s="2">
        <f>DAY(EOMONTH(TA[[#This Row],[Month Year]],0))</f>
        <v>30</v>
      </c>
      <c r="H1061" s="21">
        <v>45818</v>
      </c>
      <c r="I1061" s="32">
        <f>IFERROR(VLOOKUP(TA[[#This Row],[Date]],Raw_Data[[Date]:[Sunset Time (POA&lt;20 W/m2)]],3,0),"")</f>
        <v>0.25138888888888888</v>
      </c>
      <c r="J1061" s="32">
        <f>IFERROR(VLOOKUP(TA[[#This Row],[Date]],Raw_Data[[Date]:[Sunset Time (POA&lt;20 W/m2)]],4,0),"")</f>
        <v>0.77777777777777779</v>
      </c>
      <c r="K1061" s="27">
        <f>IFERROR((TA[[#This Row],[Sunset Time (POA&lt;20 W/m2)]]-TA[[#This Row],[Sunrise Time (POA&gt;20 W/m2)]])*24,"")</f>
        <v>12.633333333333333</v>
      </c>
      <c r="L1061" s="2" t="s">
        <v>303</v>
      </c>
      <c r="M1061" s="33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321</v>
      </c>
      <c r="Q1061" s="2" t="s">
        <v>314</v>
      </c>
      <c r="R1061">
        <v>27</v>
      </c>
      <c r="S1061" s="2">
        <v>42</v>
      </c>
      <c r="T1061" t="s">
        <v>288</v>
      </c>
      <c r="U1061" t="s">
        <v>291</v>
      </c>
      <c r="V1061" t="s">
        <v>292</v>
      </c>
      <c r="W1061" s="32">
        <f>IFERROR(VLOOKUP(TA[[#This Row],[Date]],Raw_Data[[Date]:[Sunset Time (POA&lt;20 W/m2)]],3,0),"")</f>
        <v>0.25138888888888888</v>
      </c>
      <c r="X1061" s="32">
        <f>IFERROR(VLOOKUP(TA[[#This Row],[Date]],Raw_Data[[Date]:[Sunset Time (POA&lt;20 W/m2)]],3,0),"")</f>
        <v>0.25138888888888888</v>
      </c>
      <c r="Y1061" s="26"/>
      <c r="Z1061" s="26">
        <v>0.76041666666666663</v>
      </c>
      <c r="AA1061" s="27">
        <f>IF(TA[[#This Row],[Work Start time on Fault]]="NA","",(TA[[#This Row],[Fault Acknowledgement Time ]]-TA[[#This Row],[Fault Time]])*24)</f>
        <v>0</v>
      </c>
      <c r="AB1061" s="27">
        <f>(TA[[#This Row],[Work Start time on Fault]]-TA[[#This Row],[Fault Time]])*24</f>
        <v>-6.0333333333333332</v>
      </c>
      <c r="AC1061" s="26">
        <f>(TA[[#This Row],[Work Completion time on fault]]-TA[[#This Row],[Fault Time]])*24</f>
        <v>12.216666666666665</v>
      </c>
      <c r="AD1061" s="27">
        <f>IFERROR((TA[[#This Row],[Work Completion time on fault]]-TA[[#This Row],[Fault Time]])*24,"")</f>
        <v>12.216666666666665</v>
      </c>
      <c r="AE1061" t="s">
        <v>300</v>
      </c>
      <c r="AF1061" t="s">
        <v>247</v>
      </c>
      <c r="AG1061" s="2"/>
      <c r="AH1061" s="35">
        <f>1-COS(RADIANS(TA[[#This Row],[Avg. Target Angle during Fault Time (Radians)]]-TA[[#This Row],[Angle of affected equipment ]]))</f>
        <v>0.11705240714107301</v>
      </c>
      <c r="AI1061" s="27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43">
        <f t="shared" ref="B1062:B1074" si="107">YEAR(H1062)+IF(MONTH(H1062)&gt;=4,1,0)</f>
        <v>2026</v>
      </c>
      <c r="C1062" s="116">
        <f t="shared" ref="C1062:C1074" si="108">YEAR(H1062)</f>
        <v>2025</v>
      </c>
      <c r="D1062" s="2" t="s">
        <v>155</v>
      </c>
      <c r="E1062" s="2" t="s">
        <v>155</v>
      </c>
      <c r="F1062" s="30">
        <v>45809</v>
      </c>
      <c r="G1062" s="2">
        <f>DAY(EOMONTH(TA[[#This Row],[Month Year]],0))</f>
        <v>30</v>
      </c>
      <c r="H1062" s="21">
        <v>45819</v>
      </c>
      <c r="I1062" s="32">
        <f>IFERROR(VLOOKUP(TA[[#This Row],[Date]],Raw_Data[[Date]:[Sunset Time (POA&lt;20 W/m2)]],3,0),"")</f>
        <v>0.29166666666666669</v>
      </c>
      <c r="J1062" s="32">
        <f>IFERROR(VLOOKUP(TA[[#This Row],[Date]],Raw_Data[[Date]:[Sunset Time (POA&lt;20 W/m2)]],4,0),"")</f>
        <v>0.77708333333333335</v>
      </c>
      <c r="K1062" s="27">
        <f>IFERROR((TA[[#This Row],[Sunset Time (POA&lt;20 W/m2)]]-TA[[#This Row],[Sunrise Time (POA&gt;20 W/m2)]])*24,"")</f>
        <v>11.65</v>
      </c>
      <c r="L1062" s="2" t="s">
        <v>285</v>
      </c>
      <c r="M1062" s="33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14" t="s">
        <v>309</v>
      </c>
      <c r="Q1062" s="113" t="s">
        <v>309</v>
      </c>
      <c r="R1062">
        <v>131</v>
      </c>
      <c r="S1062" s="2">
        <v>38</v>
      </c>
      <c r="T1062" t="s">
        <v>286</v>
      </c>
      <c r="U1062" t="s">
        <v>291</v>
      </c>
      <c r="V1062" t="s">
        <v>289</v>
      </c>
      <c r="W1062" s="32"/>
      <c r="X1062" s="32"/>
      <c r="Y1062" s="26"/>
      <c r="Z1062" s="26"/>
      <c r="AA1062" s="27">
        <f>IF(TA[[#This Row],[Work Start time on Fault]]="NA","",(TA[[#This Row],[Fault Acknowledgement Time ]]-TA[[#This Row],[Fault Time]])*24)</f>
        <v>0</v>
      </c>
      <c r="AB1062" s="27">
        <f>(TA[[#This Row],[Work Start time on Fault]]-TA[[#This Row],[Fault Time]])*24</f>
        <v>0</v>
      </c>
      <c r="AC1062" s="26">
        <f>(TA[[#This Row],[Work Completion time on fault]]-TA[[#This Row],[Fault Time]])*24</f>
        <v>0</v>
      </c>
      <c r="AD1062" s="27">
        <f>IFERROR((TA[[#This Row],[Work Completion time on fault]]-TA[[#This Row],[Fault Time]])*24,"")</f>
        <v>0</v>
      </c>
      <c r="AE1062" t="s">
        <v>319</v>
      </c>
      <c r="AF1062" t="s">
        <v>247</v>
      </c>
      <c r="AG1062" s="2"/>
      <c r="AH1062" s="35">
        <f>1-COS(RADIANS(TA[[#This Row],[Avg. Target Angle during Fault Time (Radians)]]-TA[[#This Row],[Angle of affected equipment ]]))</f>
        <v>0.11705240714107301</v>
      </c>
      <c r="AI1062" s="27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43">
        <f t="shared" si="107"/>
        <v>2026</v>
      </c>
      <c r="C1063" s="116">
        <f t="shared" si="108"/>
        <v>2025</v>
      </c>
      <c r="D1063" s="2" t="s">
        <v>155</v>
      </c>
      <c r="E1063" s="2" t="s">
        <v>155</v>
      </c>
      <c r="F1063" s="30">
        <v>45809</v>
      </c>
      <c r="G1063" s="2">
        <f>DAY(EOMONTH(TA[[#This Row],[Month Year]],0))</f>
        <v>30</v>
      </c>
      <c r="H1063" s="21">
        <v>45819</v>
      </c>
      <c r="I1063" s="32">
        <f>IFERROR(VLOOKUP(TA[[#This Row],[Date]],Raw_Data[[Date]:[Sunset Time (POA&lt;20 W/m2)]],3,0),"")</f>
        <v>0.29166666666666669</v>
      </c>
      <c r="J1063" s="32">
        <f>IFERROR(VLOOKUP(TA[[#This Row],[Date]],Raw_Data[[Date]:[Sunset Time (POA&lt;20 W/m2)]],4,0),"")</f>
        <v>0.77708333333333335</v>
      </c>
      <c r="K1063" s="27">
        <f>IFERROR((TA[[#This Row],[Sunset Time (POA&lt;20 W/m2)]]-TA[[#This Row],[Sunrise Time (POA&gt;20 W/m2)]])*24,"")</f>
        <v>11.65</v>
      </c>
      <c r="L1063" s="2" t="s">
        <v>285</v>
      </c>
      <c r="M1063" s="33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14" t="s">
        <v>309</v>
      </c>
      <c r="Q1063" s="113" t="s">
        <v>309</v>
      </c>
      <c r="R1063">
        <v>131</v>
      </c>
      <c r="S1063" s="2">
        <v>39</v>
      </c>
      <c r="T1063" t="s">
        <v>286</v>
      </c>
      <c r="U1063" t="s">
        <v>291</v>
      </c>
      <c r="V1063" t="s">
        <v>289</v>
      </c>
      <c r="W1063" s="32"/>
      <c r="X1063" s="32"/>
      <c r="Y1063" s="26"/>
      <c r="Z1063" s="26"/>
      <c r="AA1063" s="27">
        <f>IF(TA[[#This Row],[Work Start time on Fault]]="NA","",(TA[[#This Row],[Fault Acknowledgement Time ]]-TA[[#This Row],[Fault Time]])*24)</f>
        <v>0</v>
      </c>
      <c r="AB1063" s="27">
        <f>(TA[[#This Row],[Work Start time on Fault]]-TA[[#This Row],[Fault Time]])*24</f>
        <v>0</v>
      </c>
      <c r="AC1063" s="26">
        <f>(TA[[#This Row],[Work Completion time on fault]]-TA[[#This Row],[Fault Time]])*24</f>
        <v>0</v>
      </c>
      <c r="AD1063" s="27">
        <f>IFERROR((TA[[#This Row],[Work Completion time on fault]]-TA[[#This Row],[Fault Time]])*24,"")</f>
        <v>0</v>
      </c>
      <c r="AE1063" t="s">
        <v>319</v>
      </c>
      <c r="AF1063" t="s">
        <v>247</v>
      </c>
      <c r="AG1063" s="2"/>
      <c r="AH1063" s="35">
        <f>1-COS(RADIANS(TA[[#This Row],[Avg. Target Angle during Fault Time (Radians)]]-TA[[#This Row],[Angle of affected equipment ]]))</f>
        <v>0.11705240714107301</v>
      </c>
      <c r="AI1063" s="27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43">
        <f t="shared" si="107"/>
        <v>2026</v>
      </c>
      <c r="C1064" s="116">
        <f t="shared" si="108"/>
        <v>2025</v>
      </c>
      <c r="D1064" s="2" t="s">
        <v>155</v>
      </c>
      <c r="E1064" s="2" t="s">
        <v>155</v>
      </c>
      <c r="F1064" s="30">
        <v>45809</v>
      </c>
      <c r="G1064" s="2">
        <f>DAY(EOMONTH(TA[[#This Row],[Month Year]],0))</f>
        <v>30</v>
      </c>
      <c r="H1064" s="21">
        <v>45819</v>
      </c>
      <c r="I1064" s="32">
        <f>IFERROR(VLOOKUP(TA[[#This Row],[Date]],Raw_Data[[Date]:[Sunset Time (POA&lt;20 W/m2)]],3,0),"")</f>
        <v>0.29166666666666669</v>
      </c>
      <c r="J1064" s="32">
        <f>IFERROR(VLOOKUP(TA[[#This Row],[Date]],Raw_Data[[Date]:[Sunset Time (POA&lt;20 W/m2)]],4,0),"")</f>
        <v>0.77708333333333335</v>
      </c>
      <c r="K1064" s="27">
        <f>IFERROR((TA[[#This Row],[Sunset Time (POA&lt;20 W/m2)]]-TA[[#This Row],[Sunrise Time (POA&gt;20 W/m2)]])*24,"")</f>
        <v>11.65</v>
      </c>
      <c r="L1064" s="2" t="s">
        <v>287</v>
      </c>
      <c r="M1064" s="33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14" t="s">
        <v>309</v>
      </c>
      <c r="Q1064" s="2" t="s">
        <v>312</v>
      </c>
      <c r="R1064">
        <v>133</v>
      </c>
      <c r="S1064" s="2">
        <v>26</v>
      </c>
      <c r="T1064" t="s">
        <v>288</v>
      </c>
      <c r="U1064" t="s">
        <v>291</v>
      </c>
      <c r="V1064" t="s">
        <v>305</v>
      </c>
      <c r="W1064" s="32">
        <f>IFERROR(VLOOKUP(TA[[#This Row],[Date]],Raw_Data[[Date]:[Sunset Time (POA&lt;20 W/m2)]],3,0),"")</f>
        <v>0.29166666666666669</v>
      </c>
      <c r="X1064" s="32">
        <f>IFERROR(VLOOKUP(TA[[#This Row],[Date]],Raw_Data[[Date]:[Sunset Time (POA&lt;20 W/m2)]],3,0),"")</f>
        <v>0.29166666666666669</v>
      </c>
      <c r="Y1064" s="26"/>
      <c r="Z1064" s="26">
        <v>0.76041666666666663</v>
      </c>
      <c r="AA1064" s="27">
        <f>IF(TA[[#This Row],[Work Start time on Fault]]="NA","",(TA[[#This Row],[Fault Acknowledgement Time ]]-TA[[#This Row],[Fault Time]])*24)</f>
        <v>0</v>
      </c>
      <c r="AB1064" s="27">
        <f>(TA[[#This Row],[Work Start time on Fault]]-TA[[#This Row],[Fault Time]])*24</f>
        <v>-7</v>
      </c>
      <c r="AC1064" s="26">
        <f>(TA[[#This Row],[Work Completion time on fault]]-TA[[#This Row],[Fault Time]])*24</f>
        <v>11.249999999999998</v>
      </c>
      <c r="AD1064" s="27">
        <f>IFERROR((TA[[#This Row],[Work Completion time on fault]]-TA[[#This Row],[Fault Time]])*24,"")</f>
        <v>11.249999999999998</v>
      </c>
      <c r="AE1064" t="s">
        <v>319</v>
      </c>
      <c r="AF1064" t="s">
        <v>247</v>
      </c>
      <c r="AG1064" s="2"/>
      <c r="AH1064" s="35">
        <f>1-COS(RADIANS(TA[[#This Row],[Avg. Target Angle during Fault Time (Radians)]]-TA[[#This Row],[Angle of affected equipment ]]))</f>
        <v>0.11705240714107301</v>
      </c>
      <c r="AI1064" s="27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43">
        <f t="shared" si="107"/>
        <v>2026</v>
      </c>
      <c r="C1065" s="116">
        <f t="shared" si="108"/>
        <v>2025</v>
      </c>
      <c r="D1065" s="2" t="s">
        <v>155</v>
      </c>
      <c r="E1065" s="2" t="s">
        <v>155</v>
      </c>
      <c r="F1065" s="30">
        <v>45809</v>
      </c>
      <c r="G1065" s="2">
        <f>DAY(EOMONTH(TA[[#This Row],[Month Year]],0))</f>
        <v>30</v>
      </c>
      <c r="H1065" s="21">
        <v>45819</v>
      </c>
      <c r="I1065" s="32">
        <f>IFERROR(VLOOKUP(TA[[#This Row],[Date]],Raw_Data[[Date]:[Sunset Time (POA&lt;20 W/m2)]],3,0),"")</f>
        <v>0.29166666666666669</v>
      </c>
      <c r="J1065" s="32">
        <f>IFERROR(VLOOKUP(TA[[#This Row],[Date]],Raw_Data[[Date]:[Sunset Time (POA&lt;20 W/m2)]],4,0),"")</f>
        <v>0.77708333333333335</v>
      </c>
      <c r="K1065" s="27">
        <f>IFERROR((TA[[#This Row],[Sunset Time (POA&lt;20 W/m2)]]-TA[[#This Row],[Sunrise Time (POA&gt;20 W/m2)]])*24,"")</f>
        <v>11.65</v>
      </c>
      <c r="L1065" s="2" t="s">
        <v>285</v>
      </c>
      <c r="M1065" s="33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14" t="s">
        <v>307</v>
      </c>
      <c r="Q1065" s="113" t="s">
        <v>308</v>
      </c>
      <c r="R1065">
        <v>7</v>
      </c>
      <c r="S1065" s="2">
        <v>32</v>
      </c>
      <c r="T1065" t="s">
        <v>286</v>
      </c>
      <c r="U1065" t="s">
        <v>291</v>
      </c>
      <c r="V1065" t="s">
        <v>289</v>
      </c>
      <c r="W1065" s="32"/>
      <c r="X1065" s="32"/>
      <c r="Y1065" s="26"/>
      <c r="Z1065" s="26"/>
      <c r="AA1065" s="27">
        <f>IF(TA[[#This Row],[Work Start time on Fault]]="NA","",(TA[[#This Row],[Fault Acknowledgement Time ]]-TA[[#This Row],[Fault Time]])*24)</f>
        <v>0</v>
      </c>
      <c r="AB1065" s="27">
        <f>(TA[[#This Row],[Work Start time on Fault]]-TA[[#This Row],[Fault Time]])*24</f>
        <v>0</v>
      </c>
      <c r="AC1065" s="26">
        <f>(TA[[#This Row],[Work Completion time on fault]]-TA[[#This Row],[Fault Time]])*24</f>
        <v>0</v>
      </c>
      <c r="AD1065" s="27">
        <f>IFERROR((TA[[#This Row],[Work Completion time on fault]]-TA[[#This Row],[Fault Time]])*24,"")</f>
        <v>0</v>
      </c>
      <c r="AE1065" t="s">
        <v>319</v>
      </c>
      <c r="AF1065" t="s">
        <v>247</v>
      </c>
      <c r="AG1065" s="2"/>
      <c r="AH1065" s="35">
        <f>1-COS(RADIANS(TA[[#This Row],[Avg. Target Angle during Fault Time (Radians)]]-TA[[#This Row],[Angle of affected equipment ]]))</f>
        <v>0.11705240714107301</v>
      </c>
      <c r="AI1065" s="27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43">
        <f t="shared" si="107"/>
        <v>2026</v>
      </c>
      <c r="C1066" s="116">
        <f t="shared" si="108"/>
        <v>2025</v>
      </c>
      <c r="D1066" s="2" t="s">
        <v>155</v>
      </c>
      <c r="E1066" s="2" t="s">
        <v>155</v>
      </c>
      <c r="F1066" s="30">
        <v>45809</v>
      </c>
      <c r="G1066" s="2">
        <f>DAY(EOMONTH(TA[[#This Row],[Month Year]],0))</f>
        <v>30</v>
      </c>
      <c r="H1066" s="21">
        <v>45819</v>
      </c>
      <c r="I1066" s="32">
        <f>IFERROR(VLOOKUP(TA[[#This Row],[Date]],Raw_Data[[Date]:[Sunset Time (POA&lt;20 W/m2)]],3,0),"")</f>
        <v>0.29166666666666669</v>
      </c>
      <c r="J1066" s="32">
        <f>IFERROR(VLOOKUP(TA[[#This Row],[Date]],Raw_Data[[Date]:[Sunset Time (POA&lt;20 W/m2)]],4,0),"")</f>
        <v>0.77708333333333335</v>
      </c>
      <c r="K1066" s="27">
        <f>IFERROR((TA[[#This Row],[Sunset Time (POA&lt;20 W/m2)]]-TA[[#This Row],[Sunrise Time (POA&gt;20 W/m2)]])*24,"")</f>
        <v>11.65</v>
      </c>
      <c r="L1066" s="2" t="s">
        <v>285</v>
      </c>
      <c r="M1066" s="33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14" t="s">
        <v>306</v>
      </c>
      <c r="Q1066" s="113" t="s">
        <v>310</v>
      </c>
      <c r="R1066">
        <v>166</v>
      </c>
      <c r="S1066" s="2">
        <v>91</v>
      </c>
      <c r="T1066" t="s">
        <v>286</v>
      </c>
      <c r="U1066" t="s">
        <v>291</v>
      </c>
      <c r="V1066" t="s">
        <v>289</v>
      </c>
      <c r="W1066" s="32"/>
      <c r="X1066" s="32"/>
      <c r="Y1066" s="26"/>
      <c r="Z1066" s="26"/>
      <c r="AA1066" s="27">
        <f>IF(TA[[#This Row],[Work Start time on Fault]]="NA","",(TA[[#This Row],[Fault Acknowledgement Time ]]-TA[[#This Row],[Fault Time]])*24)</f>
        <v>0</v>
      </c>
      <c r="AB1066" s="27">
        <f>(TA[[#This Row],[Work Start time on Fault]]-TA[[#This Row],[Fault Time]])*24</f>
        <v>0</v>
      </c>
      <c r="AC1066" s="26">
        <f>(TA[[#This Row],[Work Completion time on fault]]-TA[[#This Row],[Fault Time]])*24</f>
        <v>0</v>
      </c>
      <c r="AD1066" s="27">
        <f>IFERROR((TA[[#This Row],[Work Completion time on fault]]-TA[[#This Row],[Fault Time]])*24,"")</f>
        <v>0</v>
      </c>
      <c r="AE1066" t="s">
        <v>319</v>
      </c>
      <c r="AF1066" t="s">
        <v>247</v>
      </c>
      <c r="AG1066" s="2"/>
      <c r="AH1066" s="35">
        <f>1-COS(RADIANS(TA[[#This Row],[Avg. Target Angle during Fault Time (Radians)]]-TA[[#This Row],[Angle of affected equipment ]]))</f>
        <v>0.11705240714107301</v>
      </c>
      <c r="AI1066" s="27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43">
        <f t="shared" si="107"/>
        <v>2026</v>
      </c>
      <c r="C1067" s="116">
        <f t="shared" si="108"/>
        <v>2025</v>
      </c>
      <c r="D1067" s="2" t="s">
        <v>155</v>
      </c>
      <c r="E1067" s="2" t="s">
        <v>155</v>
      </c>
      <c r="F1067" s="30">
        <v>45809</v>
      </c>
      <c r="G1067" s="2">
        <f>DAY(EOMONTH(TA[[#This Row],[Month Year]],0))</f>
        <v>30</v>
      </c>
      <c r="H1067" s="21">
        <v>45819</v>
      </c>
      <c r="I1067" s="32">
        <f>IFERROR(VLOOKUP(TA[[#This Row],[Date]],Raw_Data[[Date]:[Sunset Time (POA&lt;20 W/m2)]],3,0),"")</f>
        <v>0.29166666666666669</v>
      </c>
      <c r="J1067" s="32">
        <f>IFERROR(VLOOKUP(TA[[#This Row],[Date]],Raw_Data[[Date]:[Sunset Time (POA&lt;20 W/m2)]],4,0),"")</f>
        <v>0.77708333333333335</v>
      </c>
      <c r="K1067" s="27">
        <f>IFERROR((TA[[#This Row],[Sunset Time (POA&lt;20 W/m2)]]-TA[[#This Row],[Sunrise Time (POA&gt;20 W/m2)]])*24,"")</f>
        <v>11.65</v>
      </c>
      <c r="L1067" s="2" t="s">
        <v>285</v>
      </c>
      <c r="M1067" s="33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14" t="s">
        <v>307</v>
      </c>
      <c r="Q1067" s="113" t="s">
        <v>307</v>
      </c>
      <c r="R1067">
        <v>117</v>
      </c>
      <c r="S1067" s="2">
        <v>20</v>
      </c>
      <c r="T1067" t="s">
        <v>286</v>
      </c>
      <c r="U1067" t="s">
        <v>291</v>
      </c>
      <c r="V1067" t="s">
        <v>289</v>
      </c>
      <c r="W1067" s="32"/>
      <c r="X1067" s="32"/>
      <c r="Y1067" s="26"/>
      <c r="Z1067" s="26"/>
      <c r="AA1067" s="27">
        <f>IF(TA[[#This Row],[Work Start time on Fault]]="NA","",(TA[[#This Row],[Fault Acknowledgement Time ]]-TA[[#This Row],[Fault Time]])*24)</f>
        <v>0</v>
      </c>
      <c r="AB1067" s="27">
        <f>(TA[[#This Row],[Work Start time on Fault]]-TA[[#This Row],[Fault Time]])*24</f>
        <v>0</v>
      </c>
      <c r="AC1067" s="26">
        <f>(TA[[#This Row],[Work Completion time on fault]]-TA[[#This Row],[Fault Time]])*24</f>
        <v>0</v>
      </c>
      <c r="AD1067" s="27">
        <f>IFERROR((TA[[#This Row],[Work Completion time on fault]]-TA[[#This Row],[Fault Time]])*24,"")</f>
        <v>0</v>
      </c>
      <c r="AE1067" t="s">
        <v>319</v>
      </c>
      <c r="AF1067" t="s">
        <v>247</v>
      </c>
      <c r="AG1067" s="2"/>
      <c r="AH1067" s="35">
        <f>1-COS(RADIANS(TA[[#This Row],[Avg. Target Angle during Fault Time (Radians)]]-TA[[#This Row],[Angle of affected equipment ]]))</f>
        <v>0.11705240714107301</v>
      </c>
      <c r="AI1067" s="27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43">
        <f t="shared" si="107"/>
        <v>2026</v>
      </c>
      <c r="C1068" s="116">
        <f t="shared" si="108"/>
        <v>2025</v>
      </c>
      <c r="D1068" s="2" t="s">
        <v>155</v>
      </c>
      <c r="E1068" s="2" t="s">
        <v>155</v>
      </c>
      <c r="F1068" s="30">
        <v>45809</v>
      </c>
      <c r="G1068" s="2">
        <f>DAY(EOMONTH(TA[[#This Row],[Month Year]],0))</f>
        <v>30</v>
      </c>
      <c r="H1068" s="21">
        <v>45819</v>
      </c>
      <c r="I1068" s="32">
        <f>IFERROR(VLOOKUP(TA[[#This Row],[Date]],Raw_Data[[Date]:[Sunset Time (POA&lt;20 W/m2)]],3,0),"")</f>
        <v>0.29166666666666669</v>
      </c>
      <c r="J1068" s="32">
        <f>IFERROR(VLOOKUP(TA[[#This Row],[Date]],Raw_Data[[Date]:[Sunset Time (POA&lt;20 W/m2)]],4,0),"")</f>
        <v>0.77708333333333335</v>
      </c>
      <c r="K1068" s="27">
        <f>IFERROR((TA[[#This Row],[Sunset Time (POA&lt;20 W/m2)]]-TA[[#This Row],[Sunrise Time (POA&gt;20 W/m2)]])*24,"")</f>
        <v>11.65</v>
      </c>
      <c r="L1068" s="2" t="s">
        <v>285</v>
      </c>
      <c r="M1068" s="33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14" t="s">
        <v>307</v>
      </c>
      <c r="Q1068" s="113" t="s">
        <v>307</v>
      </c>
      <c r="R1068">
        <v>118</v>
      </c>
      <c r="S1068" s="2">
        <v>22</v>
      </c>
      <c r="T1068" t="s">
        <v>286</v>
      </c>
      <c r="U1068" t="s">
        <v>291</v>
      </c>
      <c r="V1068" t="s">
        <v>289</v>
      </c>
      <c r="W1068" s="32"/>
      <c r="X1068" s="32"/>
      <c r="Y1068" s="26"/>
      <c r="Z1068" s="26"/>
      <c r="AA1068" s="27">
        <f>IF(TA[[#This Row],[Work Start time on Fault]]="NA","",(TA[[#This Row],[Fault Acknowledgement Time ]]-TA[[#This Row],[Fault Time]])*24)</f>
        <v>0</v>
      </c>
      <c r="AB1068" s="27">
        <f>(TA[[#This Row],[Work Start time on Fault]]-TA[[#This Row],[Fault Time]])*24</f>
        <v>0</v>
      </c>
      <c r="AC1068" s="26">
        <f>(TA[[#This Row],[Work Completion time on fault]]-TA[[#This Row],[Fault Time]])*24</f>
        <v>0</v>
      </c>
      <c r="AD1068" s="27">
        <f>IFERROR((TA[[#This Row],[Work Completion time on fault]]-TA[[#This Row],[Fault Time]])*24,"")</f>
        <v>0</v>
      </c>
      <c r="AE1068" t="s">
        <v>319</v>
      </c>
      <c r="AF1068" t="s">
        <v>247</v>
      </c>
      <c r="AG1068" s="2"/>
      <c r="AH1068" s="35">
        <f>1-COS(RADIANS(TA[[#This Row],[Avg. Target Angle during Fault Time (Radians)]]-TA[[#This Row],[Angle of affected equipment ]]))</f>
        <v>0.11705240714107301</v>
      </c>
      <c r="AI1068" s="27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43">
        <f t="shared" si="107"/>
        <v>2026</v>
      </c>
      <c r="C1069" s="116">
        <f t="shared" si="108"/>
        <v>2025</v>
      </c>
      <c r="D1069" s="2" t="s">
        <v>155</v>
      </c>
      <c r="E1069" s="2" t="s">
        <v>155</v>
      </c>
      <c r="F1069" s="30">
        <v>45809</v>
      </c>
      <c r="G1069" s="2">
        <f>DAY(EOMONTH(TA[[#This Row],[Month Year]],0))</f>
        <v>30</v>
      </c>
      <c r="H1069" s="21">
        <v>45819</v>
      </c>
      <c r="I1069" s="32">
        <f>IFERROR(VLOOKUP(TA[[#This Row],[Date]],Raw_Data[[Date]:[Sunset Time (POA&lt;20 W/m2)]],3,0),"")</f>
        <v>0.29166666666666669</v>
      </c>
      <c r="J1069" s="32">
        <f>IFERROR(VLOOKUP(TA[[#This Row],[Date]],Raw_Data[[Date]:[Sunset Time (POA&lt;20 W/m2)]],4,0),"")</f>
        <v>0.77708333333333335</v>
      </c>
      <c r="K1069" s="27">
        <f>IFERROR((TA[[#This Row],[Sunset Time (POA&lt;20 W/m2)]]-TA[[#This Row],[Sunrise Time (POA&gt;20 W/m2)]])*24,"")</f>
        <v>11.65</v>
      </c>
      <c r="L1069" s="2" t="s">
        <v>287</v>
      </c>
      <c r="M1069" s="33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314</v>
      </c>
      <c r="Q1069" s="2" t="s">
        <v>320</v>
      </c>
      <c r="R1069">
        <v>45</v>
      </c>
      <c r="S1069" s="2">
        <v>8</v>
      </c>
      <c r="T1069" t="s">
        <v>288</v>
      </c>
      <c r="U1069" t="s">
        <v>291</v>
      </c>
      <c r="V1069" t="s">
        <v>292</v>
      </c>
      <c r="W1069" s="32"/>
      <c r="X1069" s="32"/>
      <c r="Y1069" s="26"/>
      <c r="Z1069" s="26"/>
      <c r="AA1069" s="27">
        <f>IF(TA[[#This Row],[Work Start time on Fault]]="NA","",(TA[[#This Row],[Fault Acknowledgement Time ]]-TA[[#This Row],[Fault Time]])*24)</f>
        <v>0</v>
      </c>
      <c r="AB1069" s="27">
        <f>(TA[[#This Row],[Work Start time on Fault]]-TA[[#This Row],[Fault Time]])*24</f>
        <v>0</v>
      </c>
      <c r="AC1069" s="26">
        <f>(TA[[#This Row],[Work Completion time on fault]]-TA[[#This Row],[Fault Time]])*24</f>
        <v>0</v>
      </c>
      <c r="AD1069" s="27">
        <f>IFERROR((TA[[#This Row],[Work Completion time on fault]]-TA[[#This Row],[Fault Time]])*24,"")</f>
        <v>0</v>
      </c>
      <c r="AE1069" t="s">
        <v>319</v>
      </c>
      <c r="AF1069" t="s">
        <v>247</v>
      </c>
      <c r="AG1069" s="2"/>
      <c r="AH1069" s="35">
        <f>1-COS(RADIANS(TA[[#This Row],[Avg. Target Angle during Fault Time (Radians)]]-TA[[#This Row],[Angle of affected equipment ]]))</f>
        <v>0.11705240714107301</v>
      </c>
      <c r="AI1069" s="27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43">
        <f t="shared" si="107"/>
        <v>2026</v>
      </c>
      <c r="C1070" s="116">
        <f t="shared" si="108"/>
        <v>2025</v>
      </c>
      <c r="D1070" s="2" t="s">
        <v>155</v>
      </c>
      <c r="E1070" s="2" t="s">
        <v>155</v>
      </c>
      <c r="F1070" s="30">
        <v>45809</v>
      </c>
      <c r="G1070" s="2">
        <f>DAY(EOMONTH(TA[[#This Row],[Month Year]],0))</f>
        <v>30</v>
      </c>
      <c r="H1070" s="21">
        <v>45819</v>
      </c>
      <c r="I1070" s="32">
        <f>IFERROR(VLOOKUP(TA[[#This Row],[Date]],Raw_Data[[Date]:[Sunset Time (POA&lt;20 W/m2)]],3,0),"")</f>
        <v>0.29166666666666669</v>
      </c>
      <c r="J1070" s="32">
        <f>IFERROR(VLOOKUP(TA[[#This Row],[Date]],Raw_Data[[Date]:[Sunset Time (POA&lt;20 W/m2)]],4,0),"")</f>
        <v>0.77708333333333335</v>
      </c>
      <c r="K1070" s="27">
        <f>IFERROR((TA[[#This Row],[Sunset Time (POA&lt;20 W/m2)]]-TA[[#This Row],[Sunrise Time (POA&gt;20 W/m2)]])*24,"")</f>
        <v>11.65</v>
      </c>
      <c r="L1070" s="2" t="s">
        <v>287</v>
      </c>
      <c r="M1070" s="33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314</v>
      </c>
      <c r="Q1070" s="2" t="s">
        <v>320</v>
      </c>
      <c r="R1070">
        <v>47</v>
      </c>
      <c r="S1070" s="2">
        <v>18</v>
      </c>
      <c r="T1070" t="s">
        <v>288</v>
      </c>
      <c r="U1070" t="s">
        <v>291</v>
      </c>
      <c r="V1070" t="s">
        <v>292</v>
      </c>
      <c r="W1070" s="32"/>
      <c r="X1070" s="32"/>
      <c r="Y1070" s="26"/>
      <c r="Z1070" s="26"/>
      <c r="AA1070" s="27">
        <f>IF(TA[[#This Row],[Work Start time on Fault]]="NA","",(TA[[#This Row],[Fault Acknowledgement Time ]]-TA[[#This Row],[Fault Time]])*24)</f>
        <v>0</v>
      </c>
      <c r="AB1070" s="27">
        <f>(TA[[#This Row],[Work Start time on Fault]]-TA[[#This Row],[Fault Time]])*24</f>
        <v>0</v>
      </c>
      <c r="AC1070" s="26">
        <f>(TA[[#This Row],[Work Completion time on fault]]-TA[[#This Row],[Fault Time]])*24</f>
        <v>0</v>
      </c>
      <c r="AD1070" s="27">
        <f>IFERROR((TA[[#This Row],[Work Completion time on fault]]-TA[[#This Row],[Fault Time]])*24,"")</f>
        <v>0</v>
      </c>
      <c r="AE1070" t="s">
        <v>319</v>
      </c>
      <c r="AF1070" t="s">
        <v>247</v>
      </c>
      <c r="AG1070" s="2"/>
      <c r="AH1070" s="35">
        <f>1-COS(RADIANS(TA[[#This Row],[Avg. Target Angle during Fault Time (Radians)]]-TA[[#This Row],[Angle of affected equipment ]]))</f>
        <v>0.11705240714107301</v>
      </c>
      <c r="AI1070" s="27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43">
        <f t="shared" si="107"/>
        <v>2026</v>
      </c>
      <c r="C1071" s="116">
        <f t="shared" si="108"/>
        <v>2025</v>
      </c>
      <c r="D1071" s="2" t="s">
        <v>155</v>
      </c>
      <c r="E1071" s="2" t="s">
        <v>155</v>
      </c>
      <c r="F1071" s="30">
        <v>45809</v>
      </c>
      <c r="G1071" s="2">
        <f>DAY(EOMONTH(TA[[#This Row],[Month Year]],0))</f>
        <v>30</v>
      </c>
      <c r="H1071" s="21">
        <v>45819</v>
      </c>
      <c r="I1071" s="32">
        <f>IFERROR(VLOOKUP(TA[[#This Row],[Date]],Raw_Data[[Date]:[Sunset Time (POA&lt;20 W/m2)]],3,0),"")</f>
        <v>0.29166666666666669</v>
      </c>
      <c r="J1071" s="32">
        <f>IFERROR(VLOOKUP(TA[[#This Row],[Date]],Raw_Data[[Date]:[Sunset Time (POA&lt;20 W/m2)]],4,0),"")</f>
        <v>0.77708333333333335</v>
      </c>
      <c r="K1071" s="27">
        <f>IFERROR((TA[[#This Row],[Sunset Time (POA&lt;20 W/m2)]]-TA[[#This Row],[Sunrise Time (POA&gt;20 W/m2)]])*24,"")</f>
        <v>11.65</v>
      </c>
      <c r="L1071" s="2" t="s">
        <v>287</v>
      </c>
      <c r="M1071" s="33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321</v>
      </c>
      <c r="Q1071" s="2" t="s">
        <v>314</v>
      </c>
      <c r="R1071">
        <v>30</v>
      </c>
      <c r="S1071" s="2">
        <v>57</v>
      </c>
      <c r="T1071" t="s">
        <v>288</v>
      </c>
      <c r="U1071" t="s">
        <v>291</v>
      </c>
      <c r="V1071" t="s">
        <v>292</v>
      </c>
      <c r="W1071" s="32"/>
      <c r="X1071" s="32"/>
      <c r="Y1071" s="26"/>
      <c r="Z1071" s="26"/>
      <c r="AA1071" s="27">
        <f>IF(TA[[#This Row],[Work Start time on Fault]]="NA","",(TA[[#This Row],[Fault Acknowledgement Time ]]-TA[[#This Row],[Fault Time]])*24)</f>
        <v>0</v>
      </c>
      <c r="AB1071" s="27">
        <f>(TA[[#This Row],[Work Start time on Fault]]-TA[[#This Row],[Fault Time]])*24</f>
        <v>0</v>
      </c>
      <c r="AC1071" s="26">
        <f>(TA[[#This Row],[Work Completion time on fault]]-TA[[#This Row],[Fault Time]])*24</f>
        <v>0</v>
      </c>
      <c r="AD1071" s="27">
        <f>IFERROR((TA[[#This Row],[Work Completion time on fault]]-TA[[#This Row],[Fault Time]])*24,"")</f>
        <v>0</v>
      </c>
      <c r="AE1071" t="s">
        <v>319</v>
      </c>
      <c r="AF1071" t="s">
        <v>247</v>
      </c>
      <c r="AG1071" s="2"/>
      <c r="AH1071" s="35">
        <f>1-COS(RADIANS(TA[[#This Row],[Avg. Target Angle during Fault Time (Radians)]]-TA[[#This Row],[Angle of affected equipment ]]))</f>
        <v>0.11705240714107301</v>
      </c>
      <c r="AI1071" s="27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43">
        <f t="shared" si="107"/>
        <v>2026</v>
      </c>
      <c r="C1072" s="116">
        <f t="shared" si="108"/>
        <v>2025</v>
      </c>
      <c r="D1072" s="2" t="s">
        <v>155</v>
      </c>
      <c r="E1072" s="2" t="s">
        <v>155</v>
      </c>
      <c r="F1072" s="30">
        <v>45809</v>
      </c>
      <c r="G1072" s="2">
        <f>DAY(EOMONTH(TA[[#This Row],[Month Year]],0))</f>
        <v>30</v>
      </c>
      <c r="H1072" s="21">
        <v>45819</v>
      </c>
      <c r="I1072" s="32">
        <f>IFERROR(VLOOKUP(TA[[#This Row],[Date]],Raw_Data[[Date]:[Sunset Time (POA&lt;20 W/m2)]],3,0),"")</f>
        <v>0.29166666666666669</v>
      </c>
      <c r="J1072" s="32">
        <f>IFERROR(VLOOKUP(TA[[#This Row],[Date]],Raw_Data[[Date]:[Sunset Time (POA&lt;20 W/m2)]],4,0),"")</f>
        <v>0.77708333333333335</v>
      </c>
      <c r="K1072" s="27">
        <f>IFERROR((TA[[#This Row],[Sunset Time (POA&lt;20 W/m2)]]-TA[[#This Row],[Sunrise Time (POA&gt;20 W/m2)]])*24,"")</f>
        <v>11.65</v>
      </c>
      <c r="L1072" s="2" t="s">
        <v>287</v>
      </c>
      <c r="M1072" s="33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321</v>
      </c>
      <c r="Q1072" s="2" t="s">
        <v>314</v>
      </c>
      <c r="R1072">
        <v>31</v>
      </c>
      <c r="S1072" s="2">
        <v>61</v>
      </c>
      <c r="T1072" t="s">
        <v>288</v>
      </c>
      <c r="U1072" t="s">
        <v>291</v>
      </c>
      <c r="V1072" t="s">
        <v>292</v>
      </c>
      <c r="W1072" s="32"/>
      <c r="X1072" s="32"/>
      <c r="Y1072" s="26"/>
      <c r="Z1072" s="26"/>
      <c r="AA1072" s="27">
        <f>IF(TA[[#This Row],[Work Start time on Fault]]="NA","",(TA[[#This Row],[Fault Acknowledgement Time ]]-TA[[#This Row],[Fault Time]])*24)</f>
        <v>0</v>
      </c>
      <c r="AB1072" s="27">
        <f>(TA[[#This Row],[Work Start time on Fault]]-TA[[#This Row],[Fault Time]])*24</f>
        <v>0</v>
      </c>
      <c r="AC1072" s="26">
        <f>(TA[[#This Row],[Work Completion time on fault]]-TA[[#This Row],[Fault Time]])*24</f>
        <v>0</v>
      </c>
      <c r="AD1072" s="27">
        <f>IFERROR((TA[[#This Row],[Work Completion time on fault]]-TA[[#This Row],[Fault Time]])*24,"")</f>
        <v>0</v>
      </c>
      <c r="AE1072" t="s">
        <v>319</v>
      </c>
      <c r="AF1072" t="s">
        <v>247</v>
      </c>
      <c r="AG1072" s="2"/>
      <c r="AH1072" s="35">
        <f>1-COS(RADIANS(TA[[#This Row],[Avg. Target Angle during Fault Time (Radians)]]-TA[[#This Row],[Angle of affected equipment ]]))</f>
        <v>0.11705240714107301</v>
      </c>
      <c r="AI1072" s="27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43">
        <f t="shared" si="107"/>
        <v>2026</v>
      </c>
      <c r="C1073" s="116">
        <f t="shared" si="108"/>
        <v>2025</v>
      </c>
      <c r="D1073" s="2" t="s">
        <v>155</v>
      </c>
      <c r="E1073" s="2" t="s">
        <v>155</v>
      </c>
      <c r="F1073" s="30">
        <v>45809</v>
      </c>
      <c r="G1073" s="2">
        <f>DAY(EOMONTH(TA[[#This Row],[Month Year]],0))</f>
        <v>30</v>
      </c>
      <c r="H1073" s="21">
        <v>45819</v>
      </c>
      <c r="I1073" s="32">
        <f>IFERROR(VLOOKUP(TA[[#This Row],[Date]],Raw_Data[[Date]:[Sunset Time (POA&lt;20 W/m2)]],3,0),"")</f>
        <v>0.29166666666666669</v>
      </c>
      <c r="J1073" s="32">
        <f>IFERROR(VLOOKUP(TA[[#This Row],[Date]],Raw_Data[[Date]:[Sunset Time (POA&lt;20 W/m2)]],4,0),"")</f>
        <v>0.77708333333333335</v>
      </c>
      <c r="K1073" s="27">
        <f>IFERROR((TA[[#This Row],[Sunset Time (POA&lt;20 W/m2)]]-TA[[#This Row],[Sunrise Time (POA&gt;20 W/m2)]])*24,"")</f>
        <v>11.65</v>
      </c>
      <c r="L1073" s="2" t="s">
        <v>303</v>
      </c>
      <c r="M1073" s="33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321</v>
      </c>
      <c r="Q1073" s="2" t="s">
        <v>314</v>
      </c>
      <c r="R1073">
        <v>26</v>
      </c>
      <c r="S1073" s="2">
        <v>37</v>
      </c>
      <c r="T1073" t="s">
        <v>288</v>
      </c>
      <c r="U1073" t="s">
        <v>291</v>
      </c>
      <c r="V1073" t="s">
        <v>292</v>
      </c>
      <c r="W1073" s="32"/>
      <c r="X1073" s="32"/>
      <c r="Y1073" s="26"/>
      <c r="Z1073" s="26"/>
      <c r="AA1073" s="27">
        <f>IF(TA[[#This Row],[Work Start time on Fault]]="NA","",(TA[[#This Row],[Fault Acknowledgement Time ]]-TA[[#This Row],[Fault Time]])*24)</f>
        <v>0</v>
      </c>
      <c r="AB1073" s="27">
        <f>(TA[[#This Row],[Work Start time on Fault]]-TA[[#This Row],[Fault Time]])*24</f>
        <v>0</v>
      </c>
      <c r="AC1073" s="26">
        <f>(TA[[#This Row],[Work Completion time on fault]]-TA[[#This Row],[Fault Time]])*24</f>
        <v>0</v>
      </c>
      <c r="AD1073" s="27">
        <f>IFERROR((TA[[#This Row],[Work Completion time on fault]]-TA[[#This Row],[Fault Time]])*24,"")</f>
        <v>0</v>
      </c>
      <c r="AE1073" t="s">
        <v>319</v>
      </c>
      <c r="AF1073" t="s">
        <v>247</v>
      </c>
      <c r="AG1073" s="2"/>
      <c r="AH1073" s="35">
        <f>1-COS(RADIANS(TA[[#This Row],[Avg. Target Angle during Fault Time (Radians)]]-TA[[#This Row],[Angle of affected equipment ]]))</f>
        <v>0.11705240714107301</v>
      </c>
      <c r="AI1073" s="27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43">
        <f t="shared" si="107"/>
        <v>2026</v>
      </c>
      <c r="C1074" s="116">
        <f t="shared" si="108"/>
        <v>2025</v>
      </c>
      <c r="D1074" s="2" t="s">
        <v>155</v>
      </c>
      <c r="E1074" s="2" t="s">
        <v>155</v>
      </c>
      <c r="F1074" s="30">
        <v>45809</v>
      </c>
      <c r="G1074" s="2">
        <f>DAY(EOMONTH(TA[[#This Row],[Month Year]],0))</f>
        <v>30</v>
      </c>
      <c r="H1074" s="21">
        <v>45819</v>
      </c>
      <c r="I1074" s="32">
        <f>IFERROR(VLOOKUP(TA[[#This Row],[Date]],Raw_Data[[Date]:[Sunset Time (POA&lt;20 W/m2)]],3,0),"")</f>
        <v>0.29166666666666669</v>
      </c>
      <c r="J1074" s="32">
        <f>IFERROR(VLOOKUP(TA[[#This Row],[Date]],Raw_Data[[Date]:[Sunset Time (POA&lt;20 W/m2)]],4,0),"")</f>
        <v>0.77708333333333335</v>
      </c>
      <c r="K1074" s="27">
        <f>IFERROR((TA[[#This Row],[Sunset Time (POA&lt;20 W/m2)]]-TA[[#This Row],[Sunrise Time (POA&gt;20 W/m2)]])*24,"")</f>
        <v>11.65</v>
      </c>
      <c r="L1074" s="2" t="s">
        <v>303</v>
      </c>
      <c r="M1074" s="33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321</v>
      </c>
      <c r="Q1074" s="2" t="s">
        <v>314</v>
      </c>
      <c r="R1074">
        <v>27</v>
      </c>
      <c r="S1074" s="2">
        <v>42</v>
      </c>
      <c r="T1074" t="s">
        <v>288</v>
      </c>
      <c r="U1074" t="s">
        <v>291</v>
      </c>
      <c r="V1074" t="s">
        <v>292</v>
      </c>
      <c r="W1074" s="32">
        <f>IFERROR(VLOOKUP(TA[[#This Row],[Date]],Raw_Data[[Date]:[Sunset Time (POA&lt;20 W/m2)]],3,0),"")</f>
        <v>0.29166666666666669</v>
      </c>
      <c r="X1074" s="32">
        <f>IFERROR(VLOOKUP(TA[[#This Row],[Date]],Raw_Data[[Date]:[Sunset Time (POA&lt;20 W/m2)]],3,0),"")</f>
        <v>0.29166666666666669</v>
      </c>
      <c r="Y1074" s="26"/>
      <c r="Z1074" s="26">
        <v>0.76041666666666663</v>
      </c>
      <c r="AA1074" s="27">
        <f>IF(TA[[#This Row],[Work Start time on Fault]]="NA","",(TA[[#This Row],[Fault Acknowledgement Time ]]-TA[[#This Row],[Fault Time]])*24)</f>
        <v>0</v>
      </c>
      <c r="AB1074" s="27">
        <f>(TA[[#This Row],[Work Start time on Fault]]-TA[[#This Row],[Fault Time]])*24</f>
        <v>-7</v>
      </c>
      <c r="AC1074" s="26">
        <f>(TA[[#This Row],[Work Completion time on fault]]-TA[[#This Row],[Fault Time]])*24</f>
        <v>11.249999999999998</v>
      </c>
      <c r="AD1074" s="27">
        <f>IFERROR((TA[[#This Row],[Work Completion time on fault]]-TA[[#This Row],[Fault Time]])*24,"")</f>
        <v>11.249999999999998</v>
      </c>
      <c r="AE1074" t="s">
        <v>300</v>
      </c>
      <c r="AF1074" t="s">
        <v>247</v>
      </c>
      <c r="AG1074" s="2"/>
      <c r="AH1074" s="35">
        <f>1-COS(RADIANS(TA[[#This Row],[Avg. Target Angle during Fault Time (Radians)]]-TA[[#This Row],[Angle of affected equipment ]]))</f>
        <v>0.11705240714107301</v>
      </c>
      <c r="AI1074" s="27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43">
        <f t="shared" ref="B1075:B1087" si="110">YEAR(H1075)+IF(MONTH(H1075)&gt;=4,1,0)</f>
        <v>2026</v>
      </c>
      <c r="C1075" s="116">
        <f t="shared" ref="C1075:C1087" si="111">YEAR(H1075)</f>
        <v>2025</v>
      </c>
      <c r="D1075" s="2" t="s">
        <v>155</v>
      </c>
      <c r="E1075" s="2" t="s">
        <v>155</v>
      </c>
      <c r="F1075" s="30">
        <v>45809</v>
      </c>
      <c r="G1075" s="2">
        <f>DAY(EOMONTH(TA[[#This Row],[Month Year]],0))</f>
        <v>30</v>
      </c>
      <c r="H1075" s="21">
        <v>45820</v>
      </c>
      <c r="I1075" s="32">
        <f>IFERROR(VLOOKUP(TA[[#This Row],[Date]],Raw_Data[[Date]:[Sunset Time (POA&lt;20 W/m2)]],3,0),"")</f>
        <v>0.28125</v>
      </c>
      <c r="J1075" s="32">
        <f>IFERROR(VLOOKUP(TA[[#This Row],[Date]],Raw_Data[[Date]:[Sunset Time (POA&lt;20 W/m2)]],4,0),"")</f>
        <v>0.77430555555555558</v>
      </c>
      <c r="K1075" s="27">
        <f>IFERROR((TA[[#This Row],[Sunset Time (POA&lt;20 W/m2)]]-TA[[#This Row],[Sunrise Time (POA&gt;20 W/m2)]])*24,"")</f>
        <v>11.833333333333334</v>
      </c>
      <c r="L1075" s="2" t="s">
        <v>285</v>
      </c>
      <c r="M1075" s="33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14" t="s">
        <v>309</v>
      </c>
      <c r="Q1075" s="113" t="s">
        <v>309</v>
      </c>
      <c r="R1075">
        <v>131</v>
      </c>
      <c r="S1075" s="2">
        <v>38</v>
      </c>
      <c r="T1075" t="s">
        <v>286</v>
      </c>
      <c r="U1075" t="s">
        <v>291</v>
      </c>
      <c r="V1075" t="s">
        <v>289</v>
      </c>
      <c r="W1075" s="32"/>
      <c r="X1075" s="32"/>
      <c r="Y1075" s="26"/>
      <c r="Z1075" s="26"/>
      <c r="AA1075" s="27">
        <f>IF(TA[[#This Row],[Work Start time on Fault]]="NA","",(TA[[#This Row],[Fault Acknowledgement Time ]]-TA[[#This Row],[Fault Time]])*24)</f>
        <v>0</v>
      </c>
      <c r="AB1075" s="27">
        <f>(TA[[#This Row],[Work Start time on Fault]]-TA[[#This Row],[Fault Time]])*24</f>
        <v>0</v>
      </c>
      <c r="AC1075" s="26">
        <f>(TA[[#This Row],[Work Completion time on fault]]-TA[[#This Row],[Fault Time]])*24</f>
        <v>0</v>
      </c>
      <c r="AD1075" s="27">
        <f>IFERROR((TA[[#This Row],[Work Completion time on fault]]-TA[[#This Row],[Fault Time]])*24,"")</f>
        <v>0</v>
      </c>
      <c r="AE1075" t="s">
        <v>319</v>
      </c>
      <c r="AF1075" t="s">
        <v>247</v>
      </c>
      <c r="AG1075" s="2"/>
      <c r="AH1075" s="35">
        <f>1-COS(RADIANS(TA[[#This Row],[Avg. Target Angle during Fault Time (Radians)]]-TA[[#This Row],[Angle of affected equipment ]]))</f>
        <v>0.11705240714107301</v>
      </c>
      <c r="AI1075" s="27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43">
        <f t="shared" si="110"/>
        <v>2026</v>
      </c>
      <c r="C1076" s="116">
        <f t="shared" si="111"/>
        <v>2025</v>
      </c>
      <c r="D1076" s="2" t="s">
        <v>155</v>
      </c>
      <c r="E1076" s="2" t="s">
        <v>155</v>
      </c>
      <c r="F1076" s="30">
        <v>45809</v>
      </c>
      <c r="G1076" s="2">
        <f>DAY(EOMONTH(TA[[#This Row],[Month Year]],0))</f>
        <v>30</v>
      </c>
      <c r="H1076" s="21">
        <v>45820</v>
      </c>
      <c r="I1076" s="32">
        <f>IFERROR(VLOOKUP(TA[[#This Row],[Date]],Raw_Data[[Date]:[Sunset Time (POA&lt;20 W/m2)]],3,0),"")</f>
        <v>0.28125</v>
      </c>
      <c r="J1076" s="32">
        <f>IFERROR(VLOOKUP(TA[[#This Row],[Date]],Raw_Data[[Date]:[Sunset Time (POA&lt;20 W/m2)]],4,0),"")</f>
        <v>0.77430555555555558</v>
      </c>
      <c r="K1076" s="27">
        <f>IFERROR((TA[[#This Row],[Sunset Time (POA&lt;20 W/m2)]]-TA[[#This Row],[Sunrise Time (POA&gt;20 W/m2)]])*24,"")</f>
        <v>11.833333333333334</v>
      </c>
      <c r="L1076" s="2" t="s">
        <v>285</v>
      </c>
      <c r="M1076" s="33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14" t="s">
        <v>309</v>
      </c>
      <c r="Q1076" s="113" t="s">
        <v>309</v>
      </c>
      <c r="R1076">
        <v>131</v>
      </c>
      <c r="S1076" s="2">
        <v>39</v>
      </c>
      <c r="T1076" t="s">
        <v>286</v>
      </c>
      <c r="U1076" t="s">
        <v>291</v>
      </c>
      <c r="V1076" t="s">
        <v>289</v>
      </c>
      <c r="W1076" s="32"/>
      <c r="X1076" s="32"/>
      <c r="Y1076" s="26"/>
      <c r="Z1076" s="26"/>
      <c r="AA1076" s="27">
        <f>IF(TA[[#This Row],[Work Start time on Fault]]="NA","",(TA[[#This Row],[Fault Acknowledgement Time ]]-TA[[#This Row],[Fault Time]])*24)</f>
        <v>0</v>
      </c>
      <c r="AB1076" s="27">
        <f>(TA[[#This Row],[Work Start time on Fault]]-TA[[#This Row],[Fault Time]])*24</f>
        <v>0</v>
      </c>
      <c r="AC1076" s="26">
        <f>(TA[[#This Row],[Work Completion time on fault]]-TA[[#This Row],[Fault Time]])*24</f>
        <v>0</v>
      </c>
      <c r="AD1076" s="27">
        <f>IFERROR((TA[[#This Row],[Work Completion time on fault]]-TA[[#This Row],[Fault Time]])*24,"")</f>
        <v>0</v>
      </c>
      <c r="AE1076" t="s">
        <v>319</v>
      </c>
      <c r="AF1076" t="s">
        <v>247</v>
      </c>
      <c r="AG1076" s="2"/>
      <c r="AH1076" s="35">
        <f>1-COS(RADIANS(TA[[#This Row],[Avg. Target Angle during Fault Time (Radians)]]-TA[[#This Row],[Angle of affected equipment ]]))</f>
        <v>0.11705240714107301</v>
      </c>
      <c r="AI1076" s="27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43">
        <f t="shared" si="110"/>
        <v>2026</v>
      </c>
      <c r="C1077" s="116">
        <f t="shared" si="111"/>
        <v>2025</v>
      </c>
      <c r="D1077" s="2" t="s">
        <v>155</v>
      </c>
      <c r="E1077" s="2" t="s">
        <v>155</v>
      </c>
      <c r="F1077" s="30">
        <v>45809</v>
      </c>
      <c r="G1077" s="2">
        <f>DAY(EOMONTH(TA[[#This Row],[Month Year]],0))</f>
        <v>30</v>
      </c>
      <c r="H1077" s="21">
        <v>45820</v>
      </c>
      <c r="I1077" s="32">
        <f>IFERROR(VLOOKUP(TA[[#This Row],[Date]],Raw_Data[[Date]:[Sunset Time (POA&lt;20 W/m2)]],3,0),"")</f>
        <v>0.28125</v>
      </c>
      <c r="J1077" s="32">
        <f>IFERROR(VLOOKUP(TA[[#This Row],[Date]],Raw_Data[[Date]:[Sunset Time (POA&lt;20 W/m2)]],4,0),"")</f>
        <v>0.77430555555555558</v>
      </c>
      <c r="K1077" s="27">
        <f>IFERROR((TA[[#This Row],[Sunset Time (POA&lt;20 W/m2)]]-TA[[#This Row],[Sunrise Time (POA&gt;20 W/m2)]])*24,"")</f>
        <v>11.833333333333334</v>
      </c>
      <c r="L1077" s="2" t="s">
        <v>287</v>
      </c>
      <c r="M1077" s="33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14" t="s">
        <v>309</v>
      </c>
      <c r="Q1077" s="2" t="s">
        <v>312</v>
      </c>
      <c r="R1077">
        <v>133</v>
      </c>
      <c r="S1077" s="2">
        <v>26</v>
      </c>
      <c r="T1077" t="s">
        <v>288</v>
      </c>
      <c r="U1077" t="s">
        <v>291</v>
      </c>
      <c r="V1077" t="s">
        <v>305</v>
      </c>
      <c r="W1077" s="32">
        <f>IFERROR(VLOOKUP(TA[[#This Row],[Date]],Raw_Data[[Date]:[Sunset Time (POA&lt;20 W/m2)]],3,0),"")</f>
        <v>0.28125</v>
      </c>
      <c r="X1077" s="32">
        <f>IFERROR(VLOOKUP(TA[[#This Row],[Date]],Raw_Data[[Date]:[Sunset Time (POA&lt;20 W/m2)]],3,0),"")</f>
        <v>0.28125</v>
      </c>
      <c r="Y1077" s="26"/>
      <c r="Z1077" s="26">
        <v>0.76041666666666663</v>
      </c>
      <c r="AA1077" s="27">
        <f>IF(TA[[#This Row],[Work Start time on Fault]]="NA","",(TA[[#This Row],[Fault Acknowledgement Time ]]-TA[[#This Row],[Fault Time]])*24)</f>
        <v>0</v>
      </c>
      <c r="AB1077" s="27">
        <f>(TA[[#This Row],[Work Start time on Fault]]-TA[[#This Row],[Fault Time]])*24</f>
        <v>-6.75</v>
      </c>
      <c r="AC1077" s="26">
        <f>(TA[[#This Row],[Work Completion time on fault]]-TA[[#This Row],[Fault Time]])*24</f>
        <v>11.5</v>
      </c>
      <c r="AD1077" s="27">
        <f>IFERROR((TA[[#This Row],[Work Completion time on fault]]-TA[[#This Row],[Fault Time]])*24,"")</f>
        <v>11.5</v>
      </c>
      <c r="AE1077" t="s">
        <v>319</v>
      </c>
      <c r="AF1077" t="s">
        <v>247</v>
      </c>
      <c r="AG1077" s="2"/>
      <c r="AH1077" s="35">
        <f>1-COS(RADIANS(TA[[#This Row],[Avg. Target Angle during Fault Time (Radians)]]-TA[[#This Row],[Angle of affected equipment ]]))</f>
        <v>0.11705240714107301</v>
      </c>
      <c r="AI1077" s="27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43">
        <f t="shared" si="110"/>
        <v>2026</v>
      </c>
      <c r="C1078" s="116">
        <f t="shared" si="111"/>
        <v>2025</v>
      </c>
      <c r="D1078" s="2" t="s">
        <v>155</v>
      </c>
      <c r="E1078" s="2" t="s">
        <v>155</v>
      </c>
      <c r="F1078" s="30">
        <v>45809</v>
      </c>
      <c r="G1078" s="2">
        <f>DAY(EOMONTH(TA[[#This Row],[Month Year]],0))</f>
        <v>30</v>
      </c>
      <c r="H1078" s="21">
        <v>45820</v>
      </c>
      <c r="I1078" s="32">
        <f>IFERROR(VLOOKUP(TA[[#This Row],[Date]],Raw_Data[[Date]:[Sunset Time (POA&lt;20 W/m2)]],3,0),"")</f>
        <v>0.28125</v>
      </c>
      <c r="J1078" s="32">
        <f>IFERROR(VLOOKUP(TA[[#This Row],[Date]],Raw_Data[[Date]:[Sunset Time (POA&lt;20 W/m2)]],4,0),"")</f>
        <v>0.77430555555555558</v>
      </c>
      <c r="K1078" s="27">
        <f>IFERROR((TA[[#This Row],[Sunset Time (POA&lt;20 W/m2)]]-TA[[#This Row],[Sunrise Time (POA&gt;20 W/m2)]])*24,"")</f>
        <v>11.833333333333334</v>
      </c>
      <c r="L1078" s="2" t="s">
        <v>285</v>
      </c>
      <c r="M1078" s="33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14" t="s">
        <v>307</v>
      </c>
      <c r="Q1078" s="113" t="s">
        <v>308</v>
      </c>
      <c r="R1078">
        <v>7</v>
      </c>
      <c r="S1078" s="2">
        <v>32</v>
      </c>
      <c r="T1078" t="s">
        <v>286</v>
      </c>
      <c r="U1078" t="s">
        <v>291</v>
      </c>
      <c r="V1078" t="s">
        <v>289</v>
      </c>
      <c r="W1078" s="32"/>
      <c r="X1078" s="32"/>
      <c r="Y1078" s="26"/>
      <c r="Z1078" s="26"/>
      <c r="AA1078" s="27">
        <f>IF(TA[[#This Row],[Work Start time on Fault]]="NA","",(TA[[#This Row],[Fault Acknowledgement Time ]]-TA[[#This Row],[Fault Time]])*24)</f>
        <v>0</v>
      </c>
      <c r="AB1078" s="27">
        <f>(TA[[#This Row],[Work Start time on Fault]]-TA[[#This Row],[Fault Time]])*24</f>
        <v>0</v>
      </c>
      <c r="AC1078" s="26">
        <f>(TA[[#This Row],[Work Completion time on fault]]-TA[[#This Row],[Fault Time]])*24</f>
        <v>0</v>
      </c>
      <c r="AD1078" s="27">
        <f>IFERROR((TA[[#This Row],[Work Completion time on fault]]-TA[[#This Row],[Fault Time]])*24,"")</f>
        <v>0</v>
      </c>
      <c r="AE1078" t="s">
        <v>319</v>
      </c>
      <c r="AF1078" t="s">
        <v>247</v>
      </c>
      <c r="AG1078" s="2"/>
      <c r="AH1078" s="35">
        <f>1-COS(RADIANS(TA[[#This Row],[Avg. Target Angle during Fault Time (Radians)]]-TA[[#This Row],[Angle of affected equipment ]]))</f>
        <v>0.11705240714107301</v>
      </c>
      <c r="AI1078" s="27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43">
        <f t="shared" si="110"/>
        <v>2026</v>
      </c>
      <c r="C1079" s="116">
        <f t="shared" si="111"/>
        <v>2025</v>
      </c>
      <c r="D1079" s="2" t="s">
        <v>155</v>
      </c>
      <c r="E1079" s="2" t="s">
        <v>155</v>
      </c>
      <c r="F1079" s="30">
        <v>45809</v>
      </c>
      <c r="G1079" s="2">
        <f>DAY(EOMONTH(TA[[#This Row],[Month Year]],0))</f>
        <v>30</v>
      </c>
      <c r="H1079" s="21">
        <v>45820</v>
      </c>
      <c r="I1079" s="32">
        <f>IFERROR(VLOOKUP(TA[[#This Row],[Date]],Raw_Data[[Date]:[Sunset Time (POA&lt;20 W/m2)]],3,0),"")</f>
        <v>0.28125</v>
      </c>
      <c r="J1079" s="32">
        <f>IFERROR(VLOOKUP(TA[[#This Row],[Date]],Raw_Data[[Date]:[Sunset Time (POA&lt;20 W/m2)]],4,0),"")</f>
        <v>0.77430555555555558</v>
      </c>
      <c r="K1079" s="27">
        <f>IFERROR((TA[[#This Row],[Sunset Time (POA&lt;20 W/m2)]]-TA[[#This Row],[Sunrise Time (POA&gt;20 W/m2)]])*24,"")</f>
        <v>11.833333333333334</v>
      </c>
      <c r="L1079" s="2" t="s">
        <v>285</v>
      </c>
      <c r="M1079" s="33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14" t="s">
        <v>306</v>
      </c>
      <c r="Q1079" s="113" t="s">
        <v>310</v>
      </c>
      <c r="R1079">
        <v>166</v>
      </c>
      <c r="S1079" s="2">
        <v>91</v>
      </c>
      <c r="T1079" t="s">
        <v>286</v>
      </c>
      <c r="U1079" t="s">
        <v>291</v>
      </c>
      <c r="V1079" t="s">
        <v>289</v>
      </c>
      <c r="W1079" s="32"/>
      <c r="X1079" s="32"/>
      <c r="Y1079" s="26"/>
      <c r="Z1079" s="26"/>
      <c r="AA1079" s="27">
        <f>IF(TA[[#This Row],[Work Start time on Fault]]="NA","",(TA[[#This Row],[Fault Acknowledgement Time ]]-TA[[#This Row],[Fault Time]])*24)</f>
        <v>0</v>
      </c>
      <c r="AB1079" s="27">
        <f>(TA[[#This Row],[Work Start time on Fault]]-TA[[#This Row],[Fault Time]])*24</f>
        <v>0</v>
      </c>
      <c r="AC1079" s="26">
        <f>(TA[[#This Row],[Work Completion time on fault]]-TA[[#This Row],[Fault Time]])*24</f>
        <v>0</v>
      </c>
      <c r="AD1079" s="27">
        <f>IFERROR((TA[[#This Row],[Work Completion time on fault]]-TA[[#This Row],[Fault Time]])*24,"")</f>
        <v>0</v>
      </c>
      <c r="AE1079" t="s">
        <v>319</v>
      </c>
      <c r="AF1079" t="s">
        <v>247</v>
      </c>
      <c r="AG1079" s="2"/>
      <c r="AH1079" s="35">
        <f>1-COS(RADIANS(TA[[#This Row],[Avg. Target Angle during Fault Time (Radians)]]-TA[[#This Row],[Angle of affected equipment ]]))</f>
        <v>0.11705240714107301</v>
      </c>
      <c r="AI1079" s="27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43">
        <f t="shared" si="110"/>
        <v>2026</v>
      </c>
      <c r="C1080" s="116">
        <f t="shared" si="111"/>
        <v>2025</v>
      </c>
      <c r="D1080" s="2" t="s">
        <v>155</v>
      </c>
      <c r="E1080" s="2" t="s">
        <v>155</v>
      </c>
      <c r="F1080" s="30">
        <v>45809</v>
      </c>
      <c r="G1080" s="2">
        <f>DAY(EOMONTH(TA[[#This Row],[Month Year]],0))</f>
        <v>30</v>
      </c>
      <c r="H1080" s="21">
        <v>45820</v>
      </c>
      <c r="I1080" s="32">
        <f>IFERROR(VLOOKUP(TA[[#This Row],[Date]],Raw_Data[[Date]:[Sunset Time (POA&lt;20 W/m2)]],3,0),"")</f>
        <v>0.28125</v>
      </c>
      <c r="J1080" s="32">
        <f>IFERROR(VLOOKUP(TA[[#This Row],[Date]],Raw_Data[[Date]:[Sunset Time (POA&lt;20 W/m2)]],4,0),"")</f>
        <v>0.77430555555555558</v>
      </c>
      <c r="K1080" s="27">
        <f>IFERROR((TA[[#This Row],[Sunset Time (POA&lt;20 W/m2)]]-TA[[#This Row],[Sunrise Time (POA&gt;20 W/m2)]])*24,"")</f>
        <v>11.833333333333334</v>
      </c>
      <c r="L1080" s="2" t="s">
        <v>285</v>
      </c>
      <c r="M1080" s="33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14" t="s">
        <v>307</v>
      </c>
      <c r="Q1080" s="113" t="s">
        <v>307</v>
      </c>
      <c r="R1080">
        <v>117</v>
      </c>
      <c r="S1080" s="2">
        <v>20</v>
      </c>
      <c r="T1080" t="s">
        <v>286</v>
      </c>
      <c r="U1080" t="s">
        <v>291</v>
      </c>
      <c r="V1080" t="s">
        <v>289</v>
      </c>
      <c r="W1080" s="32"/>
      <c r="X1080" s="32"/>
      <c r="Y1080" s="26"/>
      <c r="Z1080" s="26"/>
      <c r="AA1080" s="27">
        <f>IF(TA[[#This Row],[Work Start time on Fault]]="NA","",(TA[[#This Row],[Fault Acknowledgement Time ]]-TA[[#This Row],[Fault Time]])*24)</f>
        <v>0</v>
      </c>
      <c r="AB1080" s="27">
        <f>(TA[[#This Row],[Work Start time on Fault]]-TA[[#This Row],[Fault Time]])*24</f>
        <v>0</v>
      </c>
      <c r="AC1080" s="26">
        <f>(TA[[#This Row],[Work Completion time on fault]]-TA[[#This Row],[Fault Time]])*24</f>
        <v>0</v>
      </c>
      <c r="AD1080" s="27">
        <f>IFERROR((TA[[#This Row],[Work Completion time on fault]]-TA[[#This Row],[Fault Time]])*24,"")</f>
        <v>0</v>
      </c>
      <c r="AE1080" t="s">
        <v>319</v>
      </c>
      <c r="AF1080" t="s">
        <v>247</v>
      </c>
      <c r="AG1080" s="2"/>
      <c r="AH1080" s="35">
        <f>1-COS(RADIANS(TA[[#This Row],[Avg. Target Angle during Fault Time (Radians)]]-TA[[#This Row],[Angle of affected equipment ]]))</f>
        <v>0.11705240714107301</v>
      </c>
      <c r="AI1080" s="27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43">
        <f t="shared" si="110"/>
        <v>2026</v>
      </c>
      <c r="C1081" s="116">
        <f t="shared" si="111"/>
        <v>2025</v>
      </c>
      <c r="D1081" s="2" t="s">
        <v>155</v>
      </c>
      <c r="E1081" s="2" t="s">
        <v>155</v>
      </c>
      <c r="F1081" s="30">
        <v>45809</v>
      </c>
      <c r="G1081" s="2">
        <f>DAY(EOMONTH(TA[[#This Row],[Month Year]],0))</f>
        <v>30</v>
      </c>
      <c r="H1081" s="21">
        <v>45820</v>
      </c>
      <c r="I1081" s="32">
        <f>IFERROR(VLOOKUP(TA[[#This Row],[Date]],Raw_Data[[Date]:[Sunset Time (POA&lt;20 W/m2)]],3,0),"")</f>
        <v>0.28125</v>
      </c>
      <c r="J1081" s="32">
        <f>IFERROR(VLOOKUP(TA[[#This Row],[Date]],Raw_Data[[Date]:[Sunset Time (POA&lt;20 W/m2)]],4,0),"")</f>
        <v>0.77430555555555558</v>
      </c>
      <c r="K1081" s="27">
        <f>IFERROR((TA[[#This Row],[Sunset Time (POA&lt;20 W/m2)]]-TA[[#This Row],[Sunrise Time (POA&gt;20 W/m2)]])*24,"")</f>
        <v>11.833333333333334</v>
      </c>
      <c r="L1081" s="2" t="s">
        <v>285</v>
      </c>
      <c r="M1081" s="33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14" t="s">
        <v>307</v>
      </c>
      <c r="Q1081" s="113" t="s">
        <v>307</v>
      </c>
      <c r="R1081">
        <v>118</v>
      </c>
      <c r="S1081" s="2">
        <v>22</v>
      </c>
      <c r="T1081" t="s">
        <v>286</v>
      </c>
      <c r="U1081" t="s">
        <v>291</v>
      </c>
      <c r="V1081" t="s">
        <v>289</v>
      </c>
      <c r="W1081" s="32"/>
      <c r="X1081" s="32"/>
      <c r="Y1081" s="26"/>
      <c r="Z1081" s="26"/>
      <c r="AA1081" s="27">
        <f>IF(TA[[#This Row],[Work Start time on Fault]]="NA","",(TA[[#This Row],[Fault Acknowledgement Time ]]-TA[[#This Row],[Fault Time]])*24)</f>
        <v>0</v>
      </c>
      <c r="AB1081" s="27">
        <f>(TA[[#This Row],[Work Start time on Fault]]-TA[[#This Row],[Fault Time]])*24</f>
        <v>0</v>
      </c>
      <c r="AC1081" s="26">
        <f>(TA[[#This Row],[Work Completion time on fault]]-TA[[#This Row],[Fault Time]])*24</f>
        <v>0</v>
      </c>
      <c r="AD1081" s="27">
        <f>IFERROR((TA[[#This Row],[Work Completion time on fault]]-TA[[#This Row],[Fault Time]])*24,"")</f>
        <v>0</v>
      </c>
      <c r="AE1081" t="s">
        <v>319</v>
      </c>
      <c r="AF1081" t="s">
        <v>247</v>
      </c>
      <c r="AG1081" s="2"/>
      <c r="AH1081" s="35">
        <f>1-COS(RADIANS(TA[[#This Row],[Avg. Target Angle during Fault Time (Radians)]]-TA[[#This Row],[Angle of affected equipment ]]))</f>
        <v>0.11705240714107301</v>
      </c>
      <c r="AI1081" s="27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43">
        <f t="shared" si="110"/>
        <v>2026</v>
      </c>
      <c r="C1082" s="116">
        <f t="shared" si="111"/>
        <v>2025</v>
      </c>
      <c r="D1082" s="2" t="s">
        <v>155</v>
      </c>
      <c r="E1082" s="2" t="s">
        <v>155</v>
      </c>
      <c r="F1082" s="30">
        <v>45809</v>
      </c>
      <c r="G1082" s="2">
        <f>DAY(EOMONTH(TA[[#This Row],[Month Year]],0))</f>
        <v>30</v>
      </c>
      <c r="H1082" s="21">
        <v>45820</v>
      </c>
      <c r="I1082" s="32">
        <f>IFERROR(VLOOKUP(TA[[#This Row],[Date]],Raw_Data[[Date]:[Sunset Time (POA&lt;20 W/m2)]],3,0),"")</f>
        <v>0.28125</v>
      </c>
      <c r="J1082" s="32">
        <f>IFERROR(VLOOKUP(TA[[#This Row],[Date]],Raw_Data[[Date]:[Sunset Time (POA&lt;20 W/m2)]],4,0),"")</f>
        <v>0.77430555555555558</v>
      </c>
      <c r="K1082" s="27">
        <f>IFERROR((TA[[#This Row],[Sunset Time (POA&lt;20 W/m2)]]-TA[[#This Row],[Sunrise Time (POA&gt;20 W/m2)]])*24,"")</f>
        <v>11.833333333333334</v>
      </c>
      <c r="L1082" s="2" t="s">
        <v>287</v>
      </c>
      <c r="M1082" s="33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314</v>
      </c>
      <c r="Q1082" s="2" t="s">
        <v>320</v>
      </c>
      <c r="R1082">
        <v>45</v>
      </c>
      <c r="S1082" s="2">
        <v>8</v>
      </c>
      <c r="T1082" t="s">
        <v>288</v>
      </c>
      <c r="U1082" t="s">
        <v>291</v>
      </c>
      <c r="V1082" t="s">
        <v>292</v>
      </c>
      <c r="W1082" s="32"/>
      <c r="X1082" s="32"/>
      <c r="Y1082" s="26"/>
      <c r="Z1082" s="26"/>
      <c r="AA1082" s="27">
        <f>IF(TA[[#This Row],[Work Start time on Fault]]="NA","",(TA[[#This Row],[Fault Acknowledgement Time ]]-TA[[#This Row],[Fault Time]])*24)</f>
        <v>0</v>
      </c>
      <c r="AB1082" s="27">
        <f>(TA[[#This Row],[Work Start time on Fault]]-TA[[#This Row],[Fault Time]])*24</f>
        <v>0</v>
      </c>
      <c r="AC1082" s="26">
        <f>(TA[[#This Row],[Work Completion time on fault]]-TA[[#This Row],[Fault Time]])*24</f>
        <v>0</v>
      </c>
      <c r="AD1082" s="27">
        <f>IFERROR((TA[[#This Row],[Work Completion time on fault]]-TA[[#This Row],[Fault Time]])*24,"")</f>
        <v>0</v>
      </c>
      <c r="AE1082" t="s">
        <v>319</v>
      </c>
      <c r="AF1082" t="s">
        <v>247</v>
      </c>
      <c r="AG1082" s="2"/>
      <c r="AH1082" s="35">
        <f>1-COS(RADIANS(TA[[#This Row],[Avg. Target Angle during Fault Time (Radians)]]-TA[[#This Row],[Angle of affected equipment ]]))</f>
        <v>0.11705240714107301</v>
      </c>
      <c r="AI1082" s="27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43">
        <f t="shared" si="110"/>
        <v>2026</v>
      </c>
      <c r="C1083" s="116">
        <f t="shared" si="111"/>
        <v>2025</v>
      </c>
      <c r="D1083" s="2" t="s">
        <v>155</v>
      </c>
      <c r="E1083" s="2" t="s">
        <v>155</v>
      </c>
      <c r="F1083" s="30">
        <v>45809</v>
      </c>
      <c r="G1083" s="2">
        <f>DAY(EOMONTH(TA[[#This Row],[Month Year]],0))</f>
        <v>30</v>
      </c>
      <c r="H1083" s="21">
        <v>45820</v>
      </c>
      <c r="I1083" s="32">
        <f>IFERROR(VLOOKUP(TA[[#This Row],[Date]],Raw_Data[[Date]:[Sunset Time (POA&lt;20 W/m2)]],3,0),"")</f>
        <v>0.28125</v>
      </c>
      <c r="J1083" s="32">
        <f>IFERROR(VLOOKUP(TA[[#This Row],[Date]],Raw_Data[[Date]:[Sunset Time (POA&lt;20 W/m2)]],4,0),"")</f>
        <v>0.77430555555555558</v>
      </c>
      <c r="K1083" s="27">
        <f>IFERROR((TA[[#This Row],[Sunset Time (POA&lt;20 W/m2)]]-TA[[#This Row],[Sunrise Time (POA&gt;20 W/m2)]])*24,"")</f>
        <v>11.833333333333334</v>
      </c>
      <c r="L1083" s="2" t="s">
        <v>287</v>
      </c>
      <c r="M1083" s="33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314</v>
      </c>
      <c r="Q1083" s="2" t="s">
        <v>320</v>
      </c>
      <c r="R1083">
        <v>47</v>
      </c>
      <c r="S1083" s="2">
        <v>18</v>
      </c>
      <c r="T1083" t="s">
        <v>288</v>
      </c>
      <c r="U1083" t="s">
        <v>291</v>
      </c>
      <c r="V1083" t="s">
        <v>292</v>
      </c>
      <c r="W1083" s="32"/>
      <c r="X1083" s="32"/>
      <c r="Y1083" s="26"/>
      <c r="Z1083" s="26"/>
      <c r="AA1083" s="27">
        <f>IF(TA[[#This Row],[Work Start time on Fault]]="NA","",(TA[[#This Row],[Fault Acknowledgement Time ]]-TA[[#This Row],[Fault Time]])*24)</f>
        <v>0</v>
      </c>
      <c r="AB1083" s="27">
        <f>(TA[[#This Row],[Work Start time on Fault]]-TA[[#This Row],[Fault Time]])*24</f>
        <v>0</v>
      </c>
      <c r="AC1083" s="26">
        <f>(TA[[#This Row],[Work Completion time on fault]]-TA[[#This Row],[Fault Time]])*24</f>
        <v>0</v>
      </c>
      <c r="AD1083" s="27">
        <f>IFERROR((TA[[#This Row],[Work Completion time on fault]]-TA[[#This Row],[Fault Time]])*24,"")</f>
        <v>0</v>
      </c>
      <c r="AE1083" t="s">
        <v>319</v>
      </c>
      <c r="AF1083" t="s">
        <v>247</v>
      </c>
      <c r="AG1083" s="2"/>
      <c r="AH1083" s="35">
        <f>1-COS(RADIANS(TA[[#This Row],[Avg. Target Angle during Fault Time (Radians)]]-TA[[#This Row],[Angle of affected equipment ]]))</f>
        <v>0.11705240714107301</v>
      </c>
      <c r="AI1083" s="27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43">
        <f t="shared" si="110"/>
        <v>2026</v>
      </c>
      <c r="C1084" s="116">
        <f t="shared" si="111"/>
        <v>2025</v>
      </c>
      <c r="D1084" s="2" t="s">
        <v>155</v>
      </c>
      <c r="E1084" s="2" t="s">
        <v>155</v>
      </c>
      <c r="F1084" s="30">
        <v>45809</v>
      </c>
      <c r="G1084" s="2">
        <f>DAY(EOMONTH(TA[[#This Row],[Month Year]],0))</f>
        <v>30</v>
      </c>
      <c r="H1084" s="21">
        <v>45820</v>
      </c>
      <c r="I1084" s="32">
        <f>IFERROR(VLOOKUP(TA[[#This Row],[Date]],Raw_Data[[Date]:[Sunset Time (POA&lt;20 W/m2)]],3,0),"")</f>
        <v>0.28125</v>
      </c>
      <c r="J1084" s="32">
        <f>IFERROR(VLOOKUP(TA[[#This Row],[Date]],Raw_Data[[Date]:[Sunset Time (POA&lt;20 W/m2)]],4,0),"")</f>
        <v>0.77430555555555558</v>
      </c>
      <c r="K1084" s="27">
        <f>IFERROR((TA[[#This Row],[Sunset Time (POA&lt;20 W/m2)]]-TA[[#This Row],[Sunrise Time (POA&gt;20 W/m2)]])*24,"")</f>
        <v>11.833333333333334</v>
      </c>
      <c r="L1084" s="2" t="s">
        <v>287</v>
      </c>
      <c r="M1084" s="33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321</v>
      </c>
      <c r="Q1084" s="2" t="s">
        <v>314</v>
      </c>
      <c r="R1084">
        <v>30</v>
      </c>
      <c r="S1084" s="2">
        <v>57</v>
      </c>
      <c r="T1084" t="s">
        <v>288</v>
      </c>
      <c r="U1084" t="s">
        <v>291</v>
      </c>
      <c r="V1084" t="s">
        <v>292</v>
      </c>
      <c r="W1084" s="32"/>
      <c r="X1084" s="32"/>
      <c r="Y1084" s="26"/>
      <c r="Z1084" s="26"/>
      <c r="AA1084" s="27">
        <f>IF(TA[[#This Row],[Work Start time on Fault]]="NA","",(TA[[#This Row],[Fault Acknowledgement Time ]]-TA[[#This Row],[Fault Time]])*24)</f>
        <v>0</v>
      </c>
      <c r="AB1084" s="27">
        <f>(TA[[#This Row],[Work Start time on Fault]]-TA[[#This Row],[Fault Time]])*24</f>
        <v>0</v>
      </c>
      <c r="AC1084" s="26">
        <f>(TA[[#This Row],[Work Completion time on fault]]-TA[[#This Row],[Fault Time]])*24</f>
        <v>0</v>
      </c>
      <c r="AD1084" s="27">
        <f>IFERROR((TA[[#This Row],[Work Completion time on fault]]-TA[[#This Row],[Fault Time]])*24,"")</f>
        <v>0</v>
      </c>
      <c r="AE1084" t="s">
        <v>319</v>
      </c>
      <c r="AF1084" t="s">
        <v>247</v>
      </c>
      <c r="AG1084" s="2"/>
      <c r="AH1084" s="35">
        <f>1-COS(RADIANS(TA[[#This Row],[Avg. Target Angle during Fault Time (Radians)]]-TA[[#This Row],[Angle of affected equipment ]]))</f>
        <v>0.11705240714107301</v>
      </c>
      <c r="AI1084" s="27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43">
        <f t="shared" si="110"/>
        <v>2026</v>
      </c>
      <c r="C1085" s="116">
        <f t="shared" si="111"/>
        <v>2025</v>
      </c>
      <c r="D1085" s="2" t="s">
        <v>155</v>
      </c>
      <c r="E1085" s="2" t="s">
        <v>155</v>
      </c>
      <c r="F1085" s="30">
        <v>45809</v>
      </c>
      <c r="G1085" s="2">
        <f>DAY(EOMONTH(TA[[#This Row],[Month Year]],0))</f>
        <v>30</v>
      </c>
      <c r="H1085" s="21">
        <v>45820</v>
      </c>
      <c r="I1085" s="32">
        <f>IFERROR(VLOOKUP(TA[[#This Row],[Date]],Raw_Data[[Date]:[Sunset Time (POA&lt;20 W/m2)]],3,0),"")</f>
        <v>0.28125</v>
      </c>
      <c r="J1085" s="32">
        <f>IFERROR(VLOOKUP(TA[[#This Row],[Date]],Raw_Data[[Date]:[Sunset Time (POA&lt;20 W/m2)]],4,0),"")</f>
        <v>0.77430555555555558</v>
      </c>
      <c r="K1085" s="27">
        <f>IFERROR((TA[[#This Row],[Sunset Time (POA&lt;20 W/m2)]]-TA[[#This Row],[Sunrise Time (POA&gt;20 W/m2)]])*24,"")</f>
        <v>11.833333333333334</v>
      </c>
      <c r="L1085" s="2" t="s">
        <v>287</v>
      </c>
      <c r="M1085" s="33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321</v>
      </c>
      <c r="Q1085" s="2" t="s">
        <v>314</v>
      </c>
      <c r="R1085">
        <v>31</v>
      </c>
      <c r="S1085" s="2">
        <v>61</v>
      </c>
      <c r="T1085" t="s">
        <v>288</v>
      </c>
      <c r="U1085" t="s">
        <v>291</v>
      </c>
      <c r="V1085" t="s">
        <v>292</v>
      </c>
      <c r="W1085" s="32"/>
      <c r="X1085" s="32"/>
      <c r="Y1085" s="26"/>
      <c r="Z1085" s="26"/>
      <c r="AA1085" s="27">
        <f>IF(TA[[#This Row],[Work Start time on Fault]]="NA","",(TA[[#This Row],[Fault Acknowledgement Time ]]-TA[[#This Row],[Fault Time]])*24)</f>
        <v>0</v>
      </c>
      <c r="AB1085" s="27">
        <f>(TA[[#This Row],[Work Start time on Fault]]-TA[[#This Row],[Fault Time]])*24</f>
        <v>0</v>
      </c>
      <c r="AC1085" s="26">
        <f>(TA[[#This Row],[Work Completion time on fault]]-TA[[#This Row],[Fault Time]])*24</f>
        <v>0</v>
      </c>
      <c r="AD1085" s="27">
        <f>IFERROR((TA[[#This Row],[Work Completion time on fault]]-TA[[#This Row],[Fault Time]])*24,"")</f>
        <v>0</v>
      </c>
      <c r="AE1085" t="s">
        <v>319</v>
      </c>
      <c r="AF1085" t="s">
        <v>247</v>
      </c>
      <c r="AG1085" s="2"/>
      <c r="AH1085" s="35">
        <f>1-COS(RADIANS(TA[[#This Row],[Avg. Target Angle during Fault Time (Radians)]]-TA[[#This Row],[Angle of affected equipment ]]))</f>
        <v>0.11705240714107301</v>
      </c>
      <c r="AI1085" s="27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43">
        <f t="shared" si="110"/>
        <v>2026</v>
      </c>
      <c r="C1086" s="116">
        <f t="shared" si="111"/>
        <v>2025</v>
      </c>
      <c r="D1086" s="2" t="s">
        <v>155</v>
      </c>
      <c r="E1086" s="2" t="s">
        <v>155</v>
      </c>
      <c r="F1086" s="30">
        <v>45809</v>
      </c>
      <c r="G1086" s="2">
        <f>DAY(EOMONTH(TA[[#This Row],[Month Year]],0))</f>
        <v>30</v>
      </c>
      <c r="H1086" s="21">
        <v>45820</v>
      </c>
      <c r="I1086" s="32">
        <f>IFERROR(VLOOKUP(TA[[#This Row],[Date]],Raw_Data[[Date]:[Sunset Time (POA&lt;20 W/m2)]],3,0),"")</f>
        <v>0.28125</v>
      </c>
      <c r="J1086" s="32">
        <f>IFERROR(VLOOKUP(TA[[#This Row],[Date]],Raw_Data[[Date]:[Sunset Time (POA&lt;20 W/m2)]],4,0),"")</f>
        <v>0.77430555555555558</v>
      </c>
      <c r="K1086" s="27">
        <f>IFERROR((TA[[#This Row],[Sunset Time (POA&lt;20 W/m2)]]-TA[[#This Row],[Sunrise Time (POA&gt;20 W/m2)]])*24,"")</f>
        <v>11.833333333333334</v>
      </c>
      <c r="L1086" s="2" t="s">
        <v>303</v>
      </c>
      <c r="M1086" s="33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321</v>
      </c>
      <c r="Q1086" s="2" t="s">
        <v>314</v>
      </c>
      <c r="R1086">
        <v>26</v>
      </c>
      <c r="S1086" s="2">
        <v>37</v>
      </c>
      <c r="T1086" t="s">
        <v>288</v>
      </c>
      <c r="U1086" t="s">
        <v>291</v>
      </c>
      <c r="V1086" t="s">
        <v>292</v>
      </c>
      <c r="W1086" s="32"/>
      <c r="X1086" s="32"/>
      <c r="Y1086" s="26"/>
      <c r="Z1086" s="26"/>
      <c r="AA1086" s="27">
        <f>IF(TA[[#This Row],[Work Start time on Fault]]="NA","",(TA[[#This Row],[Fault Acknowledgement Time ]]-TA[[#This Row],[Fault Time]])*24)</f>
        <v>0</v>
      </c>
      <c r="AB1086" s="27">
        <f>(TA[[#This Row],[Work Start time on Fault]]-TA[[#This Row],[Fault Time]])*24</f>
        <v>0</v>
      </c>
      <c r="AC1086" s="26">
        <f>(TA[[#This Row],[Work Completion time on fault]]-TA[[#This Row],[Fault Time]])*24</f>
        <v>0</v>
      </c>
      <c r="AD1086" s="27">
        <f>IFERROR((TA[[#This Row],[Work Completion time on fault]]-TA[[#This Row],[Fault Time]])*24,"")</f>
        <v>0</v>
      </c>
      <c r="AE1086" t="s">
        <v>319</v>
      </c>
      <c r="AF1086" t="s">
        <v>247</v>
      </c>
      <c r="AG1086" s="2"/>
      <c r="AH1086" s="35">
        <f>1-COS(RADIANS(TA[[#This Row],[Avg. Target Angle during Fault Time (Radians)]]-TA[[#This Row],[Angle of affected equipment ]]))</f>
        <v>0.11705240714107301</v>
      </c>
      <c r="AI1086" s="27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43">
        <f t="shared" si="110"/>
        <v>2026</v>
      </c>
      <c r="C1087" s="116">
        <f t="shared" si="111"/>
        <v>2025</v>
      </c>
      <c r="D1087" s="2" t="s">
        <v>155</v>
      </c>
      <c r="E1087" s="2" t="s">
        <v>155</v>
      </c>
      <c r="F1087" s="30">
        <v>45809</v>
      </c>
      <c r="G1087" s="2">
        <f>DAY(EOMONTH(TA[[#This Row],[Month Year]],0))</f>
        <v>30</v>
      </c>
      <c r="H1087" s="21">
        <v>45820</v>
      </c>
      <c r="I1087" s="32">
        <f>IFERROR(VLOOKUP(TA[[#This Row],[Date]],Raw_Data[[Date]:[Sunset Time (POA&lt;20 W/m2)]],3,0),"")</f>
        <v>0.28125</v>
      </c>
      <c r="J1087" s="32">
        <f>IFERROR(VLOOKUP(TA[[#This Row],[Date]],Raw_Data[[Date]:[Sunset Time (POA&lt;20 W/m2)]],4,0),"")</f>
        <v>0.77430555555555558</v>
      </c>
      <c r="K1087" s="27">
        <f>IFERROR((TA[[#This Row],[Sunset Time (POA&lt;20 W/m2)]]-TA[[#This Row],[Sunrise Time (POA&gt;20 W/m2)]])*24,"")</f>
        <v>11.833333333333334</v>
      </c>
      <c r="L1087" s="2" t="s">
        <v>303</v>
      </c>
      <c r="M1087" s="33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321</v>
      </c>
      <c r="Q1087" s="2" t="s">
        <v>314</v>
      </c>
      <c r="R1087">
        <v>27</v>
      </c>
      <c r="S1087" s="2">
        <v>42</v>
      </c>
      <c r="T1087" t="s">
        <v>288</v>
      </c>
      <c r="U1087" t="s">
        <v>291</v>
      </c>
      <c r="V1087" t="s">
        <v>292</v>
      </c>
      <c r="W1087" s="32">
        <f>IFERROR(VLOOKUP(TA[[#This Row],[Date]],Raw_Data[[Date]:[Sunset Time (POA&lt;20 W/m2)]],3,0),"")</f>
        <v>0.28125</v>
      </c>
      <c r="X1087" s="32">
        <f>IFERROR(VLOOKUP(TA[[#This Row],[Date]],Raw_Data[[Date]:[Sunset Time (POA&lt;20 W/m2)]],3,0),"")</f>
        <v>0.28125</v>
      </c>
      <c r="Y1087" s="26"/>
      <c r="Z1087" s="26">
        <v>0.76041666666666663</v>
      </c>
      <c r="AA1087" s="27">
        <f>IF(TA[[#This Row],[Work Start time on Fault]]="NA","",(TA[[#This Row],[Fault Acknowledgement Time ]]-TA[[#This Row],[Fault Time]])*24)</f>
        <v>0</v>
      </c>
      <c r="AB1087" s="27">
        <f>(TA[[#This Row],[Work Start time on Fault]]-TA[[#This Row],[Fault Time]])*24</f>
        <v>-6.75</v>
      </c>
      <c r="AC1087" s="26">
        <f>(TA[[#This Row],[Work Completion time on fault]]-TA[[#This Row],[Fault Time]])*24</f>
        <v>11.5</v>
      </c>
      <c r="AD1087" s="27">
        <f>IFERROR((TA[[#This Row],[Work Completion time on fault]]-TA[[#This Row],[Fault Time]])*24,"")</f>
        <v>11.5</v>
      </c>
      <c r="AE1087" t="s">
        <v>300</v>
      </c>
      <c r="AF1087" t="s">
        <v>247</v>
      </c>
      <c r="AG1087" s="2"/>
      <c r="AH1087" s="35">
        <f>1-COS(RADIANS(TA[[#This Row],[Avg. Target Angle during Fault Time (Radians)]]-TA[[#This Row],[Angle of affected equipment ]]))</f>
        <v>0.11705240714107301</v>
      </c>
      <c r="AI1087" s="27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43">
        <f t="shared" ref="B1088:B1100" si="112">YEAR(H1088)+IF(MONTH(H1088)&gt;=4,1,0)</f>
        <v>2026</v>
      </c>
      <c r="C1088" s="116">
        <f t="shared" ref="C1088:C1100" si="113">YEAR(H1088)</f>
        <v>2025</v>
      </c>
      <c r="D1088" s="2" t="s">
        <v>155</v>
      </c>
      <c r="E1088" s="2" t="s">
        <v>155</v>
      </c>
      <c r="F1088" s="30">
        <v>45809</v>
      </c>
      <c r="G1088" s="2">
        <f>DAY(EOMONTH(TA[[#This Row],[Month Year]],0))</f>
        <v>30</v>
      </c>
      <c r="H1088" s="21">
        <v>45821</v>
      </c>
      <c r="I1088" s="32">
        <f>IFERROR(VLOOKUP(TA[[#This Row],[Date]],Raw_Data[[Date]:[Sunset Time (POA&lt;20 W/m2)]],3,0),"")</f>
        <v>0.24861111111111112</v>
      </c>
      <c r="J1088" s="32">
        <f>IFERROR(VLOOKUP(TA[[#This Row],[Date]],Raw_Data[[Date]:[Sunset Time (POA&lt;20 W/m2)]],4,0),"")</f>
        <v>0.77569444444444446</v>
      </c>
      <c r="K1088" s="27">
        <f>IFERROR((TA[[#This Row],[Sunset Time (POA&lt;20 W/m2)]]-TA[[#This Row],[Sunrise Time (POA&gt;20 W/m2)]])*24,"")</f>
        <v>12.65</v>
      </c>
      <c r="L1088" s="2" t="s">
        <v>285</v>
      </c>
      <c r="M1088" s="33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14" t="s">
        <v>309</v>
      </c>
      <c r="Q1088" s="113" t="s">
        <v>309</v>
      </c>
      <c r="R1088">
        <v>131</v>
      </c>
      <c r="S1088" s="2">
        <v>38</v>
      </c>
      <c r="T1088" t="s">
        <v>286</v>
      </c>
      <c r="U1088" t="s">
        <v>291</v>
      </c>
      <c r="V1088" t="s">
        <v>289</v>
      </c>
      <c r="W1088" s="32"/>
      <c r="X1088" s="32"/>
      <c r="Y1088" s="26"/>
      <c r="Z1088" s="26"/>
      <c r="AA1088" s="27">
        <f>IF(TA[[#This Row],[Work Start time on Fault]]="NA","",(TA[[#This Row],[Fault Acknowledgement Time ]]-TA[[#This Row],[Fault Time]])*24)</f>
        <v>0</v>
      </c>
      <c r="AB1088" s="27">
        <f>(TA[[#This Row],[Work Start time on Fault]]-TA[[#This Row],[Fault Time]])*24</f>
        <v>0</v>
      </c>
      <c r="AC1088" s="26">
        <f>(TA[[#This Row],[Work Completion time on fault]]-TA[[#This Row],[Fault Time]])*24</f>
        <v>0</v>
      </c>
      <c r="AD1088" s="27">
        <f>IFERROR((TA[[#This Row],[Work Completion time on fault]]-TA[[#This Row],[Fault Time]])*24,"")</f>
        <v>0</v>
      </c>
      <c r="AE1088" t="s">
        <v>319</v>
      </c>
      <c r="AF1088" t="s">
        <v>247</v>
      </c>
      <c r="AG1088" s="2"/>
      <c r="AH1088" s="35">
        <f>1-COS(RADIANS(TA[[#This Row],[Avg. Target Angle during Fault Time (Radians)]]-TA[[#This Row],[Angle of affected equipment ]]))</f>
        <v>0.11705240714107301</v>
      </c>
      <c r="AI1088" s="27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43">
        <f t="shared" si="112"/>
        <v>2026</v>
      </c>
      <c r="C1089" s="116">
        <f t="shared" si="113"/>
        <v>2025</v>
      </c>
      <c r="D1089" s="2" t="s">
        <v>155</v>
      </c>
      <c r="E1089" s="2" t="s">
        <v>155</v>
      </c>
      <c r="F1089" s="30">
        <v>45809</v>
      </c>
      <c r="G1089" s="2">
        <f>DAY(EOMONTH(TA[[#This Row],[Month Year]],0))</f>
        <v>30</v>
      </c>
      <c r="H1089" s="21">
        <v>45821</v>
      </c>
      <c r="I1089" s="32">
        <f>IFERROR(VLOOKUP(TA[[#This Row],[Date]],Raw_Data[[Date]:[Sunset Time (POA&lt;20 W/m2)]],3,0),"")</f>
        <v>0.24861111111111112</v>
      </c>
      <c r="J1089" s="32">
        <f>IFERROR(VLOOKUP(TA[[#This Row],[Date]],Raw_Data[[Date]:[Sunset Time (POA&lt;20 W/m2)]],4,0),"")</f>
        <v>0.77569444444444446</v>
      </c>
      <c r="K1089" s="27">
        <f>IFERROR((TA[[#This Row],[Sunset Time (POA&lt;20 W/m2)]]-TA[[#This Row],[Sunrise Time (POA&gt;20 W/m2)]])*24,"")</f>
        <v>12.65</v>
      </c>
      <c r="L1089" s="2" t="s">
        <v>285</v>
      </c>
      <c r="M1089" s="33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14" t="s">
        <v>309</v>
      </c>
      <c r="Q1089" s="113" t="s">
        <v>309</v>
      </c>
      <c r="R1089">
        <v>131</v>
      </c>
      <c r="S1089" s="2">
        <v>39</v>
      </c>
      <c r="T1089" t="s">
        <v>286</v>
      </c>
      <c r="U1089" t="s">
        <v>291</v>
      </c>
      <c r="V1089" t="s">
        <v>289</v>
      </c>
      <c r="W1089" s="32"/>
      <c r="X1089" s="32"/>
      <c r="Y1089" s="26"/>
      <c r="Z1089" s="26"/>
      <c r="AA1089" s="27">
        <f>IF(TA[[#This Row],[Work Start time on Fault]]="NA","",(TA[[#This Row],[Fault Acknowledgement Time ]]-TA[[#This Row],[Fault Time]])*24)</f>
        <v>0</v>
      </c>
      <c r="AB1089" s="27">
        <f>(TA[[#This Row],[Work Start time on Fault]]-TA[[#This Row],[Fault Time]])*24</f>
        <v>0</v>
      </c>
      <c r="AC1089" s="26">
        <f>(TA[[#This Row],[Work Completion time on fault]]-TA[[#This Row],[Fault Time]])*24</f>
        <v>0</v>
      </c>
      <c r="AD1089" s="27">
        <f>IFERROR((TA[[#This Row],[Work Completion time on fault]]-TA[[#This Row],[Fault Time]])*24,"")</f>
        <v>0</v>
      </c>
      <c r="AE1089" t="s">
        <v>319</v>
      </c>
      <c r="AF1089" t="s">
        <v>247</v>
      </c>
      <c r="AG1089" s="2"/>
      <c r="AH1089" s="35">
        <f>1-COS(RADIANS(TA[[#This Row],[Avg. Target Angle during Fault Time (Radians)]]-TA[[#This Row],[Angle of affected equipment ]]))</f>
        <v>0.11705240714107301</v>
      </c>
      <c r="AI1089" s="27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43">
        <f t="shared" si="112"/>
        <v>2026</v>
      </c>
      <c r="C1090" s="116">
        <f t="shared" si="113"/>
        <v>2025</v>
      </c>
      <c r="D1090" s="2" t="s">
        <v>155</v>
      </c>
      <c r="E1090" s="2" t="s">
        <v>155</v>
      </c>
      <c r="F1090" s="30">
        <v>45809</v>
      </c>
      <c r="G1090" s="2">
        <f>DAY(EOMONTH(TA[[#This Row],[Month Year]],0))</f>
        <v>30</v>
      </c>
      <c r="H1090" s="21">
        <v>45821</v>
      </c>
      <c r="I1090" s="32">
        <f>IFERROR(VLOOKUP(TA[[#This Row],[Date]],Raw_Data[[Date]:[Sunset Time (POA&lt;20 W/m2)]],3,0),"")</f>
        <v>0.24861111111111112</v>
      </c>
      <c r="J1090" s="32">
        <f>IFERROR(VLOOKUP(TA[[#This Row],[Date]],Raw_Data[[Date]:[Sunset Time (POA&lt;20 W/m2)]],4,0),"")</f>
        <v>0.77569444444444446</v>
      </c>
      <c r="K1090" s="27">
        <f>IFERROR((TA[[#This Row],[Sunset Time (POA&lt;20 W/m2)]]-TA[[#This Row],[Sunrise Time (POA&gt;20 W/m2)]])*24,"")</f>
        <v>12.65</v>
      </c>
      <c r="L1090" s="2" t="s">
        <v>287</v>
      </c>
      <c r="M1090" s="33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14" t="s">
        <v>309</v>
      </c>
      <c r="Q1090" s="2" t="s">
        <v>312</v>
      </c>
      <c r="R1090">
        <v>133</v>
      </c>
      <c r="S1090" s="2">
        <v>26</v>
      </c>
      <c r="T1090" t="s">
        <v>288</v>
      </c>
      <c r="U1090" t="s">
        <v>291</v>
      </c>
      <c r="V1090" t="s">
        <v>305</v>
      </c>
      <c r="W1090" s="32">
        <f>IFERROR(VLOOKUP(TA[[#This Row],[Date]],Raw_Data[[Date]:[Sunset Time (POA&lt;20 W/m2)]],3,0),"")</f>
        <v>0.24861111111111112</v>
      </c>
      <c r="X1090" s="32">
        <f>IFERROR(VLOOKUP(TA[[#This Row],[Date]],Raw_Data[[Date]:[Sunset Time (POA&lt;20 W/m2)]],3,0),"")</f>
        <v>0.24861111111111112</v>
      </c>
      <c r="Y1090" s="26"/>
      <c r="Z1090" s="26">
        <v>0.76041666666666663</v>
      </c>
      <c r="AA1090" s="27">
        <f>IF(TA[[#This Row],[Work Start time on Fault]]="NA","",(TA[[#This Row],[Fault Acknowledgement Time ]]-TA[[#This Row],[Fault Time]])*24)</f>
        <v>0</v>
      </c>
      <c r="AB1090" s="27">
        <f>(TA[[#This Row],[Work Start time on Fault]]-TA[[#This Row],[Fault Time]])*24</f>
        <v>-5.9666666666666668</v>
      </c>
      <c r="AC1090" s="26">
        <f>(TA[[#This Row],[Work Completion time on fault]]-TA[[#This Row],[Fault Time]])*24</f>
        <v>12.283333333333331</v>
      </c>
      <c r="AD1090" s="27">
        <f>IFERROR((TA[[#This Row],[Work Completion time on fault]]-TA[[#This Row],[Fault Time]])*24,"")</f>
        <v>12.283333333333331</v>
      </c>
      <c r="AE1090" t="s">
        <v>319</v>
      </c>
      <c r="AF1090" t="s">
        <v>247</v>
      </c>
      <c r="AG1090" s="2"/>
      <c r="AH1090" s="35">
        <f>1-COS(RADIANS(TA[[#This Row],[Avg. Target Angle during Fault Time (Radians)]]-TA[[#This Row],[Angle of affected equipment ]]))</f>
        <v>0.11705240714107301</v>
      </c>
      <c r="AI1090" s="27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43">
        <f t="shared" si="112"/>
        <v>2026</v>
      </c>
      <c r="C1091" s="116">
        <f t="shared" si="113"/>
        <v>2025</v>
      </c>
      <c r="D1091" s="2" t="s">
        <v>155</v>
      </c>
      <c r="E1091" s="2" t="s">
        <v>155</v>
      </c>
      <c r="F1091" s="30">
        <v>45809</v>
      </c>
      <c r="G1091" s="2">
        <f>DAY(EOMONTH(TA[[#This Row],[Month Year]],0))</f>
        <v>30</v>
      </c>
      <c r="H1091" s="21">
        <v>45821</v>
      </c>
      <c r="I1091" s="32">
        <f>IFERROR(VLOOKUP(TA[[#This Row],[Date]],Raw_Data[[Date]:[Sunset Time (POA&lt;20 W/m2)]],3,0),"")</f>
        <v>0.24861111111111112</v>
      </c>
      <c r="J1091" s="32">
        <f>IFERROR(VLOOKUP(TA[[#This Row],[Date]],Raw_Data[[Date]:[Sunset Time (POA&lt;20 W/m2)]],4,0),"")</f>
        <v>0.77569444444444446</v>
      </c>
      <c r="K1091" s="27">
        <f>IFERROR((TA[[#This Row],[Sunset Time (POA&lt;20 W/m2)]]-TA[[#This Row],[Sunrise Time (POA&gt;20 W/m2)]])*24,"")</f>
        <v>12.65</v>
      </c>
      <c r="L1091" s="2" t="s">
        <v>285</v>
      </c>
      <c r="M1091" s="33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14" t="s">
        <v>307</v>
      </c>
      <c r="Q1091" s="113" t="s">
        <v>308</v>
      </c>
      <c r="R1091">
        <v>7</v>
      </c>
      <c r="S1091" s="2">
        <v>32</v>
      </c>
      <c r="T1091" t="s">
        <v>286</v>
      </c>
      <c r="U1091" t="s">
        <v>291</v>
      </c>
      <c r="V1091" t="s">
        <v>289</v>
      </c>
      <c r="W1091" s="32"/>
      <c r="X1091" s="32"/>
      <c r="Y1091" s="26"/>
      <c r="Z1091" s="26"/>
      <c r="AA1091" s="27">
        <f>IF(TA[[#This Row],[Work Start time on Fault]]="NA","",(TA[[#This Row],[Fault Acknowledgement Time ]]-TA[[#This Row],[Fault Time]])*24)</f>
        <v>0</v>
      </c>
      <c r="AB1091" s="27">
        <f>(TA[[#This Row],[Work Start time on Fault]]-TA[[#This Row],[Fault Time]])*24</f>
        <v>0</v>
      </c>
      <c r="AC1091" s="26">
        <f>(TA[[#This Row],[Work Completion time on fault]]-TA[[#This Row],[Fault Time]])*24</f>
        <v>0</v>
      </c>
      <c r="AD1091" s="27">
        <f>IFERROR((TA[[#This Row],[Work Completion time on fault]]-TA[[#This Row],[Fault Time]])*24,"")</f>
        <v>0</v>
      </c>
      <c r="AE1091" t="s">
        <v>319</v>
      </c>
      <c r="AF1091" t="s">
        <v>247</v>
      </c>
      <c r="AG1091" s="2"/>
      <c r="AH1091" s="35">
        <f>1-COS(RADIANS(TA[[#This Row],[Avg. Target Angle during Fault Time (Radians)]]-TA[[#This Row],[Angle of affected equipment ]]))</f>
        <v>0.11705240714107301</v>
      </c>
      <c r="AI1091" s="27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43">
        <f t="shared" si="112"/>
        <v>2026</v>
      </c>
      <c r="C1092" s="116">
        <f t="shared" si="113"/>
        <v>2025</v>
      </c>
      <c r="D1092" s="2" t="s">
        <v>155</v>
      </c>
      <c r="E1092" s="2" t="s">
        <v>155</v>
      </c>
      <c r="F1092" s="30">
        <v>45809</v>
      </c>
      <c r="G1092" s="2">
        <f>DAY(EOMONTH(TA[[#This Row],[Month Year]],0))</f>
        <v>30</v>
      </c>
      <c r="H1092" s="21">
        <v>45821</v>
      </c>
      <c r="I1092" s="32">
        <f>IFERROR(VLOOKUP(TA[[#This Row],[Date]],Raw_Data[[Date]:[Sunset Time (POA&lt;20 W/m2)]],3,0),"")</f>
        <v>0.24861111111111112</v>
      </c>
      <c r="J1092" s="32">
        <f>IFERROR(VLOOKUP(TA[[#This Row],[Date]],Raw_Data[[Date]:[Sunset Time (POA&lt;20 W/m2)]],4,0),"")</f>
        <v>0.77569444444444446</v>
      </c>
      <c r="K1092" s="27">
        <f>IFERROR((TA[[#This Row],[Sunset Time (POA&lt;20 W/m2)]]-TA[[#This Row],[Sunrise Time (POA&gt;20 W/m2)]])*24,"")</f>
        <v>12.65</v>
      </c>
      <c r="L1092" s="2" t="s">
        <v>285</v>
      </c>
      <c r="M1092" s="33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14" t="s">
        <v>306</v>
      </c>
      <c r="Q1092" s="113" t="s">
        <v>310</v>
      </c>
      <c r="R1092">
        <v>166</v>
      </c>
      <c r="S1092" s="2">
        <v>91</v>
      </c>
      <c r="T1092" t="s">
        <v>286</v>
      </c>
      <c r="U1092" t="s">
        <v>291</v>
      </c>
      <c r="V1092" t="s">
        <v>289</v>
      </c>
      <c r="W1092" s="32"/>
      <c r="X1092" s="32"/>
      <c r="Y1092" s="26"/>
      <c r="Z1092" s="26"/>
      <c r="AA1092" s="27">
        <f>IF(TA[[#This Row],[Work Start time on Fault]]="NA","",(TA[[#This Row],[Fault Acknowledgement Time ]]-TA[[#This Row],[Fault Time]])*24)</f>
        <v>0</v>
      </c>
      <c r="AB1092" s="27">
        <f>(TA[[#This Row],[Work Start time on Fault]]-TA[[#This Row],[Fault Time]])*24</f>
        <v>0</v>
      </c>
      <c r="AC1092" s="26">
        <f>(TA[[#This Row],[Work Completion time on fault]]-TA[[#This Row],[Fault Time]])*24</f>
        <v>0</v>
      </c>
      <c r="AD1092" s="27">
        <f>IFERROR((TA[[#This Row],[Work Completion time on fault]]-TA[[#This Row],[Fault Time]])*24,"")</f>
        <v>0</v>
      </c>
      <c r="AE1092" t="s">
        <v>319</v>
      </c>
      <c r="AF1092" t="s">
        <v>247</v>
      </c>
      <c r="AG1092" s="2"/>
      <c r="AH1092" s="35">
        <f>1-COS(RADIANS(TA[[#This Row],[Avg. Target Angle during Fault Time (Radians)]]-TA[[#This Row],[Angle of affected equipment ]]))</f>
        <v>0.11705240714107301</v>
      </c>
      <c r="AI1092" s="27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43">
        <f t="shared" si="112"/>
        <v>2026</v>
      </c>
      <c r="C1093" s="116">
        <f t="shared" si="113"/>
        <v>2025</v>
      </c>
      <c r="D1093" s="2" t="s">
        <v>155</v>
      </c>
      <c r="E1093" s="2" t="s">
        <v>155</v>
      </c>
      <c r="F1093" s="30">
        <v>45809</v>
      </c>
      <c r="G1093" s="2">
        <f>DAY(EOMONTH(TA[[#This Row],[Month Year]],0))</f>
        <v>30</v>
      </c>
      <c r="H1093" s="21">
        <v>45821</v>
      </c>
      <c r="I1093" s="32">
        <f>IFERROR(VLOOKUP(TA[[#This Row],[Date]],Raw_Data[[Date]:[Sunset Time (POA&lt;20 W/m2)]],3,0),"")</f>
        <v>0.24861111111111112</v>
      </c>
      <c r="J1093" s="32">
        <f>IFERROR(VLOOKUP(TA[[#This Row],[Date]],Raw_Data[[Date]:[Sunset Time (POA&lt;20 W/m2)]],4,0),"")</f>
        <v>0.77569444444444446</v>
      </c>
      <c r="K1093" s="27">
        <f>IFERROR((TA[[#This Row],[Sunset Time (POA&lt;20 W/m2)]]-TA[[#This Row],[Sunrise Time (POA&gt;20 W/m2)]])*24,"")</f>
        <v>12.65</v>
      </c>
      <c r="L1093" s="2" t="s">
        <v>285</v>
      </c>
      <c r="M1093" s="33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14" t="s">
        <v>307</v>
      </c>
      <c r="Q1093" s="113" t="s">
        <v>307</v>
      </c>
      <c r="R1093">
        <v>117</v>
      </c>
      <c r="S1093" s="2">
        <v>20</v>
      </c>
      <c r="T1093" t="s">
        <v>286</v>
      </c>
      <c r="U1093" t="s">
        <v>291</v>
      </c>
      <c r="V1093" t="s">
        <v>289</v>
      </c>
      <c r="W1093" s="32"/>
      <c r="X1093" s="32"/>
      <c r="Y1093" s="26"/>
      <c r="Z1093" s="26"/>
      <c r="AA1093" s="27">
        <f>IF(TA[[#This Row],[Work Start time on Fault]]="NA","",(TA[[#This Row],[Fault Acknowledgement Time ]]-TA[[#This Row],[Fault Time]])*24)</f>
        <v>0</v>
      </c>
      <c r="AB1093" s="27">
        <f>(TA[[#This Row],[Work Start time on Fault]]-TA[[#This Row],[Fault Time]])*24</f>
        <v>0</v>
      </c>
      <c r="AC1093" s="26">
        <f>(TA[[#This Row],[Work Completion time on fault]]-TA[[#This Row],[Fault Time]])*24</f>
        <v>0</v>
      </c>
      <c r="AD1093" s="27">
        <f>IFERROR((TA[[#This Row],[Work Completion time on fault]]-TA[[#This Row],[Fault Time]])*24,"")</f>
        <v>0</v>
      </c>
      <c r="AE1093" t="s">
        <v>319</v>
      </c>
      <c r="AF1093" t="s">
        <v>247</v>
      </c>
      <c r="AG1093" s="2"/>
      <c r="AH1093" s="35">
        <f>1-COS(RADIANS(TA[[#This Row],[Avg. Target Angle during Fault Time (Radians)]]-TA[[#This Row],[Angle of affected equipment ]]))</f>
        <v>0.11705240714107301</v>
      </c>
      <c r="AI1093" s="27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43">
        <f t="shared" si="112"/>
        <v>2026</v>
      </c>
      <c r="C1094" s="116">
        <f t="shared" si="113"/>
        <v>2025</v>
      </c>
      <c r="D1094" s="2" t="s">
        <v>155</v>
      </c>
      <c r="E1094" s="2" t="s">
        <v>155</v>
      </c>
      <c r="F1094" s="30">
        <v>45809</v>
      </c>
      <c r="G1094" s="2">
        <f>DAY(EOMONTH(TA[[#This Row],[Month Year]],0))</f>
        <v>30</v>
      </c>
      <c r="H1094" s="21">
        <v>45821</v>
      </c>
      <c r="I1094" s="32">
        <f>IFERROR(VLOOKUP(TA[[#This Row],[Date]],Raw_Data[[Date]:[Sunset Time (POA&lt;20 W/m2)]],3,0),"")</f>
        <v>0.24861111111111112</v>
      </c>
      <c r="J1094" s="32">
        <f>IFERROR(VLOOKUP(TA[[#This Row],[Date]],Raw_Data[[Date]:[Sunset Time (POA&lt;20 W/m2)]],4,0),"")</f>
        <v>0.77569444444444446</v>
      </c>
      <c r="K1094" s="27">
        <f>IFERROR((TA[[#This Row],[Sunset Time (POA&lt;20 W/m2)]]-TA[[#This Row],[Sunrise Time (POA&gt;20 W/m2)]])*24,"")</f>
        <v>12.65</v>
      </c>
      <c r="L1094" s="2" t="s">
        <v>285</v>
      </c>
      <c r="M1094" s="33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14" t="s">
        <v>307</v>
      </c>
      <c r="Q1094" s="113" t="s">
        <v>307</v>
      </c>
      <c r="R1094">
        <v>118</v>
      </c>
      <c r="S1094" s="2">
        <v>22</v>
      </c>
      <c r="T1094" t="s">
        <v>286</v>
      </c>
      <c r="U1094" t="s">
        <v>291</v>
      </c>
      <c r="V1094" t="s">
        <v>289</v>
      </c>
      <c r="W1094" s="32"/>
      <c r="X1094" s="32"/>
      <c r="Y1094" s="26"/>
      <c r="Z1094" s="26"/>
      <c r="AA1094" s="27">
        <f>IF(TA[[#This Row],[Work Start time on Fault]]="NA","",(TA[[#This Row],[Fault Acknowledgement Time ]]-TA[[#This Row],[Fault Time]])*24)</f>
        <v>0</v>
      </c>
      <c r="AB1094" s="27">
        <f>(TA[[#This Row],[Work Start time on Fault]]-TA[[#This Row],[Fault Time]])*24</f>
        <v>0</v>
      </c>
      <c r="AC1094" s="26">
        <f>(TA[[#This Row],[Work Completion time on fault]]-TA[[#This Row],[Fault Time]])*24</f>
        <v>0</v>
      </c>
      <c r="AD1094" s="27">
        <f>IFERROR((TA[[#This Row],[Work Completion time on fault]]-TA[[#This Row],[Fault Time]])*24,"")</f>
        <v>0</v>
      </c>
      <c r="AE1094" t="s">
        <v>319</v>
      </c>
      <c r="AF1094" t="s">
        <v>247</v>
      </c>
      <c r="AG1094" s="2"/>
      <c r="AH1094" s="35">
        <f>1-COS(RADIANS(TA[[#This Row],[Avg. Target Angle during Fault Time (Radians)]]-TA[[#This Row],[Angle of affected equipment ]]))</f>
        <v>0.11705240714107301</v>
      </c>
      <c r="AI1094" s="27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43">
        <f t="shared" si="112"/>
        <v>2026</v>
      </c>
      <c r="C1095" s="116">
        <f t="shared" si="113"/>
        <v>2025</v>
      </c>
      <c r="D1095" s="2" t="s">
        <v>155</v>
      </c>
      <c r="E1095" s="2" t="s">
        <v>155</v>
      </c>
      <c r="F1095" s="30">
        <v>45809</v>
      </c>
      <c r="G1095" s="2">
        <f>DAY(EOMONTH(TA[[#This Row],[Month Year]],0))</f>
        <v>30</v>
      </c>
      <c r="H1095" s="21">
        <v>45821</v>
      </c>
      <c r="I1095" s="32">
        <f>IFERROR(VLOOKUP(TA[[#This Row],[Date]],Raw_Data[[Date]:[Sunset Time (POA&lt;20 W/m2)]],3,0),"")</f>
        <v>0.24861111111111112</v>
      </c>
      <c r="J1095" s="32">
        <f>IFERROR(VLOOKUP(TA[[#This Row],[Date]],Raw_Data[[Date]:[Sunset Time (POA&lt;20 W/m2)]],4,0),"")</f>
        <v>0.77569444444444446</v>
      </c>
      <c r="K1095" s="27">
        <f>IFERROR((TA[[#This Row],[Sunset Time (POA&lt;20 W/m2)]]-TA[[#This Row],[Sunrise Time (POA&gt;20 W/m2)]])*24,"")</f>
        <v>12.65</v>
      </c>
      <c r="L1095" s="2" t="s">
        <v>287</v>
      </c>
      <c r="M1095" s="33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314</v>
      </c>
      <c r="Q1095" s="2" t="s">
        <v>320</v>
      </c>
      <c r="R1095">
        <v>45</v>
      </c>
      <c r="S1095" s="2">
        <v>8</v>
      </c>
      <c r="T1095" t="s">
        <v>288</v>
      </c>
      <c r="U1095" t="s">
        <v>291</v>
      </c>
      <c r="V1095" t="s">
        <v>292</v>
      </c>
      <c r="W1095" s="32"/>
      <c r="X1095" s="32"/>
      <c r="Y1095" s="26"/>
      <c r="Z1095" s="26"/>
      <c r="AA1095" s="27">
        <f>IF(TA[[#This Row],[Work Start time on Fault]]="NA","",(TA[[#This Row],[Fault Acknowledgement Time ]]-TA[[#This Row],[Fault Time]])*24)</f>
        <v>0</v>
      </c>
      <c r="AB1095" s="27">
        <f>(TA[[#This Row],[Work Start time on Fault]]-TA[[#This Row],[Fault Time]])*24</f>
        <v>0</v>
      </c>
      <c r="AC1095" s="26">
        <f>(TA[[#This Row],[Work Completion time on fault]]-TA[[#This Row],[Fault Time]])*24</f>
        <v>0</v>
      </c>
      <c r="AD1095" s="27">
        <f>IFERROR((TA[[#This Row],[Work Completion time on fault]]-TA[[#This Row],[Fault Time]])*24,"")</f>
        <v>0</v>
      </c>
      <c r="AE1095" t="s">
        <v>319</v>
      </c>
      <c r="AF1095" t="s">
        <v>247</v>
      </c>
      <c r="AG1095" s="2"/>
      <c r="AH1095" s="35">
        <f>1-COS(RADIANS(TA[[#This Row],[Avg. Target Angle during Fault Time (Radians)]]-TA[[#This Row],[Angle of affected equipment ]]))</f>
        <v>0.11705240714107301</v>
      </c>
      <c r="AI1095" s="27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43">
        <f t="shared" si="112"/>
        <v>2026</v>
      </c>
      <c r="C1096" s="116">
        <f t="shared" si="113"/>
        <v>2025</v>
      </c>
      <c r="D1096" s="2" t="s">
        <v>155</v>
      </c>
      <c r="E1096" s="2" t="s">
        <v>155</v>
      </c>
      <c r="F1096" s="30">
        <v>45809</v>
      </c>
      <c r="G1096" s="2">
        <f>DAY(EOMONTH(TA[[#This Row],[Month Year]],0))</f>
        <v>30</v>
      </c>
      <c r="H1096" s="21">
        <v>45821</v>
      </c>
      <c r="I1096" s="32">
        <f>IFERROR(VLOOKUP(TA[[#This Row],[Date]],Raw_Data[[Date]:[Sunset Time (POA&lt;20 W/m2)]],3,0),"")</f>
        <v>0.24861111111111112</v>
      </c>
      <c r="J1096" s="32">
        <f>IFERROR(VLOOKUP(TA[[#This Row],[Date]],Raw_Data[[Date]:[Sunset Time (POA&lt;20 W/m2)]],4,0),"")</f>
        <v>0.77569444444444446</v>
      </c>
      <c r="K1096" s="27">
        <f>IFERROR((TA[[#This Row],[Sunset Time (POA&lt;20 W/m2)]]-TA[[#This Row],[Sunrise Time (POA&gt;20 W/m2)]])*24,"")</f>
        <v>12.65</v>
      </c>
      <c r="L1096" s="2" t="s">
        <v>287</v>
      </c>
      <c r="M1096" s="33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314</v>
      </c>
      <c r="Q1096" s="2" t="s">
        <v>320</v>
      </c>
      <c r="R1096">
        <v>47</v>
      </c>
      <c r="S1096" s="2">
        <v>18</v>
      </c>
      <c r="T1096" t="s">
        <v>288</v>
      </c>
      <c r="U1096" t="s">
        <v>291</v>
      </c>
      <c r="V1096" t="s">
        <v>292</v>
      </c>
      <c r="W1096" s="32"/>
      <c r="X1096" s="32"/>
      <c r="Y1096" s="26"/>
      <c r="Z1096" s="26"/>
      <c r="AA1096" s="27">
        <f>IF(TA[[#This Row],[Work Start time on Fault]]="NA","",(TA[[#This Row],[Fault Acknowledgement Time ]]-TA[[#This Row],[Fault Time]])*24)</f>
        <v>0</v>
      </c>
      <c r="AB1096" s="27">
        <f>(TA[[#This Row],[Work Start time on Fault]]-TA[[#This Row],[Fault Time]])*24</f>
        <v>0</v>
      </c>
      <c r="AC1096" s="26">
        <f>(TA[[#This Row],[Work Completion time on fault]]-TA[[#This Row],[Fault Time]])*24</f>
        <v>0</v>
      </c>
      <c r="AD1096" s="27">
        <f>IFERROR((TA[[#This Row],[Work Completion time on fault]]-TA[[#This Row],[Fault Time]])*24,"")</f>
        <v>0</v>
      </c>
      <c r="AE1096" t="s">
        <v>319</v>
      </c>
      <c r="AF1096" t="s">
        <v>247</v>
      </c>
      <c r="AG1096" s="2"/>
      <c r="AH1096" s="35">
        <f>1-COS(RADIANS(TA[[#This Row],[Avg. Target Angle during Fault Time (Radians)]]-TA[[#This Row],[Angle of affected equipment ]]))</f>
        <v>0.11705240714107301</v>
      </c>
      <c r="AI1096" s="27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43">
        <f t="shared" si="112"/>
        <v>2026</v>
      </c>
      <c r="C1097" s="116">
        <f t="shared" si="113"/>
        <v>2025</v>
      </c>
      <c r="D1097" s="2" t="s">
        <v>155</v>
      </c>
      <c r="E1097" s="2" t="s">
        <v>155</v>
      </c>
      <c r="F1097" s="30">
        <v>45809</v>
      </c>
      <c r="G1097" s="2">
        <f>DAY(EOMONTH(TA[[#This Row],[Month Year]],0))</f>
        <v>30</v>
      </c>
      <c r="H1097" s="21">
        <v>45821</v>
      </c>
      <c r="I1097" s="32">
        <f>IFERROR(VLOOKUP(TA[[#This Row],[Date]],Raw_Data[[Date]:[Sunset Time (POA&lt;20 W/m2)]],3,0),"")</f>
        <v>0.24861111111111112</v>
      </c>
      <c r="J1097" s="32">
        <f>IFERROR(VLOOKUP(TA[[#This Row],[Date]],Raw_Data[[Date]:[Sunset Time (POA&lt;20 W/m2)]],4,0),"")</f>
        <v>0.77569444444444446</v>
      </c>
      <c r="K1097" s="27">
        <f>IFERROR((TA[[#This Row],[Sunset Time (POA&lt;20 W/m2)]]-TA[[#This Row],[Sunrise Time (POA&gt;20 W/m2)]])*24,"")</f>
        <v>12.65</v>
      </c>
      <c r="L1097" s="2" t="s">
        <v>287</v>
      </c>
      <c r="M1097" s="33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321</v>
      </c>
      <c r="Q1097" s="2" t="s">
        <v>314</v>
      </c>
      <c r="R1097">
        <v>30</v>
      </c>
      <c r="S1097" s="2">
        <v>57</v>
      </c>
      <c r="T1097" t="s">
        <v>288</v>
      </c>
      <c r="U1097" t="s">
        <v>291</v>
      </c>
      <c r="V1097" t="s">
        <v>292</v>
      </c>
      <c r="W1097" s="32"/>
      <c r="X1097" s="32"/>
      <c r="Y1097" s="26"/>
      <c r="Z1097" s="26"/>
      <c r="AA1097" s="27">
        <f>IF(TA[[#This Row],[Work Start time on Fault]]="NA","",(TA[[#This Row],[Fault Acknowledgement Time ]]-TA[[#This Row],[Fault Time]])*24)</f>
        <v>0</v>
      </c>
      <c r="AB1097" s="27">
        <f>(TA[[#This Row],[Work Start time on Fault]]-TA[[#This Row],[Fault Time]])*24</f>
        <v>0</v>
      </c>
      <c r="AC1097" s="26">
        <f>(TA[[#This Row],[Work Completion time on fault]]-TA[[#This Row],[Fault Time]])*24</f>
        <v>0</v>
      </c>
      <c r="AD1097" s="27">
        <f>IFERROR((TA[[#This Row],[Work Completion time on fault]]-TA[[#This Row],[Fault Time]])*24,"")</f>
        <v>0</v>
      </c>
      <c r="AE1097" t="s">
        <v>319</v>
      </c>
      <c r="AF1097" t="s">
        <v>247</v>
      </c>
      <c r="AG1097" s="2"/>
      <c r="AH1097" s="35">
        <f>1-COS(RADIANS(TA[[#This Row],[Avg. Target Angle during Fault Time (Radians)]]-TA[[#This Row],[Angle of affected equipment ]]))</f>
        <v>0.11705240714107301</v>
      </c>
      <c r="AI1097" s="27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43">
        <f t="shared" si="112"/>
        <v>2026</v>
      </c>
      <c r="C1098" s="116">
        <f t="shared" si="113"/>
        <v>2025</v>
      </c>
      <c r="D1098" s="2" t="s">
        <v>155</v>
      </c>
      <c r="E1098" s="2" t="s">
        <v>155</v>
      </c>
      <c r="F1098" s="30">
        <v>45809</v>
      </c>
      <c r="G1098" s="2">
        <f>DAY(EOMONTH(TA[[#This Row],[Month Year]],0))</f>
        <v>30</v>
      </c>
      <c r="H1098" s="21">
        <v>45821</v>
      </c>
      <c r="I1098" s="32">
        <f>IFERROR(VLOOKUP(TA[[#This Row],[Date]],Raw_Data[[Date]:[Sunset Time (POA&lt;20 W/m2)]],3,0),"")</f>
        <v>0.24861111111111112</v>
      </c>
      <c r="J1098" s="32">
        <f>IFERROR(VLOOKUP(TA[[#This Row],[Date]],Raw_Data[[Date]:[Sunset Time (POA&lt;20 W/m2)]],4,0),"")</f>
        <v>0.77569444444444446</v>
      </c>
      <c r="K1098" s="27">
        <f>IFERROR((TA[[#This Row],[Sunset Time (POA&lt;20 W/m2)]]-TA[[#This Row],[Sunrise Time (POA&gt;20 W/m2)]])*24,"")</f>
        <v>12.65</v>
      </c>
      <c r="L1098" s="2" t="s">
        <v>287</v>
      </c>
      <c r="M1098" s="33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321</v>
      </c>
      <c r="Q1098" s="2" t="s">
        <v>314</v>
      </c>
      <c r="R1098">
        <v>31</v>
      </c>
      <c r="S1098" s="2">
        <v>61</v>
      </c>
      <c r="T1098" t="s">
        <v>288</v>
      </c>
      <c r="U1098" t="s">
        <v>291</v>
      </c>
      <c r="V1098" t="s">
        <v>292</v>
      </c>
      <c r="W1098" s="32"/>
      <c r="X1098" s="32"/>
      <c r="Y1098" s="26"/>
      <c r="Z1098" s="26"/>
      <c r="AA1098" s="27">
        <f>IF(TA[[#This Row],[Work Start time on Fault]]="NA","",(TA[[#This Row],[Fault Acknowledgement Time ]]-TA[[#This Row],[Fault Time]])*24)</f>
        <v>0</v>
      </c>
      <c r="AB1098" s="27">
        <f>(TA[[#This Row],[Work Start time on Fault]]-TA[[#This Row],[Fault Time]])*24</f>
        <v>0</v>
      </c>
      <c r="AC1098" s="26">
        <f>(TA[[#This Row],[Work Completion time on fault]]-TA[[#This Row],[Fault Time]])*24</f>
        <v>0</v>
      </c>
      <c r="AD1098" s="27">
        <f>IFERROR((TA[[#This Row],[Work Completion time on fault]]-TA[[#This Row],[Fault Time]])*24,"")</f>
        <v>0</v>
      </c>
      <c r="AE1098" t="s">
        <v>319</v>
      </c>
      <c r="AF1098" t="s">
        <v>247</v>
      </c>
      <c r="AG1098" s="2"/>
      <c r="AH1098" s="35">
        <f>1-COS(RADIANS(TA[[#This Row],[Avg. Target Angle during Fault Time (Radians)]]-TA[[#This Row],[Angle of affected equipment ]]))</f>
        <v>0.11705240714107301</v>
      </c>
      <c r="AI1098" s="27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43">
        <f t="shared" si="112"/>
        <v>2026</v>
      </c>
      <c r="C1099" s="116">
        <f t="shared" si="113"/>
        <v>2025</v>
      </c>
      <c r="D1099" s="2" t="s">
        <v>155</v>
      </c>
      <c r="E1099" s="2" t="s">
        <v>155</v>
      </c>
      <c r="F1099" s="30">
        <v>45809</v>
      </c>
      <c r="G1099" s="2">
        <f>DAY(EOMONTH(TA[[#This Row],[Month Year]],0))</f>
        <v>30</v>
      </c>
      <c r="H1099" s="21">
        <v>45821</v>
      </c>
      <c r="I1099" s="32">
        <f>IFERROR(VLOOKUP(TA[[#This Row],[Date]],Raw_Data[[Date]:[Sunset Time (POA&lt;20 W/m2)]],3,0),"")</f>
        <v>0.24861111111111112</v>
      </c>
      <c r="J1099" s="32">
        <f>IFERROR(VLOOKUP(TA[[#This Row],[Date]],Raw_Data[[Date]:[Sunset Time (POA&lt;20 W/m2)]],4,0),"")</f>
        <v>0.77569444444444446</v>
      </c>
      <c r="K1099" s="27">
        <f>IFERROR((TA[[#This Row],[Sunset Time (POA&lt;20 W/m2)]]-TA[[#This Row],[Sunrise Time (POA&gt;20 W/m2)]])*24,"")</f>
        <v>12.65</v>
      </c>
      <c r="L1099" s="2" t="s">
        <v>303</v>
      </c>
      <c r="M1099" s="33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321</v>
      </c>
      <c r="Q1099" s="2" t="s">
        <v>314</v>
      </c>
      <c r="R1099">
        <v>26</v>
      </c>
      <c r="S1099" s="2">
        <v>37</v>
      </c>
      <c r="T1099" t="s">
        <v>288</v>
      </c>
      <c r="U1099" t="s">
        <v>291</v>
      </c>
      <c r="V1099" t="s">
        <v>292</v>
      </c>
      <c r="W1099" s="32"/>
      <c r="X1099" s="32"/>
      <c r="Y1099" s="26"/>
      <c r="Z1099" s="26"/>
      <c r="AA1099" s="27">
        <f>IF(TA[[#This Row],[Work Start time on Fault]]="NA","",(TA[[#This Row],[Fault Acknowledgement Time ]]-TA[[#This Row],[Fault Time]])*24)</f>
        <v>0</v>
      </c>
      <c r="AB1099" s="27">
        <f>(TA[[#This Row],[Work Start time on Fault]]-TA[[#This Row],[Fault Time]])*24</f>
        <v>0</v>
      </c>
      <c r="AC1099" s="26">
        <f>(TA[[#This Row],[Work Completion time on fault]]-TA[[#This Row],[Fault Time]])*24</f>
        <v>0</v>
      </c>
      <c r="AD1099" s="27">
        <f>IFERROR((TA[[#This Row],[Work Completion time on fault]]-TA[[#This Row],[Fault Time]])*24,"")</f>
        <v>0</v>
      </c>
      <c r="AE1099" t="s">
        <v>319</v>
      </c>
      <c r="AF1099" t="s">
        <v>247</v>
      </c>
      <c r="AG1099" s="2"/>
      <c r="AH1099" s="35">
        <f>1-COS(RADIANS(TA[[#This Row],[Avg. Target Angle during Fault Time (Radians)]]-TA[[#This Row],[Angle of affected equipment ]]))</f>
        <v>0.11705240714107301</v>
      </c>
      <c r="AI1099" s="27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43">
        <f t="shared" si="112"/>
        <v>2026</v>
      </c>
      <c r="C1100" s="116">
        <f t="shared" si="113"/>
        <v>2025</v>
      </c>
      <c r="D1100" s="2" t="s">
        <v>155</v>
      </c>
      <c r="E1100" s="2" t="s">
        <v>155</v>
      </c>
      <c r="F1100" s="30">
        <v>45809</v>
      </c>
      <c r="G1100" s="2">
        <f>DAY(EOMONTH(TA[[#This Row],[Month Year]],0))</f>
        <v>30</v>
      </c>
      <c r="H1100" s="21">
        <v>45821</v>
      </c>
      <c r="I1100" s="32">
        <f>IFERROR(VLOOKUP(TA[[#This Row],[Date]],Raw_Data[[Date]:[Sunset Time (POA&lt;20 W/m2)]],3,0),"")</f>
        <v>0.24861111111111112</v>
      </c>
      <c r="J1100" s="32">
        <f>IFERROR(VLOOKUP(TA[[#This Row],[Date]],Raw_Data[[Date]:[Sunset Time (POA&lt;20 W/m2)]],4,0),"")</f>
        <v>0.77569444444444446</v>
      </c>
      <c r="K1100" s="27">
        <f>IFERROR((TA[[#This Row],[Sunset Time (POA&lt;20 W/m2)]]-TA[[#This Row],[Sunrise Time (POA&gt;20 W/m2)]])*24,"")</f>
        <v>12.65</v>
      </c>
      <c r="L1100" s="2" t="s">
        <v>303</v>
      </c>
      <c r="M1100" s="33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321</v>
      </c>
      <c r="Q1100" s="2" t="s">
        <v>314</v>
      </c>
      <c r="R1100">
        <v>27</v>
      </c>
      <c r="S1100" s="2">
        <v>42</v>
      </c>
      <c r="T1100" t="s">
        <v>288</v>
      </c>
      <c r="U1100" t="s">
        <v>291</v>
      </c>
      <c r="V1100" t="s">
        <v>292</v>
      </c>
      <c r="W1100" s="32">
        <f>IFERROR(VLOOKUP(TA[[#This Row],[Date]],Raw_Data[[Date]:[Sunset Time (POA&lt;20 W/m2)]],3,0),"")</f>
        <v>0.24861111111111112</v>
      </c>
      <c r="X1100" s="32">
        <f>IFERROR(VLOOKUP(TA[[#This Row],[Date]],Raw_Data[[Date]:[Sunset Time (POA&lt;20 W/m2)]],3,0),"")</f>
        <v>0.24861111111111112</v>
      </c>
      <c r="Y1100" s="26"/>
      <c r="Z1100" s="26">
        <v>0.76041666666666663</v>
      </c>
      <c r="AA1100" s="27">
        <f>IF(TA[[#This Row],[Work Start time on Fault]]="NA","",(TA[[#This Row],[Fault Acknowledgement Time ]]-TA[[#This Row],[Fault Time]])*24)</f>
        <v>0</v>
      </c>
      <c r="AB1100" s="27">
        <f>(TA[[#This Row],[Work Start time on Fault]]-TA[[#This Row],[Fault Time]])*24</f>
        <v>-5.9666666666666668</v>
      </c>
      <c r="AC1100" s="26">
        <f>(TA[[#This Row],[Work Completion time on fault]]-TA[[#This Row],[Fault Time]])*24</f>
        <v>12.283333333333331</v>
      </c>
      <c r="AD1100" s="27">
        <f>IFERROR((TA[[#This Row],[Work Completion time on fault]]-TA[[#This Row],[Fault Time]])*24,"")</f>
        <v>12.283333333333331</v>
      </c>
      <c r="AE1100" t="s">
        <v>300</v>
      </c>
      <c r="AF1100" t="s">
        <v>247</v>
      </c>
      <c r="AG1100" s="2"/>
      <c r="AH1100" s="35">
        <f>1-COS(RADIANS(TA[[#This Row],[Avg. Target Angle during Fault Time (Radians)]]-TA[[#This Row],[Angle of affected equipment ]]))</f>
        <v>0.11705240714107301</v>
      </c>
      <c r="AI1100" s="27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43">
        <f t="shared" ref="B1101:B1113" si="114">YEAR(H1101)+IF(MONTH(H1101)&gt;=4,1,0)</f>
        <v>2026</v>
      </c>
      <c r="C1101" s="116">
        <f t="shared" ref="C1101:C1113" si="115">YEAR(H1101)</f>
        <v>2025</v>
      </c>
      <c r="D1101" s="2" t="s">
        <v>155</v>
      </c>
      <c r="E1101" s="2" t="s">
        <v>155</v>
      </c>
      <c r="F1101" s="30">
        <v>45809</v>
      </c>
      <c r="G1101" s="2">
        <f>DAY(EOMONTH(TA[[#This Row],[Month Year]],0))</f>
        <v>30</v>
      </c>
      <c r="H1101" s="21">
        <v>45822</v>
      </c>
      <c r="I1101" s="32">
        <f>IFERROR(VLOOKUP(TA[[#This Row],[Date]],Raw_Data[[Date]:[Sunset Time (POA&lt;20 W/m2)]],3,0),"")</f>
        <v>0.25208333333333333</v>
      </c>
      <c r="J1101" s="32">
        <f>IFERROR(VLOOKUP(TA[[#This Row],[Date]],Raw_Data[[Date]:[Sunset Time (POA&lt;20 W/m2)]],4,0),"")</f>
        <v>0.78263888888888888</v>
      </c>
      <c r="K1101" s="27">
        <f>IFERROR((TA[[#This Row],[Sunset Time (POA&lt;20 W/m2)]]-TA[[#This Row],[Sunrise Time (POA&gt;20 W/m2)]])*24,"")</f>
        <v>12.733333333333334</v>
      </c>
      <c r="L1101" s="2" t="s">
        <v>285</v>
      </c>
      <c r="M1101" s="33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14" t="s">
        <v>309</v>
      </c>
      <c r="Q1101" s="113" t="s">
        <v>309</v>
      </c>
      <c r="R1101">
        <v>131</v>
      </c>
      <c r="S1101" s="2">
        <v>38</v>
      </c>
      <c r="T1101" t="s">
        <v>286</v>
      </c>
      <c r="U1101" t="s">
        <v>291</v>
      </c>
      <c r="V1101" t="s">
        <v>289</v>
      </c>
      <c r="W1101" s="32"/>
      <c r="X1101" s="32"/>
      <c r="Y1101" s="26"/>
      <c r="Z1101" s="26"/>
      <c r="AA1101" s="27">
        <f>IF(TA[[#This Row],[Work Start time on Fault]]="NA","",(TA[[#This Row],[Fault Acknowledgement Time ]]-TA[[#This Row],[Fault Time]])*24)</f>
        <v>0</v>
      </c>
      <c r="AB1101" s="27">
        <f>(TA[[#This Row],[Work Start time on Fault]]-TA[[#This Row],[Fault Time]])*24</f>
        <v>0</v>
      </c>
      <c r="AC1101" s="26">
        <f>(TA[[#This Row],[Work Completion time on fault]]-TA[[#This Row],[Fault Time]])*24</f>
        <v>0</v>
      </c>
      <c r="AD1101" s="27">
        <f>IFERROR((TA[[#This Row],[Work Completion time on fault]]-TA[[#This Row],[Fault Time]])*24,"")</f>
        <v>0</v>
      </c>
      <c r="AE1101" t="s">
        <v>319</v>
      </c>
      <c r="AF1101" t="s">
        <v>247</v>
      </c>
      <c r="AG1101" s="2"/>
      <c r="AH1101" s="35">
        <f>1-COS(RADIANS(TA[[#This Row],[Avg. Target Angle during Fault Time (Radians)]]-TA[[#This Row],[Angle of affected equipment ]]))</f>
        <v>0.11705240714107301</v>
      </c>
      <c r="AI1101" s="27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43">
        <f t="shared" si="114"/>
        <v>2026</v>
      </c>
      <c r="C1102" s="116">
        <f t="shared" si="115"/>
        <v>2025</v>
      </c>
      <c r="D1102" s="2" t="s">
        <v>155</v>
      </c>
      <c r="E1102" s="2" t="s">
        <v>155</v>
      </c>
      <c r="F1102" s="30">
        <v>45809</v>
      </c>
      <c r="G1102" s="2">
        <f>DAY(EOMONTH(TA[[#This Row],[Month Year]],0))</f>
        <v>30</v>
      </c>
      <c r="H1102" s="21">
        <v>45822</v>
      </c>
      <c r="I1102" s="32">
        <f>IFERROR(VLOOKUP(TA[[#This Row],[Date]],Raw_Data[[Date]:[Sunset Time (POA&lt;20 W/m2)]],3,0),"")</f>
        <v>0.25208333333333333</v>
      </c>
      <c r="J1102" s="32">
        <f>IFERROR(VLOOKUP(TA[[#This Row],[Date]],Raw_Data[[Date]:[Sunset Time (POA&lt;20 W/m2)]],4,0),"")</f>
        <v>0.78263888888888888</v>
      </c>
      <c r="K1102" s="27">
        <f>IFERROR((TA[[#This Row],[Sunset Time (POA&lt;20 W/m2)]]-TA[[#This Row],[Sunrise Time (POA&gt;20 W/m2)]])*24,"")</f>
        <v>12.733333333333334</v>
      </c>
      <c r="L1102" s="2" t="s">
        <v>285</v>
      </c>
      <c r="M1102" s="33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14" t="s">
        <v>309</v>
      </c>
      <c r="Q1102" s="113" t="s">
        <v>309</v>
      </c>
      <c r="R1102">
        <v>131</v>
      </c>
      <c r="S1102" s="2">
        <v>39</v>
      </c>
      <c r="T1102" t="s">
        <v>286</v>
      </c>
      <c r="U1102" t="s">
        <v>291</v>
      </c>
      <c r="V1102" t="s">
        <v>289</v>
      </c>
      <c r="W1102" s="32"/>
      <c r="X1102" s="32"/>
      <c r="Y1102" s="26"/>
      <c r="Z1102" s="26"/>
      <c r="AA1102" s="27">
        <f>IF(TA[[#This Row],[Work Start time on Fault]]="NA","",(TA[[#This Row],[Fault Acknowledgement Time ]]-TA[[#This Row],[Fault Time]])*24)</f>
        <v>0</v>
      </c>
      <c r="AB1102" s="27">
        <f>(TA[[#This Row],[Work Start time on Fault]]-TA[[#This Row],[Fault Time]])*24</f>
        <v>0</v>
      </c>
      <c r="AC1102" s="26">
        <f>(TA[[#This Row],[Work Completion time on fault]]-TA[[#This Row],[Fault Time]])*24</f>
        <v>0</v>
      </c>
      <c r="AD1102" s="27">
        <f>IFERROR((TA[[#This Row],[Work Completion time on fault]]-TA[[#This Row],[Fault Time]])*24,"")</f>
        <v>0</v>
      </c>
      <c r="AE1102" t="s">
        <v>319</v>
      </c>
      <c r="AF1102" t="s">
        <v>247</v>
      </c>
      <c r="AG1102" s="2"/>
      <c r="AH1102" s="35">
        <f>1-COS(RADIANS(TA[[#This Row],[Avg. Target Angle during Fault Time (Radians)]]-TA[[#This Row],[Angle of affected equipment ]]))</f>
        <v>0.11705240714107301</v>
      </c>
      <c r="AI1102" s="27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43">
        <f t="shared" si="114"/>
        <v>2026</v>
      </c>
      <c r="C1103" s="116">
        <f t="shared" si="115"/>
        <v>2025</v>
      </c>
      <c r="D1103" s="2" t="s">
        <v>155</v>
      </c>
      <c r="E1103" s="2" t="s">
        <v>155</v>
      </c>
      <c r="F1103" s="30">
        <v>45809</v>
      </c>
      <c r="G1103" s="2">
        <f>DAY(EOMONTH(TA[[#This Row],[Month Year]],0))</f>
        <v>30</v>
      </c>
      <c r="H1103" s="21">
        <v>45822</v>
      </c>
      <c r="I1103" s="32">
        <f>IFERROR(VLOOKUP(TA[[#This Row],[Date]],Raw_Data[[Date]:[Sunset Time (POA&lt;20 W/m2)]],3,0),"")</f>
        <v>0.25208333333333333</v>
      </c>
      <c r="J1103" s="32">
        <f>IFERROR(VLOOKUP(TA[[#This Row],[Date]],Raw_Data[[Date]:[Sunset Time (POA&lt;20 W/m2)]],4,0),"")</f>
        <v>0.78263888888888888</v>
      </c>
      <c r="K1103" s="27">
        <f>IFERROR((TA[[#This Row],[Sunset Time (POA&lt;20 W/m2)]]-TA[[#This Row],[Sunrise Time (POA&gt;20 W/m2)]])*24,"")</f>
        <v>12.733333333333334</v>
      </c>
      <c r="L1103" s="2" t="s">
        <v>287</v>
      </c>
      <c r="M1103" s="33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14" t="s">
        <v>309</v>
      </c>
      <c r="Q1103" s="2" t="s">
        <v>312</v>
      </c>
      <c r="R1103">
        <v>133</v>
      </c>
      <c r="S1103" s="2">
        <v>26</v>
      </c>
      <c r="T1103" t="s">
        <v>288</v>
      </c>
      <c r="U1103" t="s">
        <v>291</v>
      </c>
      <c r="V1103" t="s">
        <v>305</v>
      </c>
      <c r="W1103" s="32">
        <f>IFERROR(VLOOKUP(TA[[#This Row],[Date]],Raw_Data[[Date]:[Sunset Time (POA&lt;20 W/m2)]],3,0),"")</f>
        <v>0.25208333333333333</v>
      </c>
      <c r="X1103" s="32">
        <f>IFERROR(VLOOKUP(TA[[#This Row],[Date]],Raw_Data[[Date]:[Sunset Time (POA&lt;20 W/m2)]],3,0),"")</f>
        <v>0.25208333333333333</v>
      </c>
      <c r="Y1103" s="26"/>
      <c r="Z1103" s="26">
        <v>0.76041666666666663</v>
      </c>
      <c r="AA1103" s="27">
        <f>IF(TA[[#This Row],[Work Start time on Fault]]="NA","",(TA[[#This Row],[Fault Acknowledgement Time ]]-TA[[#This Row],[Fault Time]])*24)</f>
        <v>0</v>
      </c>
      <c r="AB1103" s="27">
        <f>(TA[[#This Row],[Work Start time on Fault]]-TA[[#This Row],[Fault Time]])*24</f>
        <v>-6.05</v>
      </c>
      <c r="AC1103" s="26">
        <f>(TA[[#This Row],[Work Completion time on fault]]-TA[[#This Row],[Fault Time]])*24</f>
        <v>12.2</v>
      </c>
      <c r="AD1103" s="27">
        <f>IFERROR((TA[[#This Row],[Work Completion time on fault]]-TA[[#This Row],[Fault Time]])*24,"")</f>
        <v>12.2</v>
      </c>
      <c r="AE1103" t="s">
        <v>319</v>
      </c>
      <c r="AF1103" t="s">
        <v>247</v>
      </c>
      <c r="AG1103" s="2"/>
      <c r="AH1103" s="35">
        <f>1-COS(RADIANS(TA[[#This Row],[Avg. Target Angle during Fault Time (Radians)]]-TA[[#This Row],[Angle of affected equipment ]]))</f>
        <v>0.11705240714107301</v>
      </c>
      <c r="AI1103" s="27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43">
        <f t="shared" si="114"/>
        <v>2026</v>
      </c>
      <c r="C1104" s="116">
        <f t="shared" si="115"/>
        <v>2025</v>
      </c>
      <c r="D1104" s="2" t="s">
        <v>155</v>
      </c>
      <c r="E1104" s="2" t="s">
        <v>155</v>
      </c>
      <c r="F1104" s="30">
        <v>45809</v>
      </c>
      <c r="G1104" s="2">
        <f>DAY(EOMONTH(TA[[#This Row],[Month Year]],0))</f>
        <v>30</v>
      </c>
      <c r="H1104" s="21">
        <v>45822</v>
      </c>
      <c r="I1104" s="32">
        <f>IFERROR(VLOOKUP(TA[[#This Row],[Date]],Raw_Data[[Date]:[Sunset Time (POA&lt;20 W/m2)]],3,0),"")</f>
        <v>0.25208333333333333</v>
      </c>
      <c r="J1104" s="32">
        <f>IFERROR(VLOOKUP(TA[[#This Row],[Date]],Raw_Data[[Date]:[Sunset Time (POA&lt;20 W/m2)]],4,0),"")</f>
        <v>0.78263888888888888</v>
      </c>
      <c r="K1104" s="27">
        <f>IFERROR((TA[[#This Row],[Sunset Time (POA&lt;20 W/m2)]]-TA[[#This Row],[Sunrise Time (POA&gt;20 W/m2)]])*24,"")</f>
        <v>12.733333333333334</v>
      </c>
      <c r="L1104" s="2" t="s">
        <v>285</v>
      </c>
      <c r="M1104" s="33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14" t="s">
        <v>307</v>
      </c>
      <c r="Q1104" s="113" t="s">
        <v>308</v>
      </c>
      <c r="R1104">
        <v>7</v>
      </c>
      <c r="S1104" s="2">
        <v>32</v>
      </c>
      <c r="T1104" t="s">
        <v>286</v>
      </c>
      <c r="U1104" t="s">
        <v>291</v>
      </c>
      <c r="V1104" t="s">
        <v>289</v>
      </c>
      <c r="W1104" s="32"/>
      <c r="X1104" s="32"/>
      <c r="Y1104" s="26"/>
      <c r="Z1104" s="26"/>
      <c r="AA1104" s="27">
        <f>IF(TA[[#This Row],[Work Start time on Fault]]="NA","",(TA[[#This Row],[Fault Acknowledgement Time ]]-TA[[#This Row],[Fault Time]])*24)</f>
        <v>0</v>
      </c>
      <c r="AB1104" s="27">
        <f>(TA[[#This Row],[Work Start time on Fault]]-TA[[#This Row],[Fault Time]])*24</f>
        <v>0</v>
      </c>
      <c r="AC1104" s="26">
        <f>(TA[[#This Row],[Work Completion time on fault]]-TA[[#This Row],[Fault Time]])*24</f>
        <v>0</v>
      </c>
      <c r="AD1104" s="27">
        <f>IFERROR((TA[[#This Row],[Work Completion time on fault]]-TA[[#This Row],[Fault Time]])*24,"")</f>
        <v>0</v>
      </c>
      <c r="AE1104" t="s">
        <v>319</v>
      </c>
      <c r="AF1104" t="s">
        <v>247</v>
      </c>
      <c r="AG1104" s="2"/>
      <c r="AH1104" s="35">
        <f>1-COS(RADIANS(TA[[#This Row],[Avg. Target Angle during Fault Time (Radians)]]-TA[[#This Row],[Angle of affected equipment ]]))</f>
        <v>0.11705240714107301</v>
      </c>
      <c r="AI1104" s="27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43">
        <f t="shared" si="114"/>
        <v>2026</v>
      </c>
      <c r="C1105" s="116">
        <f t="shared" si="115"/>
        <v>2025</v>
      </c>
      <c r="D1105" s="2" t="s">
        <v>155</v>
      </c>
      <c r="E1105" s="2" t="s">
        <v>155</v>
      </c>
      <c r="F1105" s="30">
        <v>45809</v>
      </c>
      <c r="G1105" s="2">
        <f>DAY(EOMONTH(TA[[#This Row],[Month Year]],0))</f>
        <v>30</v>
      </c>
      <c r="H1105" s="21">
        <v>45822</v>
      </c>
      <c r="I1105" s="32">
        <f>IFERROR(VLOOKUP(TA[[#This Row],[Date]],Raw_Data[[Date]:[Sunset Time (POA&lt;20 W/m2)]],3,0),"")</f>
        <v>0.25208333333333333</v>
      </c>
      <c r="J1105" s="32">
        <f>IFERROR(VLOOKUP(TA[[#This Row],[Date]],Raw_Data[[Date]:[Sunset Time (POA&lt;20 W/m2)]],4,0),"")</f>
        <v>0.78263888888888888</v>
      </c>
      <c r="K1105" s="27">
        <f>IFERROR((TA[[#This Row],[Sunset Time (POA&lt;20 W/m2)]]-TA[[#This Row],[Sunrise Time (POA&gt;20 W/m2)]])*24,"")</f>
        <v>12.733333333333334</v>
      </c>
      <c r="L1105" s="2" t="s">
        <v>285</v>
      </c>
      <c r="M1105" s="33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14" t="s">
        <v>306</v>
      </c>
      <c r="Q1105" s="113" t="s">
        <v>310</v>
      </c>
      <c r="R1105">
        <v>166</v>
      </c>
      <c r="S1105" s="2">
        <v>91</v>
      </c>
      <c r="T1105" t="s">
        <v>286</v>
      </c>
      <c r="U1105" t="s">
        <v>291</v>
      </c>
      <c r="V1105" t="s">
        <v>289</v>
      </c>
      <c r="W1105" s="32"/>
      <c r="X1105" s="32"/>
      <c r="Y1105" s="26"/>
      <c r="Z1105" s="26"/>
      <c r="AA1105" s="27">
        <f>IF(TA[[#This Row],[Work Start time on Fault]]="NA","",(TA[[#This Row],[Fault Acknowledgement Time ]]-TA[[#This Row],[Fault Time]])*24)</f>
        <v>0</v>
      </c>
      <c r="AB1105" s="27">
        <f>(TA[[#This Row],[Work Start time on Fault]]-TA[[#This Row],[Fault Time]])*24</f>
        <v>0</v>
      </c>
      <c r="AC1105" s="26">
        <f>(TA[[#This Row],[Work Completion time on fault]]-TA[[#This Row],[Fault Time]])*24</f>
        <v>0</v>
      </c>
      <c r="AD1105" s="27">
        <f>IFERROR((TA[[#This Row],[Work Completion time on fault]]-TA[[#This Row],[Fault Time]])*24,"")</f>
        <v>0</v>
      </c>
      <c r="AE1105" t="s">
        <v>319</v>
      </c>
      <c r="AF1105" t="s">
        <v>247</v>
      </c>
      <c r="AG1105" s="2"/>
      <c r="AH1105" s="35">
        <f>1-COS(RADIANS(TA[[#This Row],[Avg. Target Angle during Fault Time (Radians)]]-TA[[#This Row],[Angle of affected equipment ]]))</f>
        <v>0.11705240714107301</v>
      </c>
      <c r="AI1105" s="27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43">
        <f t="shared" si="114"/>
        <v>2026</v>
      </c>
      <c r="C1106" s="116">
        <f t="shared" si="115"/>
        <v>2025</v>
      </c>
      <c r="D1106" s="2" t="s">
        <v>155</v>
      </c>
      <c r="E1106" s="2" t="s">
        <v>155</v>
      </c>
      <c r="F1106" s="30">
        <v>45809</v>
      </c>
      <c r="G1106" s="2">
        <f>DAY(EOMONTH(TA[[#This Row],[Month Year]],0))</f>
        <v>30</v>
      </c>
      <c r="H1106" s="21">
        <v>45822</v>
      </c>
      <c r="I1106" s="32">
        <f>IFERROR(VLOOKUP(TA[[#This Row],[Date]],Raw_Data[[Date]:[Sunset Time (POA&lt;20 W/m2)]],3,0),"")</f>
        <v>0.25208333333333333</v>
      </c>
      <c r="J1106" s="32">
        <f>IFERROR(VLOOKUP(TA[[#This Row],[Date]],Raw_Data[[Date]:[Sunset Time (POA&lt;20 W/m2)]],4,0),"")</f>
        <v>0.78263888888888888</v>
      </c>
      <c r="K1106" s="27">
        <f>IFERROR((TA[[#This Row],[Sunset Time (POA&lt;20 W/m2)]]-TA[[#This Row],[Sunrise Time (POA&gt;20 W/m2)]])*24,"")</f>
        <v>12.733333333333334</v>
      </c>
      <c r="L1106" s="2" t="s">
        <v>285</v>
      </c>
      <c r="M1106" s="33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14" t="s">
        <v>307</v>
      </c>
      <c r="Q1106" s="113" t="s">
        <v>307</v>
      </c>
      <c r="R1106">
        <v>117</v>
      </c>
      <c r="S1106" s="2">
        <v>20</v>
      </c>
      <c r="T1106" t="s">
        <v>286</v>
      </c>
      <c r="U1106" t="s">
        <v>291</v>
      </c>
      <c r="V1106" t="s">
        <v>289</v>
      </c>
      <c r="W1106" s="32"/>
      <c r="X1106" s="32"/>
      <c r="Y1106" s="26"/>
      <c r="Z1106" s="26"/>
      <c r="AA1106" s="27">
        <f>IF(TA[[#This Row],[Work Start time on Fault]]="NA","",(TA[[#This Row],[Fault Acknowledgement Time ]]-TA[[#This Row],[Fault Time]])*24)</f>
        <v>0</v>
      </c>
      <c r="AB1106" s="27">
        <f>(TA[[#This Row],[Work Start time on Fault]]-TA[[#This Row],[Fault Time]])*24</f>
        <v>0</v>
      </c>
      <c r="AC1106" s="26">
        <f>(TA[[#This Row],[Work Completion time on fault]]-TA[[#This Row],[Fault Time]])*24</f>
        <v>0</v>
      </c>
      <c r="AD1106" s="27">
        <f>IFERROR((TA[[#This Row],[Work Completion time on fault]]-TA[[#This Row],[Fault Time]])*24,"")</f>
        <v>0</v>
      </c>
      <c r="AE1106" t="s">
        <v>319</v>
      </c>
      <c r="AF1106" t="s">
        <v>247</v>
      </c>
      <c r="AG1106" s="2"/>
      <c r="AH1106" s="35">
        <f>1-COS(RADIANS(TA[[#This Row],[Avg. Target Angle during Fault Time (Radians)]]-TA[[#This Row],[Angle of affected equipment ]]))</f>
        <v>0.11705240714107301</v>
      </c>
      <c r="AI1106" s="27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43">
        <f t="shared" si="114"/>
        <v>2026</v>
      </c>
      <c r="C1107" s="116">
        <f t="shared" si="115"/>
        <v>2025</v>
      </c>
      <c r="D1107" s="2" t="s">
        <v>155</v>
      </c>
      <c r="E1107" s="2" t="s">
        <v>155</v>
      </c>
      <c r="F1107" s="30">
        <v>45809</v>
      </c>
      <c r="G1107" s="2">
        <f>DAY(EOMONTH(TA[[#This Row],[Month Year]],0))</f>
        <v>30</v>
      </c>
      <c r="H1107" s="21">
        <v>45822</v>
      </c>
      <c r="I1107" s="32">
        <f>IFERROR(VLOOKUP(TA[[#This Row],[Date]],Raw_Data[[Date]:[Sunset Time (POA&lt;20 W/m2)]],3,0),"")</f>
        <v>0.25208333333333333</v>
      </c>
      <c r="J1107" s="32">
        <f>IFERROR(VLOOKUP(TA[[#This Row],[Date]],Raw_Data[[Date]:[Sunset Time (POA&lt;20 W/m2)]],4,0),"")</f>
        <v>0.78263888888888888</v>
      </c>
      <c r="K1107" s="27">
        <f>IFERROR((TA[[#This Row],[Sunset Time (POA&lt;20 W/m2)]]-TA[[#This Row],[Sunrise Time (POA&gt;20 W/m2)]])*24,"")</f>
        <v>12.733333333333334</v>
      </c>
      <c r="L1107" s="2" t="s">
        <v>285</v>
      </c>
      <c r="M1107" s="33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14" t="s">
        <v>307</v>
      </c>
      <c r="Q1107" s="113" t="s">
        <v>307</v>
      </c>
      <c r="R1107">
        <v>118</v>
      </c>
      <c r="S1107" s="2">
        <v>22</v>
      </c>
      <c r="T1107" t="s">
        <v>286</v>
      </c>
      <c r="U1107" t="s">
        <v>291</v>
      </c>
      <c r="V1107" t="s">
        <v>289</v>
      </c>
      <c r="W1107" s="32"/>
      <c r="X1107" s="32"/>
      <c r="Y1107" s="26"/>
      <c r="Z1107" s="26"/>
      <c r="AA1107" s="27">
        <f>IF(TA[[#This Row],[Work Start time on Fault]]="NA","",(TA[[#This Row],[Fault Acknowledgement Time ]]-TA[[#This Row],[Fault Time]])*24)</f>
        <v>0</v>
      </c>
      <c r="AB1107" s="27">
        <f>(TA[[#This Row],[Work Start time on Fault]]-TA[[#This Row],[Fault Time]])*24</f>
        <v>0</v>
      </c>
      <c r="AC1107" s="26">
        <f>(TA[[#This Row],[Work Completion time on fault]]-TA[[#This Row],[Fault Time]])*24</f>
        <v>0</v>
      </c>
      <c r="AD1107" s="27">
        <f>IFERROR((TA[[#This Row],[Work Completion time on fault]]-TA[[#This Row],[Fault Time]])*24,"")</f>
        <v>0</v>
      </c>
      <c r="AE1107" t="s">
        <v>319</v>
      </c>
      <c r="AF1107" t="s">
        <v>247</v>
      </c>
      <c r="AG1107" s="2"/>
      <c r="AH1107" s="35">
        <f>1-COS(RADIANS(TA[[#This Row],[Avg. Target Angle during Fault Time (Radians)]]-TA[[#This Row],[Angle of affected equipment ]]))</f>
        <v>0.11705240714107301</v>
      </c>
      <c r="AI1107" s="27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43">
        <f t="shared" si="114"/>
        <v>2026</v>
      </c>
      <c r="C1108" s="116">
        <f t="shared" si="115"/>
        <v>2025</v>
      </c>
      <c r="D1108" s="2" t="s">
        <v>155</v>
      </c>
      <c r="E1108" s="2" t="s">
        <v>155</v>
      </c>
      <c r="F1108" s="30">
        <v>45809</v>
      </c>
      <c r="G1108" s="2">
        <f>DAY(EOMONTH(TA[[#This Row],[Month Year]],0))</f>
        <v>30</v>
      </c>
      <c r="H1108" s="21">
        <v>45822</v>
      </c>
      <c r="I1108" s="32">
        <f>IFERROR(VLOOKUP(TA[[#This Row],[Date]],Raw_Data[[Date]:[Sunset Time (POA&lt;20 W/m2)]],3,0),"")</f>
        <v>0.25208333333333333</v>
      </c>
      <c r="J1108" s="32">
        <f>IFERROR(VLOOKUP(TA[[#This Row],[Date]],Raw_Data[[Date]:[Sunset Time (POA&lt;20 W/m2)]],4,0),"")</f>
        <v>0.78263888888888888</v>
      </c>
      <c r="K1108" s="27">
        <f>IFERROR((TA[[#This Row],[Sunset Time (POA&lt;20 W/m2)]]-TA[[#This Row],[Sunrise Time (POA&gt;20 W/m2)]])*24,"")</f>
        <v>12.733333333333334</v>
      </c>
      <c r="L1108" s="2" t="s">
        <v>287</v>
      </c>
      <c r="M1108" s="33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314</v>
      </c>
      <c r="Q1108" s="2" t="s">
        <v>320</v>
      </c>
      <c r="R1108">
        <v>45</v>
      </c>
      <c r="S1108" s="2">
        <v>8</v>
      </c>
      <c r="T1108" t="s">
        <v>288</v>
      </c>
      <c r="U1108" t="s">
        <v>291</v>
      </c>
      <c r="V1108" t="s">
        <v>292</v>
      </c>
      <c r="W1108" s="32"/>
      <c r="X1108" s="32"/>
      <c r="Y1108" s="26"/>
      <c r="Z1108" s="26"/>
      <c r="AA1108" s="27">
        <f>IF(TA[[#This Row],[Work Start time on Fault]]="NA","",(TA[[#This Row],[Fault Acknowledgement Time ]]-TA[[#This Row],[Fault Time]])*24)</f>
        <v>0</v>
      </c>
      <c r="AB1108" s="27">
        <f>(TA[[#This Row],[Work Start time on Fault]]-TA[[#This Row],[Fault Time]])*24</f>
        <v>0</v>
      </c>
      <c r="AC1108" s="26">
        <f>(TA[[#This Row],[Work Completion time on fault]]-TA[[#This Row],[Fault Time]])*24</f>
        <v>0</v>
      </c>
      <c r="AD1108" s="27">
        <f>IFERROR((TA[[#This Row],[Work Completion time on fault]]-TA[[#This Row],[Fault Time]])*24,"")</f>
        <v>0</v>
      </c>
      <c r="AE1108" t="s">
        <v>319</v>
      </c>
      <c r="AF1108" t="s">
        <v>247</v>
      </c>
      <c r="AG1108" s="2"/>
      <c r="AH1108" s="35">
        <f>1-COS(RADIANS(TA[[#This Row],[Avg. Target Angle during Fault Time (Radians)]]-TA[[#This Row],[Angle of affected equipment ]]))</f>
        <v>0.11705240714107301</v>
      </c>
      <c r="AI1108" s="27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43">
        <f t="shared" si="114"/>
        <v>2026</v>
      </c>
      <c r="C1109" s="116">
        <f t="shared" si="115"/>
        <v>2025</v>
      </c>
      <c r="D1109" s="2" t="s">
        <v>155</v>
      </c>
      <c r="E1109" s="2" t="s">
        <v>155</v>
      </c>
      <c r="F1109" s="30">
        <v>45809</v>
      </c>
      <c r="G1109" s="2">
        <f>DAY(EOMONTH(TA[[#This Row],[Month Year]],0))</f>
        <v>30</v>
      </c>
      <c r="H1109" s="21">
        <v>45822</v>
      </c>
      <c r="I1109" s="32">
        <f>IFERROR(VLOOKUP(TA[[#This Row],[Date]],Raw_Data[[Date]:[Sunset Time (POA&lt;20 W/m2)]],3,0),"")</f>
        <v>0.25208333333333333</v>
      </c>
      <c r="J1109" s="32">
        <f>IFERROR(VLOOKUP(TA[[#This Row],[Date]],Raw_Data[[Date]:[Sunset Time (POA&lt;20 W/m2)]],4,0),"")</f>
        <v>0.78263888888888888</v>
      </c>
      <c r="K1109" s="27">
        <f>IFERROR((TA[[#This Row],[Sunset Time (POA&lt;20 W/m2)]]-TA[[#This Row],[Sunrise Time (POA&gt;20 W/m2)]])*24,"")</f>
        <v>12.733333333333334</v>
      </c>
      <c r="L1109" s="2" t="s">
        <v>287</v>
      </c>
      <c r="M1109" s="33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314</v>
      </c>
      <c r="Q1109" s="2" t="s">
        <v>320</v>
      </c>
      <c r="R1109">
        <v>47</v>
      </c>
      <c r="S1109" s="2">
        <v>18</v>
      </c>
      <c r="T1109" t="s">
        <v>288</v>
      </c>
      <c r="U1109" t="s">
        <v>291</v>
      </c>
      <c r="V1109" t="s">
        <v>292</v>
      </c>
      <c r="W1109" s="32"/>
      <c r="X1109" s="32"/>
      <c r="Y1109" s="26"/>
      <c r="Z1109" s="26"/>
      <c r="AA1109" s="27">
        <f>IF(TA[[#This Row],[Work Start time on Fault]]="NA","",(TA[[#This Row],[Fault Acknowledgement Time ]]-TA[[#This Row],[Fault Time]])*24)</f>
        <v>0</v>
      </c>
      <c r="AB1109" s="27">
        <f>(TA[[#This Row],[Work Start time on Fault]]-TA[[#This Row],[Fault Time]])*24</f>
        <v>0</v>
      </c>
      <c r="AC1109" s="26">
        <f>(TA[[#This Row],[Work Completion time on fault]]-TA[[#This Row],[Fault Time]])*24</f>
        <v>0</v>
      </c>
      <c r="AD1109" s="27">
        <f>IFERROR((TA[[#This Row],[Work Completion time on fault]]-TA[[#This Row],[Fault Time]])*24,"")</f>
        <v>0</v>
      </c>
      <c r="AE1109" t="s">
        <v>319</v>
      </c>
      <c r="AF1109" t="s">
        <v>247</v>
      </c>
      <c r="AG1109" s="2"/>
      <c r="AH1109" s="35">
        <f>1-COS(RADIANS(TA[[#This Row],[Avg. Target Angle during Fault Time (Radians)]]-TA[[#This Row],[Angle of affected equipment ]]))</f>
        <v>0.11705240714107301</v>
      </c>
      <c r="AI1109" s="27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43">
        <f t="shared" si="114"/>
        <v>2026</v>
      </c>
      <c r="C1110" s="116">
        <f t="shared" si="115"/>
        <v>2025</v>
      </c>
      <c r="D1110" s="2" t="s">
        <v>155</v>
      </c>
      <c r="E1110" s="2" t="s">
        <v>155</v>
      </c>
      <c r="F1110" s="30">
        <v>45809</v>
      </c>
      <c r="G1110" s="2">
        <f>DAY(EOMONTH(TA[[#This Row],[Month Year]],0))</f>
        <v>30</v>
      </c>
      <c r="H1110" s="21">
        <v>45822</v>
      </c>
      <c r="I1110" s="32">
        <f>IFERROR(VLOOKUP(TA[[#This Row],[Date]],Raw_Data[[Date]:[Sunset Time (POA&lt;20 W/m2)]],3,0),"")</f>
        <v>0.25208333333333333</v>
      </c>
      <c r="J1110" s="32">
        <f>IFERROR(VLOOKUP(TA[[#This Row],[Date]],Raw_Data[[Date]:[Sunset Time (POA&lt;20 W/m2)]],4,0),"")</f>
        <v>0.78263888888888888</v>
      </c>
      <c r="K1110" s="27">
        <f>IFERROR((TA[[#This Row],[Sunset Time (POA&lt;20 W/m2)]]-TA[[#This Row],[Sunrise Time (POA&gt;20 W/m2)]])*24,"")</f>
        <v>12.733333333333334</v>
      </c>
      <c r="L1110" s="2" t="s">
        <v>287</v>
      </c>
      <c r="M1110" s="33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321</v>
      </c>
      <c r="Q1110" s="2" t="s">
        <v>314</v>
      </c>
      <c r="R1110">
        <v>30</v>
      </c>
      <c r="S1110" s="2">
        <v>57</v>
      </c>
      <c r="T1110" t="s">
        <v>288</v>
      </c>
      <c r="U1110" t="s">
        <v>291</v>
      </c>
      <c r="V1110" t="s">
        <v>292</v>
      </c>
      <c r="W1110" s="32"/>
      <c r="X1110" s="32"/>
      <c r="Y1110" s="26"/>
      <c r="Z1110" s="26"/>
      <c r="AA1110" s="27">
        <f>IF(TA[[#This Row],[Work Start time on Fault]]="NA","",(TA[[#This Row],[Fault Acknowledgement Time ]]-TA[[#This Row],[Fault Time]])*24)</f>
        <v>0</v>
      </c>
      <c r="AB1110" s="27">
        <f>(TA[[#This Row],[Work Start time on Fault]]-TA[[#This Row],[Fault Time]])*24</f>
        <v>0</v>
      </c>
      <c r="AC1110" s="26">
        <f>(TA[[#This Row],[Work Completion time on fault]]-TA[[#This Row],[Fault Time]])*24</f>
        <v>0</v>
      </c>
      <c r="AD1110" s="27">
        <f>IFERROR((TA[[#This Row],[Work Completion time on fault]]-TA[[#This Row],[Fault Time]])*24,"")</f>
        <v>0</v>
      </c>
      <c r="AE1110" t="s">
        <v>319</v>
      </c>
      <c r="AF1110" t="s">
        <v>247</v>
      </c>
      <c r="AG1110" s="2"/>
      <c r="AH1110" s="35">
        <f>1-COS(RADIANS(TA[[#This Row],[Avg. Target Angle during Fault Time (Radians)]]-TA[[#This Row],[Angle of affected equipment ]]))</f>
        <v>0.11705240714107301</v>
      </c>
      <c r="AI1110" s="27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43">
        <f t="shared" si="114"/>
        <v>2026</v>
      </c>
      <c r="C1111" s="116">
        <f t="shared" si="115"/>
        <v>2025</v>
      </c>
      <c r="D1111" s="2" t="s">
        <v>155</v>
      </c>
      <c r="E1111" s="2" t="s">
        <v>155</v>
      </c>
      <c r="F1111" s="30">
        <v>45809</v>
      </c>
      <c r="G1111" s="2">
        <f>DAY(EOMONTH(TA[[#This Row],[Month Year]],0))</f>
        <v>30</v>
      </c>
      <c r="H1111" s="21">
        <v>45822</v>
      </c>
      <c r="I1111" s="32">
        <f>IFERROR(VLOOKUP(TA[[#This Row],[Date]],Raw_Data[[Date]:[Sunset Time (POA&lt;20 W/m2)]],3,0),"")</f>
        <v>0.25208333333333333</v>
      </c>
      <c r="J1111" s="32">
        <f>IFERROR(VLOOKUP(TA[[#This Row],[Date]],Raw_Data[[Date]:[Sunset Time (POA&lt;20 W/m2)]],4,0),"")</f>
        <v>0.78263888888888888</v>
      </c>
      <c r="K1111" s="27">
        <f>IFERROR((TA[[#This Row],[Sunset Time (POA&lt;20 W/m2)]]-TA[[#This Row],[Sunrise Time (POA&gt;20 W/m2)]])*24,"")</f>
        <v>12.733333333333334</v>
      </c>
      <c r="L1111" s="2" t="s">
        <v>287</v>
      </c>
      <c r="M1111" s="33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321</v>
      </c>
      <c r="Q1111" s="2" t="s">
        <v>314</v>
      </c>
      <c r="R1111">
        <v>31</v>
      </c>
      <c r="S1111" s="2">
        <v>61</v>
      </c>
      <c r="T1111" t="s">
        <v>288</v>
      </c>
      <c r="U1111" t="s">
        <v>291</v>
      </c>
      <c r="V1111" t="s">
        <v>292</v>
      </c>
      <c r="W1111" s="32"/>
      <c r="X1111" s="32"/>
      <c r="Y1111" s="26"/>
      <c r="Z1111" s="26"/>
      <c r="AA1111" s="27">
        <f>IF(TA[[#This Row],[Work Start time on Fault]]="NA","",(TA[[#This Row],[Fault Acknowledgement Time ]]-TA[[#This Row],[Fault Time]])*24)</f>
        <v>0</v>
      </c>
      <c r="AB1111" s="27">
        <f>(TA[[#This Row],[Work Start time on Fault]]-TA[[#This Row],[Fault Time]])*24</f>
        <v>0</v>
      </c>
      <c r="AC1111" s="26">
        <f>(TA[[#This Row],[Work Completion time on fault]]-TA[[#This Row],[Fault Time]])*24</f>
        <v>0</v>
      </c>
      <c r="AD1111" s="27">
        <f>IFERROR((TA[[#This Row],[Work Completion time on fault]]-TA[[#This Row],[Fault Time]])*24,"")</f>
        <v>0</v>
      </c>
      <c r="AE1111" t="s">
        <v>319</v>
      </c>
      <c r="AF1111" t="s">
        <v>247</v>
      </c>
      <c r="AG1111" s="2"/>
      <c r="AH1111" s="35">
        <f>1-COS(RADIANS(TA[[#This Row],[Avg. Target Angle during Fault Time (Radians)]]-TA[[#This Row],[Angle of affected equipment ]]))</f>
        <v>0.11705240714107301</v>
      </c>
      <c r="AI1111" s="27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43">
        <f t="shared" si="114"/>
        <v>2026</v>
      </c>
      <c r="C1112" s="116">
        <f t="shared" si="115"/>
        <v>2025</v>
      </c>
      <c r="D1112" s="2" t="s">
        <v>155</v>
      </c>
      <c r="E1112" s="2" t="s">
        <v>155</v>
      </c>
      <c r="F1112" s="30">
        <v>45809</v>
      </c>
      <c r="G1112" s="2">
        <f>DAY(EOMONTH(TA[[#This Row],[Month Year]],0))</f>
        <v>30</v>
      </c>
      <c r="H1112" s="21">
        <v>45822</v>
      </c>
      <c r="I1112" s="32">
        <f>IFERROR(VLOOKUP(TA[[#This Row],[Date]],Raw_Data[[Date]:[Sunset Time (POA&lt;20 W/m2)]],3,0),"")</f>
        <v>0.25208333333333333</v>
      </c>
      <c r="J1112" s="32">
        <f>IFERROR(VLOOKUP(TA[[#This Row],[Date]],Raw_Data[[Date]:[Sunset Time (POA&lt;20 W/m2)]],4,0),"")</f>
        <v>0.78263888888888888</v>
      </c>
      <c r="K1112" s="27">
        <f>IFERROR((TA[[#This Row],[Sunset Time (POA&lt;20 W/m2)]]-TA[[#This Row],[Sunrise Time (POA&gt;20 W/m2)]])*24,"")</f>
        <v>12.733333333333334</v>
      </c>
      <c r="L1112" s="2" t="s">
        <v>303</v>
      </c>
      <c r="M1112" s="33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321</v>
      </c>
      <c r="Q1112" s="2" t="s">
        <v>314</v>
      </c>
      <c r="R1112">
        <v>26</v>
      </c>
      <c r="S1112" s="2">
        <v>37</v>
      </c>
      <c r="T1112" t="s">
        <v>288</v>
      </c>
      <c r="U1112" t="s">
        <v>291</v>
      </c>
      <c r="V1112" t="s">
        <v>292</v>
      </c>
      <c r="W1112" s="32"/>
      <c r="X1112" s="32"/>
      <c r="Y1112" s="26"/>
      <c r="Z1112" s="26"/>
      <c r="AA1112" s="27">
        <f>IF(TA[[#This Row],[Work Start time on Fault]]="NA","",(TA[[#This Row],[Fault Acknowledgement Time ]]-TA[[#This Row],[Fault Time]])*24)</f>
        <v>0</v>
      </c>
      <c r="AB1112" s="27">
        <f>(TA[[#This Row],[Work Start time on Fault]]-TA[[#This Row],[Fault Time]])*24</f>
        <v>0</v>
      </c>
      <c r="AC1112" s="26">
        <f>(TA[[#This Row],[Work Completion time on fault]]-TA[[#This Row],[Fault Time]])*24</f>
        <v>0</v>
      </c>
      <c r="AD1112" s="27">
        <f>IFERROR((TA[[#This Row],[Work Completion time on fault]]-TA[[#This Row],[Fault Time]])*24,"")</f>
        <v>0</v>
      </c>
      <c r="AE1112" t="s">
        <v>319</v>
      </c>
      <c r="AF1112" t="s">
        <v>247</v>
      </c>
      <c r="AG1112" s="2"/>
      <c r="AH1112" s="35">
        <f>1-COS(RADIANS(TA[[#This Row],[Avg. Target Angle during Fault Time (Radians)]]-TA[[#This Row],[Angle of affected equipment ]]))</f>
        <v>0.11705240714107301</v>
      </c>
      <c r="AI1112" s="27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43">
        <f t="shared" si="114"/>
        <v>2026</v>
      </c>
      <c r="C1113" s="116">
        <f t="shared" si="115"/>
        <v>2025</v>
      </c>
      <c r="D1113" s="2" t="s">
        <v>155</v>
      </c>
      <c r="E1113" s="2" t="s">
        <v>155</v>
      </c>
      <c r="F1113" s="30">
        <v>45809</v>
      </c>
      <c r="G1113" s="2">
        <f>DAY(EOMONTH(TA[[#This Row],[Month Year]],0))</f>
        <v>30</v>
      </c>
      <c r="H1113" s="21">
        <v>45822</v>
      </c>
      <c r="I1113" s="32">
        <f>IFERROR(VLOOKUP(TA[[#This Row],[Date]],Raw_Data[[Date]:[Sunset Time (POA&lt;20 W/m2)]],3,0),"")</f>
        <v>0.25208333333333333</v>
      </c>
      <c r="J1113" s="32">
        <f>IFERROR(VLOOKUP(TA[[#This Row],[Date]],Raw_Data[[Date]:[Sunset Time (POA&lt;20 W/m2)]],4,0),"")</f>
        <v>0.78263888888888888</v>
      </c>
      <c r="K1113" s="27">
        <f>IFERROR((TA[[#This Row],[Sunset Time (POA&lt;20 W/m2)]]-TA[[#This Row],[Sunrise Time (POA&gt;20 W/m2)]])*24,"")</f>
        <v>12.733333333333334</v>
      </c>
      <c r="L1113" s="2" t="s">
        <v>303</v>
      </c>
      <c r="M1113" s="33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321</v>
      </c>
      <c r="Q1113" s="2" t="s">
        <v>314</v>
      </c>
      <c r="R1113">
        <v>27</v>
      </c>
      <c r="S1113" s="2">
        <v>42</v>
      </c>
      <c r="T1113" t="s">
        <v>288</v>
      </c>
      <c r="U1113" t="s">
        <v>291</v>
      </c>
      <c r="V1113" t="s">
        <v>292</v>
      </c>
      <c r="W1113" s="32">
        <f>IFERROR(VLOOKUP(TA[[#This Row],[Date]],Raw_Data[[Date]:[Sunset Time (POA&lt;20 W/m2)]],3,0),"")</f>
        <v>0.25208333333333333</v>
      </c>
      <c r="X1113" s="32">
        <f>IFERROR(VLOOKUP(TA[[#This Row],[Date]],Raw_Data[[Date]:[Sunset Time (POA&lt;20 W/m2)]],3,0),"")</f>
        <v>0.25208333333333333</v>
      </c>
      <c r="Y1113" s="26"/>
      <c r="Z1113" s="26">
        <v>0.76041666666666663</v>
      </c>
      <c r="AA1113" s="27">
        <f>IF(TA[[#This Row],[Work Start time on Fault]]="NA","",(TA[[#This Row],[Fault Acknowledgement Time ]]-TA[[#This Row],[Fault Time]])*24)</f>
        <v>0</v>
      </c>
      <c r="AB1113" s="27">
        <f>(TA[[#This Row],[Work Start time on Fault]]-TA[[#This Row],[Fault Time]])*24</f>
        <v>-6.05</v>
      </c>
      <c r="AC1113" s="26">
        <f>(TA[[#This Row],[Work Completion time on fault]]-TA[[#This Row],[Fault Time]])*24</f>
        <v>12.2</v>
      </c>
      <c r="AD1113" s="27">
        <f>IFERROR((TA[[#This Row],[Work Completion time on fault]]-TA[[#This Row],[Fault Time]])*24,"")</f>
        <v>12.2</v>
      </c>
      <c r="AE1113" t="s">
        <v>300</v>
      </c>
      <c r="AF1113" t="s">
        <v>247</v>
      </c>
      <c r="AG1113" s="2"/>
      <c r="AH1113" s="35">
        <f>1-COS(RADIANS(TA[[#This Row],[Avg. Target Angle during Fault Time (Radians)]]-TA[[#This Row],[Angle of affected equipment ]]))</f>
        <v>0.11705240714107301</v>
      </c>
      <c r="AI1113" s="27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43">
        <f t="shared" ref="B1114:B1119" si="116">YEAR(H1114)+IF(MONTH(H1114)&gt;=4,1,0)</f>
        <v>2026</v>
      </c>
      <c r="C1114" s="116">
        <f t="shared" ref="C1114:C1119" si="117">YEAR(H1114)</f>
        <v>2025</v>
      </c>
      <c r="D1114" s="2" t="s">
        <v>155</v>
      </c>
      <c r="E1114" s="2" t="s">
        <v>155</v>
      </c>
      <c r="F1114" s="30">
        <v>45809</v>
      </c>
      <c r="G1114" s="2">
        <f>DAY(EOMONTH(TA[[#This Row],[Month Year]],0))</f>
        <v>30</v>
      </c>
      <c r="H1114" s="21">
        <v>45822</v>
      </c>
      <c r="I1114" s="32">
        <f>IFERROR(VLOOKUP(TA[[#This Row],[Date]],Raw_Data[[Date]:[Sunset Time (POA&lt;20 W/m2)]],3,0),"")</f>
        <v>0.25208333333333333</v>
      </c>
      <c r="J1114" s="32">
        <f>IFERROR(VLOOKUP(TA[[#This Row],[Date]],Raw_Data[[Date]:[Sunset Time (POA&lt;20 W/m2)]],4,0),"")</f>
        <v>0.78263888888888888</v>
      </c>
      <c r="K1114" s="27">
        <f>IFERROR((TA[[#This Row],[Sunset Time (POA&lt;20 W/m2)]]-TA[[#This Row],[Sunrise Time (POA&gt;20 W/m2)]])*24,"")</f>
        <v>12.733333333333334</v>
      </c>
      <c r="L1114" s="2" t="s">
        <v>287</v>
      </c>
      <c r="M1114" s="33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314</v>
      </c>
      <c r="Q1114" s="2" t="s">
        <v>320</v>
      </c>
      <c r="R1114">
        <v>45</v>
      </c>
      <c r="S1114" s="2">
        <v>8</v>
      </c>
      <c r="T1114" t="s">
        <v>288</v>
      </c>
      <c r="U1114" t="s">
        <v>291</v>
      </c>
      <c r="V1114" t="s">
        <v>292</v>
      </c>
      <c r="W1114" s="32"/>
      <c r="X1114" s="32"/>
      <c r="Y1114" s="26"/>
      <c r="Z1114" s="26"/>
      <c r="AA1114" s="27">
        <f>IF(TA[[#This Row],[Work Start time on Fault]]="NA","",(TA[[#This Row],[Fault Acknowledgement Time ]]-TA[[#This Row],[Fault Time]])*24)</f>
        <v>0</v>
      </c>
      <c r="AB1114" s="27">
        <f>(TA[[#This Row],[Work Start time on Fault]]-TA[[#This Row],[Fault Time]])*24</f>
        <v>0</v>
      </c>
      <c r="AC1114" s="26">
        <f>(TA[[#This Row],[Work Completion time on fault]]-TA[[#This Row],[Fault Time]])*24</f>
        <v>0</v>
      </c>
      <c r="AD1114" s="27">
        <f>IFERROR((TA[[#This Row],[Work Completion time on fault]]-TA[[#This Row],[Fault Time]])*24,"")</f>
        <v>0</v>
      </c>
      <c r="AE1114" s="209" t="s">
        <v>498</v>
      </c>
      <c r="AF1114" t="s">
        <v>240</v>
      </c>
      <c r="AG1114" s="2"/>
      <c r="AH1114" s="35">
        <f>1-COS(RADIANS(TA[[#This Row],[Avg. Target Angle during Fault Time (Radians)]]-TA[[#This Row],[Angle of affected equipment ]]))</f>
        <v>0.11705240714107301</v>
      </c>
      <c r="AI1114" s="27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43">
        <f t="shared" si="116"/>
        <v>2026</v>
      </c>
      <c r="C1115" s="116">
        <f t="shared" si="117"/>
        <v>2025</v>
      </c>
      <c r="D1115" s="2" t="s">
        <v>155</v>
      </c>
      <c r="E1115" s="2" t="s">
        <v>155</v>
      </c>
      <c r="F1115" s="30">
        <v>45809</v>
      </c>
      <c r="G1115" s="2">
        <f>DAY(EOMONTH(TA[[#This Row],[Month Year]],0))</f>
        <v>30</v>
      </c>
      <c r="H1115" s="21">
        <v>45822</v>
      </c>
      <c r="I1115" s="32">
        <f>IFERROR(VLOOKUP(TA[[#This Row],[Date]],Raw_Data[[Date]:[Sunset Time (POA&lt;20 W/m2)]],3,0),"")</f>
        <v>0.25208333333333333</v>
      </c>
      <c r="J1115" s="32">
        <f>IFERROR(VLOOKUP(TA[[#This Row],[Date]],Raw_Data[[Date]:[Sunset Time (POA&lt;20 W/m2)]],4,0),"")</f>
        <v>0.78263888888888888</v>
      </c>
      <c r="K1115" s="27">
        <f>IFERROR((TA[[#This Row],[Sunset Time (POA&lt;20 W/m2)]]-TA[[#This Row],[Sunrise Time (POA&gt;20 W/m2)]])*24,"")</f>
        <v>12.733333333333334</v>
      </c>
      <c r="L1115" s="2" t="s">
        <v>287</v>
      </c>
      <c r="M1115" s="33">
        <f>IFERROR(VLOOKUP(TA[[#This Row],[Affected Equipment]],'Basic Data'!$I$2:$K$40,3,0),"")</f>
        <v>8.6206896551724102E-3</v>
      </c>
      <c r="N1115">
        <v>-28</v>
      </c>
      <c r="O1115" s="209" t="s">
        <v>133</v>
      </c>
      <c r="P1115" s="114" t="s">
        <v>321</v>
      </c>
      <c r="Q1115" s="113" t="s">
        <v>496</v>
      </c>
      <c r="R1115">
        <v>4</v>
      </c>
      <c r="S1115" s="2">
        <v>18</v>
      </c>
      <c r="T1115" s="209" t="s">
        <v>290</v>
      </c>
      <c r="U1115" t="s">
        <v>291</v>
      </c>
      <c r="V1115" t="s">
        <v>292</v>
      </c>
      <c r="W1115" s="32"/>
      <c r="X1115" s="32"/>
      <c r="Y1115" s="26"/>
      <c r="Z1115" s="26"/>
      <c r="AA1115" s="27">
        <f>IF(TA[[#This Row],[Work Start time on Fault]]="NA","",(TA[[#This Row],[Fault Acknowledgement Time ]]-TA[[#This Row],[Fault Time]])*24)</f>
        <v>0</v>
      </c>
      <c r="AB1115" s="27">
        <f>(TA[[#This Row],[Work Start time on Fault]]-TA[[#This Row],[Fault Time]])*24</f>
        <v>0</v>
      </c>
      <c r="AC1115" s="26">
        <f>(TA[[#This Row],[Work Completion time on fault]]-TA[[#This Row],[Fault Time]])*24</f>
        <v>0</v>
      </c>
      <c r="AD1115" s="27">
        <f>IFERROR((TA[[#This Row],[Work Completion time on fault]]-TA[[#This Row],[Fault Time]])*24,"")</f>
        <v>0</v>
      </c>
      <c r="AE1115" s="209" t="s">
        <v>498</v>
      </c>
      <c r="AF1115" t="s">
        <v>240</v>
      </c>
      <c r="AG1115" s="2"/>
      <c r="AH1115" s="35">
        <f>1-COS(RADIANS(TA[[#This Row],[Avg. Target Angle during Fault Time (Radians)]]-TA[[#This Row],[Angle of affected equipment ]]))</f>
        <v>0.11705240714107301</v>
      </c>
      <c r="AI1115" s="27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43">
        <f t="shared" si="116"/>
        <v>2026</v>
      </c>
      <c r="C1116" s="116">
        <f t="shared" si="117"/>
        <v>2025</v>
      </c>
      <c r="D1116" s="2" t="s">
        <v>155</v>
      </c>
      <c r="E1116" s="2" t="s">
        <v>155</v>
      </c>
      <c r="F1116" s="30">
        <v>45809</v>
      </c>
      <c r="G1116" s="2">
        <f>DAY(EOMONTH(TA[[#This Row],[Month Year]],0))</f>
        <v>30</v>
      </c>
      <c r="H1116" s="21">
        <v>45822</v>
      </c>
      <c r="I1116" s="32">
        <f>IFERROR(VLOOKUP(TA[[#This Row],[Date]],Raw_Data[[Date]:[Sunset Time (POA&lt;20 W/m2)]],3,0),"")</f>
        <v>0.25208333333333333</v>
      </c>
      <c r="J1116" s="32">
        <f>IFERROR(VLOOKUP(TA[[#This Row],[Date]],Raw_Data[[Date]:[Sunset Time (POA&lt;20 W/m2)]],4,0),"")</f>
        <v>0.78263888888888888</v>
      </c>
      <c r="K1116" s="27">
        <f>IFERROR((TA[[#This Row],[Sunset Time (POA&lt;20 W/m2)]]-TA[[#This Row],[Sunrise Time (POA&gt;20 W/m2)]])*24,"")</f>
        <v>12.733333333333334</v>
      </c>
      <c r="L1116" s="2" t="s">
        <v>287</v>
      </c>
      <c r="M1116" s="33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14" t="s">
        <v>497</v>
      </c>
      <c r="Q1116" s="113" t="s">
        <v>497</v>
      </c>
      <c r="R1116">
        <v>61</v>
      </c>
      <c r="S1116" s="2">
        <v>3</v>
      </c>
      <c r="T1116" s="209" t="s">
        <v>290</v>
      </c>
      <c r="U1116" t="s">
        <v>291</v>
      </c>
      <c r="V1116" t="s">
        <v>292</v>
      </c>
      <c r="W1116" s="32"/>
      <c r="X1116" s="32"/>
      <c r="Y1116" s="26"/>
      <c r="Z1116" s="26"/>
      <c r="AA1116" s="27">
        <f>IF(TA[[#This Row],[Work Start time on Fault]]="NA","",(TA[[#This Row],[Fault Acknowledgement Time ]]-TA[[#This Row],[Fault Time]])*24)</f>
        <v>0</v>
      </c>
      <c r="AB1116" s="27">
        <f>(TA[[#This Row],[Work Start time on Fault]]-TA[[#This Row],[Fault Time]])*24</f>
        <v>0</v>
      </c>
      <c r="AC1116" s="26">
        <f>(TA[[#This Row],[Work Completion time on fault]]-TA[[#This Row],[Fault Time]])*24</f>
        <v>0</v>
      </c>
      <c r="AD1116" s="27">
        <f>IFERROR((TA[[#This Row],[Work Completion time on fault]]-TA[[#This Row],[Fault Time]])*24,"")</f>
        <v>0</v>
      </c>
      <c r="AE1116" s="209" t="s">
        <v>498</v>
      </c>
      <c r="AF1116" t="s">
        <v>240</v>
      </c>
      <c r="AG1116" s="2"/>
      <c r="AH1116" s="35">
        <f>1-COS(RADIANS(TA[[#This Row],[Avg. Target Angle during Fault Time (Radians)]]-TA[[#This Row],[Angle of affected equipment ]]))</f>
        <v>0.11705240714107301</v>
      </c>
      <c r="AI1116" s="27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43">
        <f t="shared" si="116"/>
        <v>2026</v>
      </c>
      <c r="C1117" s="116">
        <f t="shared" si="117"/>
        <v>2025</v>
      </c>
      <c r="D1117" s="2" t="s">
        <v>155</v>
      </c>
      <c r="E1117" s="2" t="s">
        <v>155</v>
      </c>
      <c r="F1117" s="30">
        <v>45809</v>
      </c>
      <c r="G1117" s="2">
        <f>DAY(EOMONTH(TA[[#This Row],[Month Year]],0))</f>
        <v>30</v>
      </c>
      <c r="H1117" s="21">
        <v>45822</v>
      </c>
      <c r="I1117" s="32">
        <f>IFERROR(VLOOKUP(TA[[#This Row],[Date]],Raw_Data[[Date]:[Sunset Time (POA&lt;20 W/m2)]],3,0),"")</f>
        <v>0.25208333333333333</v>
      </c>
      <c r="J1117" s="32">
        <f>IFERROR(VLOOKUP(TA[[#This Row],[Date]],Raw_Data[[Date]:[Sunset Time (POA&lt;20 W/m2)]],4,0),"")</f>
        <v>0.78263888888888888</v>
      </c>
      <c r="K1117" s="27">
        <f>IFERROR((TA[[#This Row],[Sunset Time (POA&lt;20 W/m2)]]-TA[[#This Row],[Sunrise Time (POA&gt;20 W/m2)]])*24,"")</f>
        <v>12.733333333333334</v>
      </c>
      <c r="L1117" s="2" t="s">
        <v>287</v>
      </c>
      <c r="M1117" s="33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321</v>
      </c>
      <c r="Q1117" s="2" t="s">
        <v>314</v>
      </c>
      <c r="R1117">
        <v>32</v>
      </c>
      <c r="S1117" s="2">
        <v>64</v>
      </c>
      <c r="T1117" s="209" t="s">
        <v>290</v>
      </c>
      <c r="U1117" t="s">
        <v>291</v>
      </c>
      <c r="V1117" t="s">
        <v>292</v>
      </c>
      <c r="W1117" s="32"/>
      <c r="X1117" s="32"/>
      <c r="Y1117" s="26"/>
      <c r="Z1117" s="26"/>
      <c r="AA1117" s="27">
        <f>IF(TA[[#This Row],[Work Start time on Fault]]="NA","",(TA[[#This Row],[Fault Acknowledgement Time ]]-TA[[#This Row],[Fault Time]])*24)</f>
        <v>0</v>
      </c>
      <c r="AB1117" s="27">
        <f>(TA[[#This Row],[Work Start time on Fault]]-TA[[#This Row],[Fault Time]])*24</f>
        <v>0</v>
      </c>
      <c r="AC1117" s="26">
        <f>(TA[[#This Row],[Work Completion time on fault]]-TA[[#This Row],[Fault Time]])*24</f>
        <v>0</v>
      </c>
      <c r="AD1117" s="27">
        <f>IFERROR((TA[[#This Row],[Work Completion time on fault]]-TA[[#This Row],[Fault Time]])*24,"")</f>
        <v>0</v>
      </c>
      <c r="AE1117" s="209" t="s">
        <v>498</v>
      </c>
      <c r="AF1117" t="s">
        <v>240</v>
      </c>
      <c r="AG1117" s="2"/>
      <c r="AH1117" s="35">
        <f>1-COS(RADIANS(TA[[#This Row],[Avg. Target Angle during Fault Time (Radians)]]-TA[[#This Row],[Angle of affected equipment ]]))</f>
        <v>0.11705240714107301</v>
      </c>
      <c r="AI1117" s="27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43">
        <f t="shared" si="116"/>
        <v>2026</v>
      </c>
      <c r="C1118" s="116">
        <f t="shared" si="117"/>
        <v>2025</v>
      </c>
      <c r="D1118" s="2" t="s">
        <v>155</v>
      </c>
      <c r="E1118" s="2" t="s">
        <v>155</v>
      </c>
      <c r="F1118" s="30">
        <v>45809</v>
      </c>
      <c r="G1118" s="2">
        <f>DAY(EOMONTH(TA[[#This Row],[Month Year]],0))</f>
        <v>30</v>
      </c>
      <c r="H1118" s="21">
        <v>45822</v>
      </c>
      <c r="I1118" s="32">
        <f>IFERROR(VLOOKUP(TA[[#This Row],[Date]],Raw_Data[[Date]:[Sunset Time (POA&lt;20 W/m2)]],3,0),"")</f>
        <v>0.25208333333333333</v>
      </c>
      <c r="J1118" s="32">
        <f>IFERROR(VLOOKUP(TA[[#This Row],[Date]],Raw_Data[[Date]:[Sunset Time (POA&lt;20 W/m2)]],4,0),"")</f>
        <v>0.78263888888888888</v>
      </c>
      <c r="K1118" s="27">
        <f>IFERROR((TA[[#This Row],[Sunset Time (POA&lt;20 W/m2)]]-TA[[#This Row],[Sunrise Time (POA&gt;20 W/m2)]])*24,"")</f>
        <v>12.733333333333334</v>
      </c>
      <c r="L1118" s="2" t="s">
        <v>287</v>
      </c>
      <c r="M1118" s="33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321</v>
      </c>
      <c r="Q1118" s="113" t="s">
        <v>496</v>
      </c>
      <c r="R1118">
        <v>11</v>
      </c>
      <c r="S1118" s="2">
        <v>64</v>
      </c>
      <c r="T1118" s="209" t="s">
        <v>290</v>
      </c>
      <c r="U1118" t="s">
        <v>291</v>
      </c>
      <c r="V1118" t="s">
        <v>292</v>
      </c>
      <c r="W1118" s="32"/>
      <c r="X1118" s="32"/>
      <c r="Y1118" s="26"/>
      <c r="Z1118" s="26"/>
      <c r="AA1118" s="27">
        <f>IF(TA[[#This Row],[Work Start time on Fault]]="NA","",(TA[[#This Row],[Fault Acknowledgement Time ]]-TA[[#This Row],[Fault Time]])*24)</f>
        <v>0</v>
      </c>
      <c r="AB1118" s="27">
        <f>(TA[[#This Row],[Work Start time on Fault]]-TA[[#This Row],[Fault Time]])*24</f>
        <v>0</v>
      </c>
      <c r="AC1118" s="26">
        <f>(TA[[#This Row],[Work Completion time on fault]]-TA[[#This Row],[Fault Time]])*24</f>
        <v>0</v>
      </c>
      <c r="AD1118" s="27">
        <f>IFERROR((TA[[#This Row],[Work Completion time on fault]]-TA[[#This Row],[Fault Time]])*24,"")</f>
        <v>0</v>
      </c>
      <c r="AE1118" s="209" t="s">
        <v>498</v>
      </c>
      <c r="AF1118" t="s">
        <v>240</v>
      </c>
      <c r="AG1118" s="2"/>
      <c r="AH1118" s="35">
        <f>1-COS(RADIANS(TA[[#This Row],[Avg. Target Angle during Fault Time (Radians)]]-TA[[#This Row],[Angle of affected equipment ]]))</f>
        <v>0.11705240714107301</v>
      </c>
      <c r="AI1118" s="27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43">
        <f t="shared" si="116"/>
        <v>2026</v>
      </c>
      <c r="C1119" s="116">
        <f t="shared" si="117"/>
        <v>2025</v>
      </c>
      <c r="D1119" s="2" t="s">
        <v>155</v>
      </c>
      <c r="E1119" s="2" t="s">
        <v>155</v>
      </c>
      <c r="F1119" s="30">
        <v>45809</v>
      </c>
      <c r="G1119" s="2">
        <f>DAY(EOMONTH(TA[[#This Row],[Month Year]],0))</f>
        <v>30</v>
      </c>
      <c r="H1119" s="21">
        <v>45822</v>
      </c>
      <c r="I1119" s="32">
        <f>IFERROR(VLOOKUP(TA[[#This Row],[Date]],Raw_Data[[Date]:[Sunset Time (POA&lt;20 W/m2)]],3,0),"")</f>
        <v>0.25208333333333333</v>
      </c>
      <c r="J1119" s="32">
        <f>IFERROR(VLOOKUP(TA[[#This Row],[Date]],Raw_Data[[Date]:[Sunset Time (POA&lt;20 W/m2)]],4,0),"")</f>
        <v>0.78263888888888888</v>
      </c>
      <c r="K1119" s="27">
        <f>IFERROR((TA[[#This Row],[Sunset Time (POA&lt;20 W/m2)]]-TA[[#This Row],[Sunrise Time (POA&gt;20 W/m2)]])*24,"")</f>
        <v>12.733333333333334</v>
      </c>
      <c r="L1119" s="2" t="s">
        <v>287</v>
      </c>
      <c r="M1119" s="33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321</v>
      </c>
      <c r="Q1119" s="2" t="s">
        <v>314</v>
      </c>
      <c r="R1119">
        <v>20</v>
      </c>
      <c r="S1119" s="2">
        <v>8</v>
      </c>
      <c r="T1119" t="s">
        <v>288</v>
      </c>
      <c r="U1119" t="s">
        <v>291</v>
      </c>
      <c r="V1119" t="s">
        <v>292</v>
      </c>
      <c r="W1119" s="32"/>
      <c r="X1119" s="32"/>
      <c r="Y1119" s="26"/>
      <c r="Z1119" s="26"/>
      <c r="AA1119" s="27">
        <f>IF(TA[[#This Row],[Work Start time on Fault]]="NA","",(TA[[#This Row],[Fault Acknowledgement Time ]]-TA[[#This Row],[Fault Time]])*24)</f>
        <v>0</v>
      </c>
      <c r="AB1119" s="27">
        <f>(TA[[#This Row],[Work Start time on Fault]]-TA[[#This Row],[Fault Time]])*24</f>
        <v>0</v>
      </c>
      <c r="AC1119" s="26">
        <f>(TA[[#This Row],[Work Completion time on fault]]-TA[[#This Row],[Fault Time]])*24</f>
        <v>0</v>
      </c>
      <c r="AD1119" s="27">
        <f>IFERROR((TA[[#This Row],[Work Completion time on fault]]-TA[[#This Row],[Fault Time]])*24,"")</f>
        <v>0</v>
      </c>
      <c r="AE1119" s="209" t="s">
        <v>498</v>
      </c>
      <c r="AF1119" t="s">
        <v>240</v>
      </c>
      <c r="AG1119" s="2"/>
      <c r="AH1119" s="35">
        <f>1-COS(RADIANS(TA[[#This Row],[Avg. Target Angle during Fault Time (Radians)]]-TA[[#This Row],[Angle of affected equipment ]]))</f>
        <v>0.11705240714107301</v>
      </c>
      <c r="AI1119" s="27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43">
        <f t="shared" ref="B1120:B1134" si="118">YEAR(H1120)+IF(MONTH(H1120)&gt;=4,1,0)</f>
        <v>2026</v>
      </c>
      <c r="C1120" s="116">
        <f t="shared" ref="C1120:C1134" si="119">YEAR(H1120)</f>
        <v>2025</v>
      </c>
      <c r="D1120" s="2" t="s">
        <v>155</v>
      </c>
      <c r="E1120" s="2" t="s">
        <v>155</v>
      </c>
      <c r="F1120" s="30">
        <v>45809</v>
      </c>
      <c r="G1120" s="2">
        <f>DAY(EOMONTH(TA[[#This Row],[Month Year]],0))</f>
        <v>30</v>
      </c>
      <c r="H1120" s="21">
        <v>45822</v>
      </c>
      <c r="I1120" s="32">
        <f>IFERROR(VLOOKUP(TA[[#This Row],[Date]],Raw_Data[[Date]:[Sunset Time (POA&lt;20 W/m2)]],3,0),"")</f>
        <v>0.25208333333333333</v>
      </c>
      <c r="J1120" s="32">
        <f>IFERROR(VLOOKUP(TA[[#This Row],[Date]],Raw_Data[[Date]:[Sunset Time (POA&lt;20 W/m2)]],4,0),"")</f>
        <v>0.78263888888888888</v>
      </c>
      <c r="K1120" s="27">
        <f>IFERROR((TA[[#This Row],[Sunset Time (POA&lt;20 W/m2)]]-TA[[#This Row],[Sunrise Time (POA&gt;20 W/m2)]])*24,"")</f>
        <v>12.733333333333334</v>
      </c>
      <c r="L1120" s="2" t="s">
        <v>287</v>
      </c>
      <c r="M1120" s="33">
        <f>IFERROR(VLOOKUP(TA[[#This Row],[Affected Equipment]],'Basic Data'!$I$2:$K$40,3,0),"")</f>
        <v>8.6206896551724102E-3</v>
      </c>
      <c r="N1120">
        <v>-28</v>
      </c>
      <c r="O1120" s="209" t="s">
        <v>136</v>
      </c>
      <c r="P1120" s="114" t="s">
        <v>499</v>
      </c>
      <c r="Q1120" s="113" t="s">
        <v>499</v>
      </c>
      <c r="R1120">
        <v>103</v>
      </c>
      <c r="S1120" s="2">
        <v>49</v>
      </c>
      <c r="T1120" s="209" t="s">
        <v>290</v>
      </c>
      <c r="U1120" t="s">
        <v>291</v>
      </c>
      <c r="V1120" t="s">
        <v>292</v>
      </c>
      <c r="W1120" s="32"/>
      <c r="X1120" s="32"/>
      <c r="Y1120" s="26"/>
      <c r="Z1120" s="26"/>
      <c r="AA1120" s="27">
        <f>IF(TA[[#This Row],[Work Start time on Fault]]="NA","",(TA[[#This Row],[Fault Acknowledgement Time ]]-TA[[#This Row],[Fault Time]])*24)</f>
        <v>0</v>
      </c>
      <c r="AB1120" s="27">
        <f>(TA[[#This Row],[Work Start time on Fault]]-TA[[#This Row],[Fault Time]])*24</f>
        <v>0</v>
      </c>
      <c r="AC1120" s="26">
        <f>(TA[[#This Row],[Work Completion time on fault]]-TA[[#This Row],[Fault Time]])*24</f>
        <v>0</v>
      </c>
      <c r="AD1120" s="27">
        <f>IFERROR((TA[[#This Row],[Work Completion time on fault]]-TA[[#This Row],[Fault Time]])*24,"")</f>
        <v>0</v>
      </c>
      <c r="AE1120" s="209" t="s">
        <v>498</v>
      </c>
      <c r="AF1120" t="s">
        <v>240</v>
      </c>
      <c r="AG1120" s="2"/>
      <c r="AH1120" s="35">
        <f>1-COS(RADIANS(TA[[#This Row],[Avg. Target Angle during Fault Time (Radians)]]-TA[[#This Row],[Angle of affected equipment ]]))</f>
        <v>0.11705240714107301</v>
      </c>
      <c r="AI1120" s="27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43">
        <f t="shared" si="118"/>
        <v>2026</v>
      </c>
      <c r="C1121" s="116">
        <f t="shared" si="119"/>
        <v>2025</v>
      </c>
      <c r="D1121" s="2" t="s">
        <v>155</v>
      </c>
      <c r="E1121" s="2" t="s">
        <v>155</v>
      </c>
      <c r="F1121" s="30">
        <v>45809</v>
      </c>
      <c r="G1121" s="2">
        <f>DAY(EOMONTH(TA[[#This Row],[Month Year]],0))</f>
        <v>30</v>
      </c>
      <c r="H1121" s="21">
        <v>45822</v>
      </c>
      <c r="I1121" s="32">
        <f>IFERROR(VLOOKUP(TA[[#This Row],[Date]],Raw_Data[[Date]:[Sunset Time (POA&lt;20 W/m2)]],3,0),"")</f>
        <v>0.25208333333333333</v>
      </c>
      <c r="J1121" s="32">
        <f>IFERROR(VLOOKUP(TA[[#This Row],[Date]],Raw_Data[[Date]:[Sunset Time (POA&lt;20 W/m2)]],4,0),"")</f>
        <v>0.78263888888888888</v>
      </c>
      <c r="K1121" s="27">
        <f>IFERROR((TA[[#This Row],[Sunset Time (POA&lt;20 W/m2)]]-TA[[#This Row],[Sunrise Time (POA&gt;20 W/m2)]])*24,"")</f>
        <v>12.733333333333334</v>
      </c>
      <c r="L1121" s="2" t="s">
        <v>287</v>
      </c>
      <c r="M1121" s="33">
        <f>IFERROR(VLOOKUP(TA[[#This Row],[Affected Equipment]],'Basic Data'!$I$2:$K$40,3,0),"")</f>
        <v>8.6206896551724102E-3</v>
      </c>
      <c r="N1121">
        <v>-28</v>
      </c>
      <c r="O1121" s="209" t="s">
        <v>137</v>
      </c>
      <c r="P1121" s="114" t="s">
        <v>499</v>
      </c>
      <c r="Q1121" s="113" t="s">
        <v>499</v>
      </c>
      <c r="R1121">
        <v>81</v>
      </c>
      <c r="S1121" s="2">
        <v>118</v>
      </c>
      <c r="T1121" t="s">
        <v>288</v>
      </c>
      <c r="U1121" t="s">
        <v>291</v>
      </c>
      <c r="V1121" t="s">
        <v>292</v>
      </c>
      <c r="W1121" s="32"/>
      <c r="X1121" s="32"/>
      <c r="Y1121" s="26"/>
      <c r="Z1121" s="26"/>
      <c r="AA1121" s="27">
        <f>IF(TA[[#This Row],[Work Start time on Fault]]="NA","",(TA[[#This Row],[Fault Acknowledgement Time ]]-TA[[#This Row],[Fault Time]])*24)</f>
        <v>0</v>
      </c>
      <c r="AB1121" s="27">
        <f>(TA[[#This Row],[Work Start time on Fault]]-TA[[#This Row],[Fault Time]])*24</f>
        <v>0</v>
      </c>
      <c r="AC1121" s="26">
        <f>(TA[[#This Row],[Work Completion time on fault]]-TA[[#This Row],[Fault Time]])*24</f>
        <v>0</v>
      </c>
      <c r="AD1121" s="27">
        <f>IFERROR((TA[[#This Row],[Work Completion time on fault]]-TA[[#This Row],[Fault Time]])*24,"")</f>
        <v>0</v>
      </c>
      <c r="AE1121" s="209" t="s">
        <v>498</v>
      </c>
      <c r="AF1121" t="s">
        <v>240</v>
      </c>
      <c r="AG1121" s="2"/>
      <c r="AH1121" s="35">
        <f>1-COS(RADIANS(TA[[#This Row],[Avg. Target Angle during Fault Time (Radians)]]-TA[[#This Row],[Angle of affected equipment ]]))</f>
        <v>0.11705240714107301</v>
      </c>
      <c r="AI1121" s="27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43">
        <f t="shared" si="118"/>
        <v>2026</v>
      </c>
      <c r="C1122" s="116">
        <f t="shared" si="119"/>
        <v>2025</v>
      </c>
      <c r="D1122" s="2" t="s">
        <v>155</v>
      </c>
      <c r="E1122" s="2" t="s">
        <v>155</v>
      </c>
      <c r="F1122" s="30">
        <v>45809</v>
      </c>
      <c r="G1122" s="2">
        <f>DAY(EOMONTH(TA[[#This Row],[Month Year]],0))</f>
        <v>30</v>
      </c>
      <c r="H1122" s="21">
        <v>45823</v>
      </c>
      <c r="I1122" s="32">
        <f>IFERROR(VLOOKUP(TA[[#This Row],[Date]],Raw_Data[[Date]:[Sunset Time (POA&lt;20 W/m2)]],3,0),"")</f>
        <v>0.25</v>
      </c>
      <c r="J1122" s="32">
        <f>IFERROR(VLOOKUP(TA[[#This Row],[Date]],Raw_Data[[Date]:[Sunset Time (POA&lt;20 W/m2)]],4,0),"")</f>
        <v>0.76249999999999996</v>
      </c>
      <c r="K1122" s="27">
        <f>IFERROR((TA[[#This Row],[Sunset Time (POA&lt;20 W/m2)]]-TA[[#This Row],[Sunrise Time (POA&gt;20 W/m2)]])*24,"")</f>
        <v>12.299999999999999</v>
      </c>
      <c r="L1122" s="2" t="s">
        <v>285</v>
      </c>
      <c r="M1122" s="33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14" t="s">
        <v>309</v>
      </c>
      <c r="Q1122" s="113" t="s">
        <v>309</v>
      </c>
      <c r="R1122">
        <v>131</v>
      </c>
      <c r="S1122" s="2">
        <v>38</v>
      </c>
      <c r="T1122" t="s">
        <v>286</v>
      </c>
      <c r="U1122" t="s">
        <v>291</v>
      </c>
      <c r="V1122" t="s">
        <v>289</v>
      </c>
      <c r="W1122" s="32"/>
      <c r="X1122" s="32"/>
      <c r="Y1122" s="26"/>
      <c r="Z1122" s="26"/>
      <c r="AA1122" s="27">
        <f>IF(TA[[#This Row],[Work Start time on Fault]]="NA","",(TA[[#This Row],[Fault Acknowledgement Time ]]-TA[[#This Row],[Fault Time]])*24)</f>
        <v>0</v>
      </c>
      <c r="AB1122" s="27">
        <f>(TA[[#This Row],[Work Start time on Fault]]-TA[[#This Row],[Fault Time]])*24</f>
        <v>0</v>
      </c>
      <c r="AC1122" s="26">
        <f>(TA[[#This Row],[Work Completion time on fault]]-TA[[#This Row],[Fault Time]])*24</f>
        <v>0</v>
      </c>
      <c r="AD1122" s="27">
        <f>IFERROR((TA[[#This Row],[Work Completion time on fault]]-TA[[#This Row],[Fault Time]])*24,"")</f>
        <v>0</v>
      </c>
      <c r="AE1122" t="s">
        <v>319</v>
      </c>
      <c r="AF1122" t="s">
        <v>247</v>
      </c>
      <c r="AG1122" s="2"/>
      <c r="AH1122" s="35">
        <f>1-COS(RADIANS(TA[[#This Row],[Avg. Target Angle during Fault Time (Radians)]]-TA[[#This Row],[Angle of affected equipment ]]))</f>
        <v>0.11705240714107301</v>
      </c>
      <c r="AI1122" s="27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43">
        <f t="shared" si="118"/>
        <v>2026</v>
      </c>
      <c r="C1123" s="116">
        <f t="shared" si="119"/>
        <v>2025</v>
      </c>
      <c r="D1123" s="2" t="s">
        <v>155</v>
      </c>
      <c r="E1123" s="2" t="s">
        <v>155</v>
      </c>
      <c r="F1123" s="30">
        <v>45809</v>
      </c>
      <c r="G1123" s="2">
        <f>DAY(EOMONTH(TA[[#This Row],[Month Year]],0))</f>
        <v>30</v>
      </c>
      <c r="H1123" s="21">
        <v>45823</v>
      </c>
      <c r="I1123" s="32">
        <f>IFERROR(VLOOKUP(TA[[#This Row],[Date]],Raw_Data[[Date]:[Sunset Time (POA&lt;20 W/m2)]],3,0),"")</f>
        <v>0.25</v>
      </c>
      <c r="J1123" s="32">
        <f>IFERROR(VLOOKUP(TA[[#This Row],[Date]],Raw_Data[[Date]:[Sunset Time (POA&lt;20 W/m2)]],4,0),"")</f>
        <v>0.76249999999999996</v>
      </c>
      <c r="K1123" s="27">
        <f>IFERROR((TA[[#This Row],[Sunset Time (POA&lt;20 W/m2)]]-TA[[#This Row],[Sunrise Time (POA&gt;20 W/m2)]])*24,"")</f>
        <v>12.299999999999999</v>
      </c>
      <c r="L1123" s="2" t="s">
        <v>285</v>
      </c>
      <c r="M1123" s="33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14" t="s">
        <v>309</v>
      </c>
      <c r="Q1123" s="113" t="s">
        <v>309</v>
      </c>
      <c r="R1123">
        <v>131</v>
      </c>
      <c r="S1123" s="2">
        <v>39</v>
      </c>
      <c r="T1123" t="s">
        <v>286</v>
      </c>
      <c r="U1123" t="s">
        <v>291</v>
      </c>
      <c r="V1123" t="s">
        <v>289</v>
      </c>
      <c r="W1123" s="32"/>
      <c r="X1123" s="32"/>
      <c r="Y1123" s="26"/>
      <c r="Z1123" s="26"/>
      <c r="AA1123" s="27">
        <f>IF(TA[[#This Row],[Work Start time on Fault]]="NA","",(TA[[#This Row],[Fault Acknowledgement Time ]]-TA[[#This Row],[Fault Time]])*24)</f>
        <v>0</v>
      </c>
      <c r="AB1123" s="27">
        <f>(TA[[#This Row],[Work Start time on Fault]]-TA[[#This Row],[Fault Time]])*24</f>
        <v>0</v>
      </c>
      <c r="AC1123" s="26">
        <f>(TA[[#This Row],[Work Completion time on fault]]-TA[[#This Row],[Fault Time]])*24</f>
        <v>0</v>
      </c>
      <c r="AD1123" s="27">
        <f>IFERROR((TA[[#This Row],[Work Completion time on fault]]-TA[[#This Row],[Fault Time]])*24,"")</f>
        <v>0</v>
      </c>
      <c r="AE1123" t="s">
        <v>319</v>
      </c>
      <c r="AF1123" t="s">
        <v>247</v>
      </c>
      <c r="AG1123" s="2"/>
      <c r="AH1123" s="35">
        <f>1-COS(RADIANS(TA[[#This Row],[Avg. Target Angle during Fault Time (Radians)]]-TA[[#This Row],[Angle of affected equipment ]]))</f>
        <v>0.11705240714107301</v>
      </c>
      <c r="AI1123" s="27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43">
        <f t="shared" si="118"/>
        <v>2026</v>
      </c>
      <c r="C1124" s="116">
        <f t="shared" si="119"/>
        <v>2025</v>
      </c>
      <c r="D1124" s="2" t="s">
        <v>155</v>
      </c>
      <c r="E1124" s="2" t="s">
        <v>155</v>
      </c>
      <c r="F1124" s="30">
        <v>45809</v>
      </c>
      <c r="G1124" s="2">
        <f>DAY(EOMONTH(TA[[#This Row],[Month Year]],0))</f>
        <v>30</v>
      </c>
      <c r="H1124" s="21">
        <v>45823</v>
      </c>
      <c r="I1124" s="32">
        <f>IFERROR(VLOOKUP(TA[[#This Row],[Date]],Raw_Data[[Date]:[Sunset Time (POA&lt;20 W/m2)]],3,0),"")</f>
        <v>0.25</v>
      </c>
      <c r="J1124" s="32">
        <f>IFERROR(VLOOKUP(TA[[#This Row],[Date]],Raw_Data[[Date]:[Sunset Time (POA&lt;20 W/m2)]],4,0),"")</f>
        <v>0.76249999999999996</v>
      </c>
      <c r="K1124" s="27">
        <f>IFERROR((TA[[#This Row],[Sunset Time (POA&lt;20 W/m2)]]-TA[[#This Row],[Sunrise Time (POA&gt;20 W/m2)]])*24,"")</f>
        <v>12.299999999999999</v>
      </c>
      <c r="L1124" s="2" t="s">
        <v>287</v>
      </c>
      <c r="M1124" s="33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14" t="s">
        <v>309</v>
      </c>
      <c r="Q1124" s="2" t="s">
        <v>312</v>
      </c>
      <c r="R1124">
        <v>133</v>
      </c>
      <c r="S1124" s="2">
        <v>26</v>
      </c>
      <c r="T1124" t="s">
        <v>288</v>
      </c>
      <c r="U1124" t="s">
        <v>291</v>
      </c>
      <c r="V1124" t="s">
        <v>305</v>
      </c>
      <c r="W1124" s="32">
        <f>IFERROR(VLOOKUP(TA[[#This Row],[Date]],Raw_Data[[Date]:[Sunset Time (POA&lt;20 W/m2)]],3,0),"")</f>
        <v>0.25</v>
      </c>
      <c r="X1124" s="32">
        <f>IFERROR(VLOOKUP(TA[[#This Row],[Date]],Raw_Data[[Date]:[Sunset Time (POA&lt;20 W/m2)]],3,0),"")</f>
        <v>0.25</v>
      </c>
      <c r="Y1124" s="26"/>
      <c r="Z1124" s="26">
        <v>0.76041666666666663</v>
      </c>
      <c r="AA1124" s="27">
        <f>IF(TA[[#This Row],[Work Start time on Fault]]="NA","",(TA[[#This Row],[Fault Acknowledgement Time ]]-TA[[#This Row],[Fault Time]])*24)</f>
        <v>0</v>
      </c>
      <c r="AB1124" s="27">
        <f>(TA[[#This Row],[Work Start time on Fault]]-TA[[#This Row],[Fault Time]])*24</f>
        <v>-6</v>
      </c>
      <c r="AC1124" s="26">
        <f>(TA[[#This Row],[Work Completion time on fault]]-TA[[#This Row],[Fault Time]])*24</f>
        <v>12.25</v>
      </c>
      <c r="AD1124" s="27">
        <f>IFERROR((TA[[#This Row],[Work Completion time on fault]]-TA[[#This Row],[Fault Time]])*24,"")</f>
        <v>12.25</v>
      </c>
      <c r="AE1124" t="s">
        <v>319</v>
      </c>
      <c r="AF1124" t="s">
        <v>247</v>
      </c>
      <c r="AG1124" s="2"/>
      <c r="AH1124" s="35">
        <f>1-COS(RADIANS(TA[[#This Row],[Avg. Target Angle during Fault Time (Radians)]]-TA[[#This Row],[Angle of affected equipment ]]))</f>
        <v>0.11705240714107301</v>
      </c>
      <c r="AI1124" s="27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43">
        <f t="shared" si="118"/>
        <v>2026</v>
      </c>
      <c r="C1125" s="116">
        <f t="shared" si="119"/>
        <v>2025</v>
      </c>
      <c r="D1125" s="2" t="s">
        <v>155</v>
      </c>
      <c r="E1125" s="2" t="s">
        <v>155</v>
      </c>
      <c r="F1125" s="30">
        <v>45809</v>
      </c>
      <c r="G1125" s="2">
        <f>DAY(EOMONTH(TA[[#This Row],[Month Year]],0))</f>
        <v>30</v>
      </c>
      <c r="H1125" s="21">
        <v>45823</v>
      </c>
      <c r="I1125" s="32">
        <f>IFERROR(VLOOKUP(TA[[#This Row],[Date]],Raw_Data[[Date]:[Sunset Time (POA&lt;20 W/m2)]],3,0),"")</f>
        <v>0.25</v>
      </c>
      <c r="J1125" s="32">
        <f>IFERROR(VLOOKUP(TA[[#This Row],[Date]],Raw_Data[[Date]:[Sunset Time (POA&lt;20 W/m2)]],4,0),"")</f>
        <v>0.76249999999999996</v>
      </c>
      <c r="K1125" s="27">
        <f>IFERROR((TA[[#This Row],[Sunset Time (POA&lt;20 W/m2)]]-TA[[#This Row],[Sunrise Time (POA&gt;20 W/m2)]])*24,"")</f>
        <v>12.299999999999999</v>
      </c>
      <c r="L1125" s="2" t="s">
        <v>285</v>
      </c>
      <c r="M1125" s="33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14" t="s">
        <v>307</v>
      </c>
      <c r="Q1125" s="113" t="s">
        <v>308</v>
      </c>
      <c r="R1125">
        <v>7</v>
      </c>
      <c r="S1125" s="2">
        <v>32</v>
      </c>
      <c r="T1125" t="s">
        <v>286</v>
      </c>
      <c r="U1125" t="s">
        <v>291</v>
      </c>
      <c r="V1125" t="s">
        <v>289</v>
      </c>
      <c r="W1125" s="32"/>
      <c r="X1125" s="32"/>
      <c r="Y1125" s="26"/>
      <c r="Z1125" s="26"/>
      <c r="AA1125" s="27">
        <f>IF(TA[[#This Row],[Work Start time on Fault]]="NA","",(TA[[#This Row],[Fault Acknowledgement Time ]]-TA[[#This Row],[Fault Time]])*24)</f>
        <v>0</v>
      </c>
      <c r="AB1125" s="27">
        <f>(TA[[#This Row],[Work Start time on Fault]]-TA[[#This Row],[Fault Time]])*24</f>
        <v>0</v>
      </c>
      <c r="AC1125" s="26">
        <f>(TA[[#This Row],[Work Completion time on fault]]-TA[[#This Row],[Fault Time]])*24</f>
        <v>0</v>
      </c>
      <c r="AD1125" s="27">
        <f>IFERROR((TA[[#This Row],[Work Completion time on fault]]-TA[[#This Row],[Fault Time]])*24,"")</f>
        <v>0</v>
      </c>
      <c r="AE1125" t="s">
        <v>319</v>
      </c>
      <c r="AF1125" t="s">
        <v>247</v>
      </c>
      <c r="AG1125" s="2"/>
      <c r="AH1125" s="35">
        <f>1-COS(RADIANS(TA[[#This Row],[Avg. Target Angle during Fault Time (Radians)]]-TA[[#This Row],[Angle of affected equipment ]]))</f>
        <v>0.11705240714107301</v>
      </c>
      <c r="AI1125" s="27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43">
        <f t="shared" si="118"/>
        <v>2026</v>
      </c>
      <c r="C1126" s="116">
        <f t="shared" si="119"/>
        <v>2025</v>
      </c>
      <c r="D1126" s="2" t="s">
        <v>155</v>
      </c>
      <c r="E1126" s="2" t="s">
        <v>155</v>
      </c>
      <c r="F1126" s="30">
        <v>45809</v>
      </c>
      <c r="G1126" s="2">
        <f>DAY(EOMONTH(TA[[#This Row],[Month Year]],0))</f>
        <v>30</v>
      </c>
      <c r="H1126" s="21">
        <v>45823</v>
      </c>
      <c r="I1126" s="32">
        <f>IFERROR(VLOOKUP(TA[[#This Row],[Date]],Raw_Data[[Date]:[Sunset Time (POA&lt;20 W/m2)]],3,0),"")</f>
        <v>0.25</v>
      </c>
      <c r="J1126" s="32">
        <f>IFERROR(VLOOKUP(TA[[#This Row],[Date]],Raw_Data[[Date]:[Sunset Time (POA&lt;20 W/m2)]],4,0),"")</f>
        <v>0.76249999999999996</v>
      </c>
      <c r="K1126" s="27">
        <f>IFERROR((TA[[#This Row],[Sunset Time (POA&lt;20 W/m2)]]-TA[[#This Row],[Sunrise Time (POA&gt;20 W/m2)]])*24,"")</f>
        <v>12.299999999999999</v>
      </c>
      <c r="L1126" s="2" t="s">
        <v>285</v>
      </c>
      <c r="M1126" s="33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14" t="s">
        <v>306</v>
      </c>
      <c r="Q1126" s="113" t="s">
        <v>310</v>
      </c>
      <c r="R1126">
        <v>166</v>
      </c>
      <c r="S1126" s="2">
        <v>91</v>
      </c>
      <c r="T1126" t="s">
        <v>286</v>
      </c>
      <c r="U1126" t="s">
        <v>291</v>
      </c>
      <c r="V1126" t="s">
        <v>289</v>
      </c>
      <c r="W1126" s="32"/>
      <c r="X1126" s="32"/>
      <c r="Y1126" s="26"/>
      <c r="Z1126" s="26"/>
      <c r="AA1126" s="27">
        <f>IF(TA[[#This Row],[Work Start time on Fault]]="NA","",(TA[[#This Row],[Fault Acknowledgement Time ]]-TA[[#This Row],[Fault Time]])*24)</f>
        <v>0</v>
      </c>
      <c r="AB1126" s="27">
        <f>(TA[[#This Row],[Work Start time on Fault]]-TA[[#This Row],[Fault Time]])*24</f>
        <v>0</v>
      </c>
      <c r="AC1126" s="26">
        <f>(TA[[#This Row],[Work Completion time on fault]]-TA[[#This Row],[Fault Time]])*24</f>
        <v>0</v>
      </c>
      <c r="AD1126" s="27">
        <f>IFERROR((TA[[#This Row],[Work Completion time on fault]]-TA[[#This Row],[Fault Time]])*24,"")</f>
        <v>0</v>
      </c>
      <c r="AE1126" t="s">
        <v>319</v>
      </c>
      <c r="AF1126" t="s">
        <v>247</v>
      </c>
      <c r="AG1126" s="2"/>
      <c r="AH1126" s="35">
        <f>1-COS(RADIANS(TA[[#This Row],[Avg. Target Angle during Fault Time (Radians)]]-TA[[#This Row],[Angle of affected equipment ]]))</f>
        <v>0.11705240714107301</v>
      </c>
      <c r="AI1126" s="27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43">
        <f t="shared" si="118"/>
        <v>2026</v>
      </c>
      <c r="C1127" s="116">
        <f t="shared" si="119"/>
        <v>2025</v>
      </c>
      <c r="D1127" s="2" t="s">
        <v>155</v>
      </c>
      <c r="E1127" s="2" t="s">
        <v>155</v>
      </c>
      <c r="F1127" s="30">
        <v>45809</v>
      </c>
      <c r="G1127" s="2">
        <f>DAY(EOMONTH(TA[[#This Row],[Month Year]],0))</f>
        <v>30</v>
      </c>
      <c r="H1127" s="21">
        <v>45823</v>
      </c>
      <c r="I1127" s="32">
        <f>IFERROR(VLOOKUP(TA[[#This Row],[Date]],Raw_Data[[Date]:[Sunset Time (POA&lt;20 W/m2)]],3,0),"")</f>
        <v>0.25</v>
      </c>
      <c r="J1127" s="32">
        <f>IFERROR(VLOOKUP(TA[[#This Row],[Date]],Raw_Data[[Date]:[Sunset Time (POA&lt;20 W/m2)]],4,0),"")</f>
        <v>0.76249999999999996</v>
      </c>
      <c r="K1127" s="27">
        <f>IFERROR((TA[[#This Row],[Sunset Time (POA&lt;20 W/m2)]]-TA[[#This Row],[Sunrise Time (POA&gt;20 W/m2)]])*24,"")</f>
        <v>12.299999999999999</v>
      </c>
      <c r="L1127" s="2" t="s">
        <v>285</v>
      </c>
      <c r="M1127" s="33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14" t="s">
        <v>307</v>
      </c>
      <c r="Q1127" s="113" t="s">
        <v>307</v>
      </c>
      <c r="R1127">
        <v>117</v>
      </c>
      <c r="S1127" s="2">
        <v>20</v>
      </c>
      <c r="T1127" t="s">
        <v>286</v>
      </c>
      <c r="U1127" t="s">
        <v>291</v>
      </c>
      <c r="V1127" t="s">
        <v>289</v>
      </c>
      <c r="W1127" s="32"/>
      <c r="X1127" s="32"/>
      <c r="Y1127" s="26"/>
      <c r="Z1127" s="26"/>
      <c r="AA1127" s="27">
        <f>IF(TA[[#This Row],[Work Start time on Fault]]="NA","",(TA[[#This Row],[Fault Acknowledgement Time ]]-TA[[#This Row],[Fault Time]])*24)</f>
        <v>0</v>
      </c>
      <c r="AB1127" s="27">
        <f>(TA[[#This Row],[Work Start time on Fault]]-TA[[#This Row],[Fault Time]])*24</f>
        <v>0</v>
      </c>
      <c r="AC1127" s="26">
        <f>(TA[[#This Row],[Work Completion time on fault]]-TA[[#This Row],[Fault Time]])*24</f>
        <v>0</v>
      </c>
      <c r="AD1127" s="27">
        <f>IFERROR((TA[[#This Row],[Work Completion time on fault]]-TA[[#This Row],[Fault Time]])*24,"")</f>
        <v>0</v>
      </c>
      <c r="AE1127" t="s">
        <v>319</v>
      </c>
      <c r="AF1127" t="s">
        <v>247</v>
      </c>
      <c r="AG1127" s="2"/>
      <c r="AH1127" s="35">
        <f>1-COS(RADIANS(TA[[#This Row],[Avg. Target Angle during Fault Time (Radians)]]-TA[[#This Row],[Angle of affected equipment ]]))</f>
        <v>0.11705240714107301</v>
      </c>
      <c r="AI1127" s="27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43">
        <f t="shared" si="118"/>
        <v>2026</v>
      </c>
      <c r="C1128" s="116">
        <f t="shared" si="119"/>
        <v>2025</v>
      </c>
      <c r="D1128" s="2" t="s">
        <v>155</v>
      </c>
      <c r="E1128" s="2" t="s">
        <v>155</v>
      </c>
      <c r="F1128" s="30">
        <v>45809</v>
      </c>
      <c r="G1128" s="2">
        <f>DAY(EOMONTH(TA[[#This Row],[Month Year]],0))</f>
        <v>30</v>
      </c>
      <c r="H1128" s="21">
        <v>45823</v>
      </c>
      <c r="I1128" s="32">
        <f>IFERROR(VLOOKUP(TA[[#This Row],[Date]],Raw_Data[[Date]:[Sunset Time (POA&lt;20 W/m2)]],3,0),"")</f>
        <v>0.25</v>
      </c>
      <c r="J1128" s="32">
        <f>IFERROR(VLOOKUP(TA[[#This Row],[Date]],Raw_Data[[Date]:[Sunset Time (POA&lt;20 W/m2)]],4,0),"")</f>
        <v>0.76249999999999996</v>
      </c>
      <c r="K1128" s="27">
        <f>IFERROR((TA[[#This Row],[Sunset Time (POA&lt;20 W/m2)]]-TA[[#This Row],[Sunrise Time (POA&gt;20 W/m2)]])*24,"")</f>
        <v>12.299999999999999</v>
      </c>
      <c r="L1128" s="2" t="s">
        <v>285</v>
      </c>
      <c r="M1128" s="33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14" t="s">
        <v>307</v>
      </c>
      <c r="Q1128" s="113" t="s">
        <v>307</v>
      </c>
      <c r="R1128">
        <v>118</v>
      </c>
      <c r="S1128" s="2">
        <v>22</v>
      </c>
      <c r="T1128" t="s">
        <v>286</v>
      </c>
      <c r="U1128" t="s">
        <v>291</v>
      </c>
      <c r="V1128" t="s">
        <v>289</v>
      </c>
      <c r="W1128" s="32"/>
      <c r="X1128" s="32"/>
      <c r="Y1128" s="26"/>
      <c r="Z1128" s="26"/>
      <c r="AA1128" s="27">
        <f>IF(TA[[#This Row],[Work Start time on Fault]]="NA","",(TA[[#This Row],[Fault Acknowledgement Time ]]-TA[[#This Row],[Fault Time]])*24)</f>
        <v>0</v>
      </c>
      <c r="AB1128" s="27">
        <f>(TA[[#This Row],[Work Start time on Fault]]-TA[[#This Row],[Fault Time]])*24</f>
        <v>0</v>
      </c>
      <c r="AC1128" s="26">
        <f>(TA[[#This Row],[Work Completion time on fault]]-TA[[#This Row],[Fault Time]])*24</f>
        <v>0</v>
      </c>
      <c r="AD1128" s="27">
        <f>IFERROR((TA[[#This Row],[Work Completion time on fault]]-TA[[#This Row],[Fault Time]])*24,"")</f>
        <v>0</v>
      </c>
      <c r="AE1128" t="s">
        <v>319</v>
      </c>
      <c r="AF1128" t="s">
        <v>247</v>
      </c>
      <c r="AG1128" s="2"/>
      <c r="AH1128" s="35">
        <f>1-COS(RADIANS(TA[[#This Row],[Avg. Target Angle during Fault Time (Radians)]]-TA[[#This Row],[Angle of affected equipment ]]))</f>
        <v>0.11705240714107301</v>
      </c>
      <c r="AI1128" s="27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43">
        <f t="shared" si="118"/>
        <v>2026</v>
      </c>
      <c r="C1129" s="116">
        <f t="shared" si="119"/>
        <v>2025</v>
      </c>
      <c r="D1129" s="2" t="s">
        <v>155</v>
      </c>
      <c r="E1129" s="2" t="s">
        <v>155</v>
      </c>
      <c r="F1129" s="30">
        <v>45809</v>
      </c>
      <c r="G1129" s="2">
        <f>DAY(EOMONTH(TA[[#This Row],[Month Year]],0))</f>
        <v>30</v>
      </c>
      <c r="H1129" s="21">
        <v>45823</v>
      </c>
      <c r="I1129" s="32">
        <f>IFERROR(VLOOKUP(TA[[#This Row],[Date]],Raw_Data[[Date]:[Sunset Time (POA&lt;20 W/m2)]],3,0),"")</f>
        <v>0.25</v>
      </c>
      <c r="J1129" s="32">
        <f>IFERROR(VLOOKUP(TA[[#This Row],[Date]],Raw_Data[[Date]:[Sunset Time (POA&lt;20 W/m2)]],4,0),"")</f>
        <v>0.76249999999999996</v>
      </c>
      <c r="K1129" s="27">
        <f>IFERROR((TA[[#This Row],[Sunset Time (POA&lt;20 W/m2)]]-TA[[#This Row],[Sunrise Time (POA&gt;20 W/m2)]])*24,"")</f>
        <v>12.299999999999999</v>
      </c>
      <c r="L1129" s="2" t="s">
        <v>287</v>
      </c>
      <c r="M1129" s="33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314</v>
      </c>
      <c r="Q1129" s="2" t="s">
        <v>320</v>
      </c>
      <c r="R1129">
        <v>45</v>
      </c>
      <c r="S1129" s="2">
        <v>8</v>
      </c>
      <c r="T1129" t="s">
        <v>288</v>
      </c>
      <c r="U1129" t="s">
        <v>291</v>
      </c>
      <c r="V1129" t="s">
        <v>292</v>
      </c>
      <c r="W1129" s="32"/>
      <c r="X1129" s="32"/>
      <c r="Y1129" s="26"/>
      <c r="Z1129" s="26"/>
      <c r="AA1129" s="27">
        <f>IF(TA[[#This Row],[Work Start time on Fault]]="NA","",(TA[[#This Row],[Fault Acknowledgement Time ]]-TA[[#This Row],[Fault Time]])*24)</f>
        <v>0</v>
      </c>
      <c r="AB1129" s="27">
        <f>(TA[[#This Row],[Work Start time on Fault]]-TA[[#This Row],[Fault Time]])*24</f>
        <v>0</v>
      </c>
      <c r="AC1129" s="26">
        <f>(TA[[#This Row],[Work Completion time on fault]]-TA[[#This Row],[Fault Time]])*24</f>
        <v>0</v>
      </c>
      <c r="AD1129" s="27">
        <f>IFERROR((TA[[#This Row],[Work Completion time on fault]]-TA[[#This Row],[Fault Time]])*24,"")</f>
        <v>0</v>
      </c>
      <c r="AE1129" t="s">
        <v>319</v>
      </c>
      <c r="AF1129" t="s">
        <v>247</v>
      </c>
      <c r="AG1129" s="2"/>
      <c r="AH1129" s="35">
        <f>1-COS(RADIANS(TA[[#This Row],[Avg. Target Angle during Fault Time (Radians)]]-TA[[#This Row],[Angle of affected equipment ]]))</f>
        <v>0.11705240714107301</v>
      </c>
      <c r="AI1129" s="27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43">
        <f t="shared" si="118"/>
        <v>2026</v>
      </c>
      <c r="C1130" s="116">
        <f t="shared" si="119"/>
        <v>2025</v>
      </c>
      <c r="D1130" s="2" t="s">
        <v>155</v>
      </c>
      <c r="E1130" s="2" t="s">
        <v>155</v>
      </c>
      <c r="F1130" s="30">
        <v>45809</v>
      </c>
      <c r="G1130" s="2">
        <f>DAY(EOMONTH(TA[[#This Row],[Month Year]],0))</f>
        <v>30</v>
      </c>
      <c r="H1130" s="21">
        <v>45823</v>
      </c>
      <c r="I1130" s="32">
        <f>IFERROR(VLOOKUP(TA[[#This Row],[Date]],Raw_Data[[Date]:[Sunset Time (POA&lt;20 W/m2)]],3,0),"")</f>
        <v>0.25</v>
      </c>
      <c r="J1130" s="32">
        <f>IFERROR(VLOOKUP(TA[[#This Row],[Date]],Raw_Data[[Date]:[Sunset Time (POA&lt;20 W/m2)]],4,0),"")</f>
        <v>0.76249999999999996</v>
      </c>
      <c r="K1130" s="27">
        <f>IFERROR((TA[[#This Row],[Sunset Time (POA&lt;20 W/m2)]]-TA[[#This Row],[Sunrise Time (POA&gt;20 W/m2)]])*24,"")</f>
        <v>12.299999999999999</v>
      </c>
      <c r="L1130" s="2" t="s">
        <v>287</v>
      </c>
      <c r="M1130" s="33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314</v>
      </c>
      <c r="Q1130" s="2" t="s">
        <v>320</v>
      </c>
      <c r="R1130">
        <v>47</v>
      </c>
      <c r="S1130" s="2">
        <v>18</v>
      </c>
      <c r="T1130" t="s">
        <v>288</v>
      </c>
      <c r="U1130" t="s">
        <v>291</v>
      </c>
      <c r="V1130" t="s">
        <v>292</v>
      </c>
      <c r="W1130" s="32"/>
      <c r="X1130" s="32"/>
      <c r="Y1130" s="26"/>
      <c r="Z1130" s="26"/>
      <c r="AA1130" s="27">
        <f>IF(TA[[#This Row],[Work Start time on Fault]]="NA","",(TA[[#This Row],[Fault Acknowledgement Time ]]-TA[[#This Row],[Fault Time]])*24)</f>
        <v>0</v>
      </c>
      <c r="AB1130" s="27">
        <f>(TA[[#This Row],[Work Start time on Fault]]-TA[[#This Row],[Fault Time]])*24</f>
        <v>0</v>
      </c>
      <c r="AC1130" s="26">
        <f>(TA[[#This Row],[Work Completion time on fault]]-TA[[#This Row],[Fault Time]])*24</f>
        <v>0</v>
      </c>
      <c r="AD1130" s="27">
        <f>IFERROR((TA[[#This Row],[Work Completion time on fault]]-TA[[#This Row],[Fault Time]])*24,"")</f>
        <v>0</v>
      </c>
      <c r="AE1130" t="s">
        <v>319</v>
      </c>
      <c r="AF1130" t="s">
        <v>247</v>
      </c>
      <c r="AG1130" s="2"/>
      <c r="AH1130" s="35">
        <f>1-COS(RADIANS(TA[[#This Row],[Avg. Target Angle during Fault Time (Radians)]]-TA[[#This Row],[Angle of affected equipment ]]))</f>
        <v>0.11705240714107301</v>
      </c>
      <c r="AI1130" s="27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43">
        <f t="shared" si="118"/>
        <v>2026</v>
      </c>
      <c r="C1131" s="116">
        <f t="shared" si="119"/>
        <v>2025</v>
      </c>
      <c r="D1131" s="2" t="s">
        <v>155</v>
      </c>
      <c r="E1131" s="2" t="s">
        <v>155</v>
      </c>
      <c r="F1131" s="30">
        <v>45809</v>
      </c>
      <c r="G1131" s="2">
        <f>DAY(EOMONTH(TA[[#This Row],[Month Year]],0))</f>
        <v>30</v>
      </c>
      <c r="H1131" s="21">
        <v>45823</v>
      </c>
      <c r="I1131" s="32">
        <f>IFERROR(VLOOKUP(TA[[#This Row],[Date]],Raw_Data[[Date]:[Sunset Time (POA&lt;20 W/m2)]],3,0),"")</f>
        <v>0.25</v>
      </c>
      <c r="J1131" s="32">
        <f>IFERROR(VLOOKUP(TA[[#This Row],[Date]],Raw_Data[[Date]:[Sunset Time (POA&lt;20 W/m2)]],4,0),"")</f>
        <v>0.76249999999999996</v>
      </c>
      <c r="K1131" s="27">
        <f>IFERROR((TA[[#This Row],[Sunset Time (POA&lt;20 W/m2)]]-TA[[#This Row],[Sunrise Time (POA&gt;20 W/m2)]])*24,"")</f>
        <v>12.299999999999999</v>
      </c>
      <c r="L1131" s="2" t="s">
        <v>287</v>
      </c>
      <c r="M1131" s="33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321</v>
      </c>
      <c r="Q1131" s="2" t="s">
        <v>314</v>
      </c>
      <c r="R1131">
        <v>30</v>
      </c>
      <c r="S1131" s="2">
        <v>57</v>
      </c>
      <c r="T1131" t="s">
        <v>288</v>
      </c>
      <c r="U1131" t="s">
        <v>291</v>
      </c>
      <c r="V1131" t="s">
        <v>292</v>
      </c>
      <c r="W1131" s="32"/>
      <c r="X1131" s="32"/>
      <c r="Y1131" s="26"/>
      <c r="Z1131" s="26"/>
      <c r="AA1131" s="27">
        <f>IF(TA[[#This Row],[Work Start time on Fault]]="NA","",(TA[[#This Row],[Fault Acknowledgement Time ]]-TA[[#This Row],[Fault Time]])*24)</f>
        <v>0</v>
      </c>
      <c r="AB1131" s="27">
        <f>(TA[[#This Row],[Work Start time on Fault]]-TA[[#This Row],[Fault Time]])*24</f>
        <v>0</v>
      </c>
      <c r="AC1131" s="26">
        <f>(TA[[#This Row],[Work Completion time on fault]]-TA[[#This Row],[Fault Time]])*24</f>
        <v>0</v>
      </c>
      <c r="AD1131" s="27">
        <f>IFERROR((TA[[#This Row],[Work Completion time on fault]]-TA[[#This Row],[Fault Time]])*24,"")</f>
        <v>0</v>
      </c>
      <c r="AE1131" t="s">
        <v>319</v>
      </c>
      <c r="AF1131" t="s">
        <v>247</v>
      </c>
      <c r="AG1131" s="2"/>
      <c r="AH1131" s="35">
        <f>1-COS(RADIANS(TA[[#This Row],[Avg. Target Angle during Fault Time (Radians)]]-TA[[#This Row],[Angle of affected equipment ]]))</f>
        <v>0.11705240714107301</v>
      </c>
      <c r="AI1131" s="27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43">
        <f t="shared" si="118"/>
        <v>2026</v>
      </c>
      <c r="C1132" s="116">
        <f t="shared" si="119"/>
        <v>2025</v>
      </c>
      <c r="D1132" s="2" t="s">
        <v>155</v>
      </c>
      <c r="E1132" s="2" t="s">
        <v>155</v>
      </c>
      <c r="F1132" s="30">
        <v>45809</v>
      </c>
      <c r="G1132" s="2">
        <f>DAY(EOMONTH(TA[[#This Row],[Month Year]],0))</f>
        <v>30</v>
      </c>
      <c r="H1132" s="21">
        <v>45823</v>
      </c>
      <c r="I1132" s="32">
        <f>IFERROR(VLOOKUP(TA[[#This Row],[Date]],Raw_Data[[Date]:[Sunset Time (POA&lt;20 W/m2)]],3,0),"")</f>
        <v>0.25</v>
      </c>
      <c r="J1132" s="32">
        <f>IFERROR(VLOOKUP(TA[[#This Row],[Date]],Raw_Data[[Date]:[Sunset Time (POA&lt;20 W/m2)]],4,0),"")</f>
        <v>0.76249999999999996</v>
      </c>
      <c r="K1132" s="27">
        <f>IFERROR((TA[[#This Row],[Sunset Time (POA&lt;20 W/m2)]]-TA[[#This Row],[Sunrise Time (POA&gt;20 W/m2)]])*24,"")</f>
        <v>12.299999999999999</v>
      </c>
      <c r="L1132" s="2" t="s">
        <v>287</v>
      </c>
      <c r="M1132" s="33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321</v>
      </c>
      <c r="Q1132" s="2" t="s">
        <v>314</v>
      </c>
      <c r="R1132">
        <v>31</v>
      </c>
      <c r="S1132" s="2">
        <v>61</v>
      </c>
      <c r="T1132" t="s">
        <v>288</v>
      </c>
      <c r="U1132" t="s">
        <v>291</v>
      </c>
      <c r="V1132" t="s">
        <v>292</v>
      </c>
      <c r="W1132" s="32"/>
      <c r="X1132" s="32"/>
      <c r="Y1132" s="26"/>
      <c r="Z1132" s="26"/>
      <c r="AA1132" s="27">
        <f>IF(TA[[#This Row],[Work Start time on Fault]]="NA","",(TA[[#This Row],[Fault Acknowledgement Time ]]-TA[[#This Row],[Fault Time]])*24)</f>
        <v>0</v>
      </c>
      <c r="AB1132" s="27">
        <f>(TA[[#This Row],[Work Start time on Fault]]-TA[[#This Row],[Fault Time]])*24</f>
        <v>0</v>
      </c>
      <c r="AC1132" s="26">
        <f>(TA[[#This Row],[Work Completion time on fault]]-TA[[#This Row],[Fault Time]])*24</f>
        <v>0</v>
      </c>
      <c r="AD1132" s="27">
        <f>IFERROR((TA[[#This Row],[Work Completion time on fault]]-TA[[#This Row],[Fault Time]])*24,"")</f>
        <v>0</v>
      </c>
      <c r="AE1132" t="s">
        <v>319</v>
      </c>
      <c r="AF1132" t="s">
        <v>247</v>
      </c>
      <c r="AG1132" s="2"/>
      <c r="AH1132" s="35">
        <f>1-COS(RADIANS(TA[[#This Row],[Avg. Target Angle during Fault Time (Radians)]]-TA[[#This Row],[Angle of affected equipment ]]))</f>
        <v>0.11705240714107301</v>
      </c>
      <c r="AI1132" s="27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43">
        <f t="shared" si="118"/>
        <v>2026</v>
      </c>
      <c r="C1133" s="116">
        <f t="shared" si="119"/>
        <v>2025</v>
      </c>
      <c r="D1133" s="2" t="s">
        <v>155</v>
      </c>
      <c r="E1133" s="2" t="s">
        <v>155</v>
      </c>
      <c r="F1133" s="30">
        <v>45809</v>
      </c>
      <c r="G1133" s="2">
        <f>DAY(EOMONTH(TA[[#This Row],[Month Year]],0))</f>
        <v>30</v>
      </c>
      <c r="H1133" s="21">
        <v>45823</v>
      </c>
      <c r="I1133" s="32">
        <f>IFERROR(VLOOKUP(TA[[#This Row],[Date]],Raw_Data[[Date]:[Sunset Time (POA&lt;20 W/m2)]],3,0),"")</f>
        <v>0.25</v>
      </c>
      <c r="J1133" s="32">
        <f>IFERROR(VLOOKUP(TA[[#This Row],[Date]],Raw_Data[[Date]:[Sunset Time (POA&lt;20 W/m2)]],4,0),"")</f>
        <v>0.76249999999999996</v>
      </c>
      <c r="K1133" s="27">
        <f>IFERROR((TA[[#This Row],[Sunset Time (POA&lt;20 W/m2)]]-TA[[#This Row],[Sunrise Time (POA&gt;20 W/m2)]])*24,"")</f>
        <v>12.299999999999999</v>
      </c>
      <c r="L1133" s="2" t="s">
        <v>303</v>
      </c>
      <c r="M1133" s="33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321</v>
      </c>
      <c r="Q1133" s="2" t="s">
        <v>314</v>
      </c>
      <c r="R1133">
        <v>26</v>
      </c>
      <c r="S1133" s="2">
        <v>37</v>
      </c>
      <c r="T1133" t="s">
        <v>288</v>
      </c>
      <c r="U1133" t="s">
        <v>291</v>
      </c>
      <c r="V1133" t="s">
        <v>292</v>
      </c>
      <c r="W1133" s="32"/>
      <c r="X1133" s="32"/>
      <c r="Y1133" s="26"/>
      <c r="Z1133" s="26"/>
      <c r="AA1133" s="27">
        <f>IF(TA[[#This Row],[Work Start time on Fault]]="NA","",(TA[[#This Row],[Fault Acknowledgement Time ]]-TA[[#This Row],[Fault Time]])*24)</f>
        <v>0</v>
      </c>
      <c r="AB1133" s="27">
        <f>(TA[[#This Row],[Work Start time on Fault]]-TA[[#This Row],[Fault Time]])*24</f>
        <v>0</v>
      </c>
      <c r="AC1133" s="26">
        <f>(TA[[#This Row],[Work Completion time on fault]]-TA[[#This Row],[Fault Time]])*24</f>
        <v>0</v>
      </c>
      <c r="AD1133" s="27">
        <f>IFERROR((TA[[#This Row],[Work Completion time on fault]]-TA[[#This Row],[Fault Time]])*24,"")</f>
        <v>0</v>
      </c>
      <c r="AE1133" t="s">
        <v>319</v>
      </c>
      <c r="AF1133" t="s">
        <v>247</v>
      </c>
      <c r="AG1133" s="2"/>
      <c r="AH1133" s="35">
        <f>1-COS(RADIANS(TA[[#This Row],[Avg. Target Angle during Fault Time (Radians)]]-TA[[#This Row],[Angle of affected equipment ]]))</f>
        <v>0.11705240714107301</v>
      </c>
      <c r="AI1133" s="27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43">
        <f t="shared" si="118"/>
        <v>2026</v>
      </c>
      <c r="C1134" s="116">
        <f t="shared" si="119"/>
        <v>2025</v>
      </c>
      <c r="D1134" s="2" t="s">
        <v>155</v>
      </c>
      <c r="E1134" s="2" t="s">
        <v>155</v>
      </c>
      <c r="F1134" s="30">
        <v>45809</v>
      </c>
      <c r="G1134" s="2">
        <f>DAY(EOMONTH(TA[[#This Row],[Month Year]],0))</f>
        <v>30</v>
      </c>
      <c r="H1134" s="21">
        <v>45823</v>
      </c>
      <c r="I1134" s="32">
        <f>IFERROR(VLOOKUP(TA[[#This Row],[Date]],Raw_Data[[Date]:[Sunset Time (POA&lt;20 W/m2)]],3,0),"")</f>
        <v>0.25</v>
      </c>
      <c r="J1134" s="32">
        <f>IFERROR(VLOOKUP(TA[[#This Row],[Date]],Raw_Data[[Date]:[Sunset Time (POA&lt;20 W/m2)]],4,0),"")</f>
        <v>0.76249999999999996</v>
      </c>
      <c r="K1134" s="27">
        <f>IFERROR((TA[[#This Row],[Sunset Time (POA&lt;20 W/m2)]]-TA[[#This Row],[Sunrise Time (POA&gt;20 W/m2)]])*24,"")</f>
        <v>12.299999999999999</v>
      </c>
      <c r="L1134" s="2" t="s">
        <v>303</v>
      </c>
      <c r="M1134" s="33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321</v>
      </c>
      <c r="Q1134" s="2" t="s">
        <v>314</v>
      </c>
      <c r="R1134">
        <v>27</v>
      </c>
      <c r="S1134" s="2">
        <v>42</v>
      </c>
      <c r="T1134" t="s">
        <v>288</v>
      </c>
      <c r="U1134" t="s">
        <v>291</v>
      </c>
      <c r="V1134" t="s">
        <v>292</v>
      </c>
      <c r="W1134" s="32">
        <f>IFERROR(VLOOKUP(TA[[#This Row],[Date]],Raw_Data[[Date]:[Sunset Time (POA&lt;20 W/m2)]],3,0),"")</f>
        <v>0.25</v>
      </c>
      <c r="X1134" s="32">
        <f>IFERROR(VLOOKUP(TA[[#This Row],[Date]],Raw_Data[[Date]:[Sunset Time (POA&lt;20 W/m2)]],3,0),"")</f>
        <v>0.25</v>
      </c>
      <c r="Y1134" s="26"/>
      <c r="Z1134" s="26">
        <v>0.76041666666666663</v>
      </c>
      <c r="AA1134" s="27">
        <f>IF(TA[[#This Row],[Work Start time on Fault]]="NA","",(TA[[#This Row],[Fault Acknowledgement Time ]]-TA[[#This Row],[Fault Time]])*24)</f>
        <v>0</v>
      </c>
      <c r="AB1134" s="27">
        <f>(TA[[#This Row],[Work Start time on Fault]]-TA[[#This Row],[Fault Time]])*24</f>
        <v>-6</v>
      </c>
      <c r="AC1134" s="26">
        <f>(TA[[#This Row],[Work Completion time on fault]]-TA[[#This Row],[Fault Time]])*24</f>
        <v>12.25</v>
      </c>
      <c r="AD1134" s="27">
        <f>IFERROR((TA[[#This Row],[Work Completion time on fault]]-TA[[#This Row],[Fault Time]])*24,"")</f>
        <v>12.25</v>
      </c>
      <c r="AE1134" t="s">
        <v>300</v>
      </c>
      <c r="AF1134" t="s">
        <v>247</v>
      </c>
      <c r="AG1134" s="2"/>
      <c r="AH1134" s="35">
        <f>1-COS(RADIANS(TA[[#This Row],[Avg. Target Angle during Fault Time (Radians)]]-TA[[#This Row],[Angle of affected equipment ]]))</f>
        <v>0.11705240714107301</v>
      </c>
      <c r="AI1134" s="27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43">
        <f t="shared" ref="B1135:B1147" si="121">YEAR(H1135)+IF(MONTH(H1135)&gt;=4,1,0)</f>
        <v>2026</v>
      </c>
      <c r="C1135" s="116">
        <f t="shared" ref="C1135:C1147" si="122">YEAR(H1135)</f>
        <v>2025</v>
      </c>
      <c r="D1135" s="2" t="s">
        <v>155</v>
      </c>
      <c r="E1135" s="2" t="s">
        <v>155</v>
      </c>
      <c r="F1135" s="30">
        <v>45809</v>
      </c>
      <c r="G1135" s="2">
        <f>DAY(EOMONTH(TA[[#This Row],[Month Year]],0))</f>
        <v>30</v>
      </c>
      <c r="H1135" s="21">
        <v>45824</v>
      </c>
      <c r="I1135" s="32">
        <f>IFERROR(VLOOKUP(TA[[#This Row],[Date]],Raw_Data[[Date]:[Sunset Time (POA&lt;20 W/m2)]],3,0),"")</f>
        <v>0.25763888888888886</v>
      </c>
      <c r="J1135" s="32">
        <f>IFERROR(VLOOKUP(TA[[#This Row],[Date]],Raw_Data[[Date]:[Sunset Time (POA&lt;20 W/m2)]],4,0),"")</f>
        <v>0.75416666666666665</v>
      </c>
      <c r="K1135" s="27">
        <f>IFERROR((TA[[#This Row],[Sunset Time (POA&lt;20 W/m2)]]-TA[[#This Row],[Sunrise Time (POA&gt;20 W/m2)]])*24,"")</f>
        <v>11.916666666666668</v>
      </c>
      <c r="L1135" s="2" t="s">
        <v>285</v>
      </c>
      <c r="M1135" s="33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14" t="s">
        <v>309</v>
      </c>
      <c r="Q1135" s="113" t="s">
        <v>309</v>
      </c>
      <c r="R1135">
        <v>131</v>
      </c>
      <c r="S1135" s="2">
        <v>38</v>
      </c>
      <c r="T1135" t="s">
        <v>286</v>
      </c>
      <c r="U1135" t="s">
        <v>291</v>
      </c>
      <c r="V1135" t="s">
        <v>289</v>
      </c>
      <c r="W1135" s="32"/>
      <c r="X1135" s="32"/>
      <c r="Y1135" s="26"/>
      <c r="Z1135" s="26"/>
      <c r="AA1135" s="27">
        <f>IF(TA[[#This Row],[Work Start time on Fault]]="NA","",(TA[[#This Row],[Fault Acknowledgement Time ]]-TA[[#This Row],[Fault Time]])*24)</f>
        <v>0</v>
      </c>
      <c r="AB1135" s="27">
        <f>(TA[[#This Row],[Work Start time on Fault]]-TA[[#This Row],[Fault Time]])*24</f>
        <v>0</v>
      </c>
      <c r="AC1135" s="26">
        <f>(TA[[#This Row],[Work Completion time on fault]]-TA[[#This Row],[Fault Time]])*24</f>
        <v>0</v>
      </c>
      <c r="AD1135" s="27">
        <f>IFERROR((TA[[#This Row],[Work Completion time on fault]]-TA[[#This Row],[Fault Time]])*24,"")</f>
        <v>0</v>
      </c>
      <c r="AE1135" t="s">
        <v>319</v>
      </c>
      <c r="AF1135" t="s">
        <v>247</v>
      </c>
      <c r="AG1135" s="2"/>
      <c r="AH1135" s="35">
        <f>1-COS(RADIANS(TA[[#This Row],[Avg. Target Angle during Fault Time (Radians)]]-TA[[#This Row],[Angle of affected equipment ]]))</f>
        <v>0.11705240714107301</v>
      </c>
      <c r="AI1135" s="27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43">
        <f t="shared" si="121"/>
        <v>2026</v>
      </c>
      <c r="C1136" s="116">
        <f t="shared" si="122"/>
        <v>2025</v>
      </c>
      <c r="D1136" s="2" t="s">
        <v>155</v>
      </c>
      <c r="E1136" s="2" t="s">
        <v>155</v>
      </c>
      <c r="F1136" s="30">
        <v>45809</v>
      </c>
      <c r="G1136" s="2">
        <f>DAY(EOMONTH(TA[[#This Row],[Month Year]],0))</f>
        <v>30</v>
      </c>
      <c r="H1136" s="21">
        <v>45824</v>
      </c>
      <c r="I1136" s="32">
        <f>IFERROR(VLOOKUP(TA[[#This Row],[Date]],Raw_Data[[Date]:[Sunset Time (POA&lt;20 W/m2)]],3,0),"")</f>
        <v>0.25763888888888886</v>
      </c>
      <c r="J1136" s="32">
        <f>IFERROR(VLOOKUP(TA[[#This Row],[Date]],Raw_Data[[Date]:[Sunset Time (POA&lt;20 W/m2)]],4,0),"")</f>
        <v>0.75416666666666665</v>
      </c>
      <c r="K1136" s="27">
        <f>IFERROR((TA[[#This Row],[Sunset Time (POA&lt;20 W/m2)]]-TA[[#This Row],[Sunrise Time (POA&gt;20 W/m2)]])*24,"")</f>
        <v>11.916666666666668</v>
      </c>
      <c r="L1136" s="2" t="s">
        <v>285</v>
      </c>
      <c r="M1136" s="33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14" t="s">
        <v>309</v>
      </c>
      <c r="Q1136" s="113" t="s">
        <v>309</v>
      </c>
      <c r="R1136">
        <v>131</v>
      </c>
      <c r="S1136" s="2">
        <v>39</v>
      </c>
      <c r="T1136" t="s">
        <v>286</v>
      </c>
      <c r="U1136" t="s">
        <v>291</v>
      </c>
      <c r="V1136" t="s">
        <v>289</v>
      </c>
      <c r="W1136" s="32"/>
      <c r="X1136" s="32"/>
      <c r="Y1136" s="26"/>
      <c r="Z1136" s="26"/>
      <c r="AA1136" s="27">
        <f>IF(TA[[#This Row],[Work Start time on Fault]]="NA","",(TA[[#This Row],[Fault Acknowledgement Time ]]-TA[[#This Row],[Fault Time]])*24)</f>
        <v>0</v>
      </c>
      <c r="AB1136" s="27">
        <f>(TA[[#This Row],[Work Start time on Fault]]-TA[[#This Row],[Fault Time]])*24</f>
        <v>0</v>
      </c>
      <c r="AC1136" s="26">
        <f>(TA[[#This Row],[Work Completion time on fault]]-TA[[#This Row],[Fault Time]])*24</f>
        <v>0</v>
      </c>
      <c r="AD1136" s="27">
        <f>IFERROR((TA[[#This Row],[Work Completion time on fault]]-TA[[#This Row],[Fault Time]])*24,"")</f>
        <v>0</v>
      </c>
      <c r="AE1136" t="s">
        <v>319</v>
      </c>
      <c r="AF1136" t="s">
        <v>247</v>
      </c>
      <c r="AG1136" s="2"/>
      <c r="AH1136" s="35">
        <f>1-COS(RADIANS(TA[[#This Row],[Avg. Target Angle during Fault Time (Radians)]]-TA[[#This Row],[Angle of affected equipment ]]))</f>
        <v>0.11705240714107301</v>
      </c>
      <c r="AI1136" s="27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43">
        <f t="shared" si="121"/>
        <v>2026</v>
      </c>
      <c r="C1137" s="116">
        <f t="shared" si="122"/>
        <v>2025</v>
      </c>
      <c r="D1137" s="2" t="s">
        <v>155</v>
      </c>
      <c r="E1137" s="2" t="s">
        <v>155</v>
      </c>
      <c r="F1137" s="30">
        <v>45809</v>
      </c>
      <c r="G1137" s="2">
        <f>DAY(EOMONTH(TA[[#This Row],[Month Year]],0))</f>
        <v>30</v>
      </c>
      <c r="H1137" s="21">
        <v>45824</v>
      </c>
      <c r="I1137" s="32">
        <f>IFERROR(VLOOKUP(TA[[#This Row],[Date]],Raw_Data[[Date]:[Sunset Time (POA&lt;20 W/m2)]],3,0),"")</f>
        <v>0.25763888888888886</v>
      </c>
      <c r="J1137" s="32">
        <f>IFERROR(VLOOKUP(TA[[#This Row],[Date]],Raw_Data[[Date]:[Sunset Time (POA&lt;20 W/m2)]],4,0),"")</f>
        <v>0.75416666666666665</v>
      </c>
      <c r="K1137" s="27">
        <f>IFERROR((TA[[#This Row],[Sunset Time (POA&lt;20 W/m2)]]-TA[[#This Row],[Sunrise Time (POA&gt;20 W/m2)]])*24,"")</f>
        <v>11.916666666666668</v>
      </c>
      <c r="L1137" s="2" t="s">
        <v>287</v>
      </c>
      <c r="M1137" s="33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14" t="s">
        <v>309</v>
      </c>
      <c r="Q1137" s="2" t="s">
        <v>312</v>
      </c>
      <c r="R1137">
        <v>133</v>
      </c>
      <c r="S1137" s="2">
        <v>26</v>
      </c>
      <c r="T1137" t="s">
        <v>288</v>
      </c>
      <c r="U1137" t="s">
        <v>291</v>
      </c>
      <c r="V1137" t="s">
        <v>305</v>
      </c>
      <c r="W1137" s="32">
        <f>IFERROR(VLOOKUP(TA[[#This Row],[Date]],Raw_Data[[Date]:[Sunset Time (POA&lt;20 W/m2)]],3,0),"")</f>
        <v>0.25763888888888886</v>
      </c>
      <c r="X1137" s="32">
        <f>IFERROR(VLOOKUP(TA[[#This Row],[Date]],Raw_Data[[Date]:[Sunset Time (POA&lt;20 W/m2)]],3,0),"")</f>
        <v>0.25763888888888886</v>
      </c>
      <c r="Y1137" s="26"/>
      <c r="Z1137" s="26">
        <v>0.76041666666666663</v>
      </c>
      <c r="AA1137" s="27">
        <f>IF(TA[[#This Row],[Work Start time on Fault]]="NA","",(TA[[#This Row],[Fault Acknowledgement Time ]]-TA[[#This Row],[Fault Time]])*24)</f>
        <v>0</v>
      </c>
      <c r="AB1137" s="27">
        <f>(TA[[#This Row],[Work Start time on Fault]]-TA[[#This Row],[Fault Time]])*24</f>
        <v>-6.1833333333333327</v>
      </c>
      <c r="AC1137" s="26">
        <f>(TA[[#This Row],[Work Completion time on fault]]-TA[[#This Row],[Fault Time]])*24</f>
        <v>12.066666666666666</v>
      </c>
      <c r="AD1137" s="27">
        <f>IFERROR((TA[[#This Row],[Work Completion time on fault]]-TA[[#This Row],[Fault Time]])*24,"")</f>
        <v>12.066666666666666</v>
      </c>
      <c r="AE1137" t="s">
        <v>319</v>
      </c>
      <c r="AF1137" t="s">
        <v>247</v>
      </c>
      <c r="AG1137" s="2"/>
      <c r="AH1137" s="35">
        <f>1-COS(RADIANS(TA[[#This Row],[Avg. Target Angle during Fault Time (Radians)]]-TA[[#This Row],[Angle of affected equipment ]]))</f>
        <v>0.11705240714107301</v>
      </c>
      <c r="AI1137" s="27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43">
        <f t="shared" si="121"/>
        <v>2026</v>
      </c>
      <c r="C1138" s="116">
        <f t="shared" si="122"/>
        <v>2025</v>
      </c>
      <c r="D1138" s="2" t="s">
        <v>155</v>
      </c>
      <c r="E1138" s="2" t="s">
        <v>155</v>
      </c>
      <c r="F1138" s="30">
        <v>45809</v>
      </c>
      <c r="G1138" s="2">
        <f>DAY(EOMONTH(TA[[#This Row],[Month Year]],0))</f>
        <v>30</v>
      </c>
      <c r="H1138" s="21">
        <v>45824</v>
      </c>
      <c r="I1138" s="32">
        <f>IFERROR(VLOOKUP(TA[[#This Row],[Date]],Raw_Data[[Date]:[Sunset Time (POA&lt;20 W/m2)]],3,0),"")</f>
        <v>0.25763888888888886</v>
      </c>
      <c r="J1138" s="32">
        <f>IFERROR(VLOOKUP(TA[[#This Row],[Date]],Raw_Data[[Date]:[Sunset Time (POA&lt;20 W/m2)]],4,0),"")</f>
        <v>0.75416666666666665</v>
      </c>
      <c r="K1138" s="27">
        <f>IFERROR((TA[[#This Row],[Sunset Time (POA&lt;20 W/m2)]]-TA[[#This Row],[Sunrise Time (POA&gt;20 W/m2)]])*24,"")</f>
        <v>11.916666666666668</v>
      </c>
      <c r="L1138" s="2" t="s">
        <v>285</v>
      </c>
      <c r="M1138" s="33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14" t="s">
        <v>307</v>
      </c>
      <c r="Q1138" s="113" t="s">
        <v>308</v>
      </c>
      <c r="R1138">
        <v>7</v>
      </c>
      <c r="S1138" s="2">
        <v>32</v>
      </c>
      <c r="T1138" t="s">
        <v>286</v>
      </c>
      <c r="U1138" t="s">
        <v>291</v>
      </c>
      <c r="V1138" t="s">
        <v>289</v>
      </c>
      <c r="W1138" s="32"/>
      <c r="X1138" s="32"/>
      <c r="Y1138" s="26"/>
      <c r="Z1138" s="26"/>
      <c r="AA1138" s="27">
        <f>IF(TA[[#This Row],[Work Start time on Fault]]="NA","",(TA[[#This Row],[Fault Acknowledgement Time ]]-TA[[#This Row],[Fault Time]])*24)</f>
        <v>0</v>
      </c>
      <c r="AB1138" s="27">
        <f>(TA[[#This Row],[Work Start time on Fault]]-TA[[#This Row],[Fault Time]])*24</f>
        <v>0</v>
      </c>
      <c r="AC1138" s="26">
        <f>(TA[[#This Row],[Work Completion time on fault]]-TA[[#This Row],[Fault Time]])*24</f>
        <v>0</v>
      </c>
      <c r="AD1138" s="27">
        <f>IFERROR((TA[[#This Row],[Work Completion time on fault]]-TA[[#This Row],[Fault Time]])*24,"")</f>
        <v>0</v>
      </c>
      <c r="AE1138" t="s">
        <v>319</v>
      </c>
      <c r="AF1138" t="s">
        <v>247</v>
      </c>
      <c r="AG1138" s="2"/>
      <c r="AH1138" s="35">
        <f>1-COS(RADIANS(TA[[#This Row],[Avg. Target Angle during Fault Time (Radians)]]-TA[[#This Row],[Angle of affected equipment ]]))</f>
        <v>0.11705240714107301</v>
      </c>
      <c r="AI1138" s="27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43">
        <f t="shared" si="121"/>
        <v>2026</v>
      </c>
      <c r="C1139" s="116">
        <f t="shared" si="122"/>
        <v>2025</v>
      </c>
      <c r="D1139" s="2" t="s">
        <v>155</v>
      </c>
      <c r="E1139" s="2" t="s">
        <v>155</v>
      </c>
      <c r="F1139" s="30">
        <v>45809</v>
      </c>
      <c r="G1139" s="2">
        <f>DAY(EOMONTH(TA[[#This Row],[Month Year]],0))</f>
        <v>30</v>
      </c>
      <c r="H1139" s="21">
        <v>45824</v>
      </c>
      <c r="I1139" s="32">
        <f>IFERROR(VLOOKUP(TA[[#This Row],[Date]],Raw_Data[[Date]:[Sunset Time (POA&lt;20 W/m2)]],3,0),"")</f>
        <v>0.25763888888888886</v>
      </c>
      <c r="J1139" s="32">
        <f>IFERROR(VLOOKUP(TA[[#This Row],[Date]],Raw_Data[[Date]:[Sunset Time (POA&lt;20 W/m2)]],4,0),"")</f>
        <v>0.75416666666666665</v>
      </c>
      <c r="K1139" s="27">
        <f>IFERROR((TA[[#This Row],[Sunset Time (POA&lt;20 W/m2)]]-TA[[#This Row],[Sunrise Time (POA&gt;20 W/m2)]])*24,"")</f>
        <v>11.916666666666668</v>
      </c>
      <c r="L1139" s="2" t="s">
        <v>285</v>
      </c>
      <c r="M1139" s="33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14" t="s">
        <v>306</v>
      </c>
      <c r="Q1139" s="113" t="s">
        <v>310</v>
      </c>
      <c r="R1139">
        <v>166</v>
      </c>
      <c r="S1139" s="2">
        <v>91</v>
      </c>
      <c r="T1139" t="s">
        <v>286</v>
      </c>
      <c r="U1139" t="s">
        <v>291</v>
      </c>
      <c r="V1139" t="s">
        <v>289</v>
      </c>
      <c r="W1139" s="32"/>
      <c r="X1139" s="32"/>
      <c r="Y1139" s="26"/>
      <c r="Z1139" s="26"/>
      <c r="AA1139" s="27">
        <f>IF(TA[[#This Row],[Work Start time on Fault]]="NA","",(TA[[#This Row],[Fault Acknowledgement Time ]]-TA[[#This Row],[Fault Time]])*24)</f>
        <v>0</v>
      </c>
      <c r="AB1139" s="27">
        <f>(TA[[#This Row],[Work Start time on Fault]]-TA[[#This Row],[Fault Time]])*24</f>
        <v>0</v>
      </c>
      <c r="AC1139" s="26">
        <f>(TA[[#This Row],[Work Completion time on fault]]-TA[[#This Row],[Fault Time]])*24</f>
        <v>0</v>
      </c>
      <c r="AD1139" s="27">
        <f>IFERROR((TA[[#This Row],[Work Completion time on fault]]-TA[[#This Row],[Fault Time]])*24,"")</f>
        <v>0</v>
      </c>
      <c r="AE1139" t="s">
        <v>319</v>
      </c>
      <c r="AF1139" t="s">
        <v>247</v>
      </c>
      <c r="AG1139" s="2"/>
      <c r="AH1139" s="35">
        <f>1-COS(RADIANS(TA[[#This Row],[Avg. Target Angle during Fault Time (Radians)]]-TA[[#This Row],[Angle of affected equipment ]]))</f>
        <v>0.11705240714107301</v>
      </c>
      <c r="AI1139" s="27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43">
        <f t="shared" si="121"/>
        <v>2026</v>
      </c>
      <c r="C1140" s="116">
        <f t="shared" si="122"/>
        <v>2025</v>
      </c>
      <c r="D1140" s="2" t="s">
        <v>155</v>
      </c>
      <c r="E1140" s="2" t="s">
        <v>155</v>
      </c>
      <c r="F1140" s="30">
        <v>45809</v>
      </c>
      <c r="G1140" s="2">
        <f>DAY(EOMONTH(TA[[#This Row],[Month Year]],0))</f>
        <v>30</v>
      </c>
      <c r="H1140" s="21">
        <v>45824</v>
      </c>
      <c r="I1140" s="32">
        <f>IFERROR(VLOOKUP(TA[[#This Row],[Date]],Raw_Data[[Date]:[Sunset Time (POA&lt;20 W/m2)]],3,0),"")</f>
        <v>0.25763888888888886</v>
      </c>
      <c r="J1140" s="32">
        <f>IFERROR(VLOOKUP(TA[[#This Row],[Date]],Raw_Data[[Date]:[Sunset Time (POA&lt;20 W/m2)]],4,0),"")</f>
        <v>0.75416666666666665</v>
      </c>
      <c r="K1140" s="27">
        <f>IFERROR((TA[[#This Row],[Sunset Time (POA&lt;20 W/m2)]]-TA[[#This Row],[Sunrise Time (POA&gt;20 W/m2)]])*24,"")</f>
        <v>11.916666666666668</v>
      </c>
      <c r="L1140" s="2" t="s">
        <v>285</v>
      </c>
      <c r="M1140" s="33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14" t="s">
        <v>307</v>
      </c>
      <c r="Q1140" s="113" t="s">
        <v>307</v>
      </c>
      <c r="R1140">
        <v>117</v>
      </c>
      <c r="S1140" s="2">
        <v>20</v>
      </c>
      <c r="T1140" t="s">
        <v>286</v>
      </c>
      <c r="U1140" t="s">
        <v>291</v>
      </c>
      <c r="V1140" t="s">
        <v>289</v>
      </c>
      <c r="W1140" s="32"/>
      <c r="X1140" s="32"/>
      <c r="Y1140" s="26"/>
      <c r="Z1140" s="26"/>
      <c r="AA1140" s="27">
        <f>IF(TA[[#This Row],[Work Start time on Fault]]="NA","",(TA[[#This Row],[Fault Acknowledgement Time ]]-TA[[#This Row],[Fault Time]])*24)</f>
        <v>0</v>
      </c>
      <c r="AB1140" s="27">
        <f>(TA[[#This Row],[Work Start time on Fault]]-TA[[#This Row],[Fault Time]])*24</f>
        <v>0</v>
      </c>
      <c r="AC1140" s="26">
        <f>(TA[[#This Row],[Work Completion time on fault]]-TA[[#This Row],[Fault Time]])*24</f>
        <v>0</v>
      </c>
      <c r="AD1140" s="27">
        <f>IFERROR((TA[[#This Row],[Work Completion time on fault]]-TA[[#This Row],[Fault Time]])*24,"")</f>
        <v>0</v>
      </c>
      <c r="AE1140" t="s">
        <v>319</v>
      </c>
      <c r="AF1140" t="s">
        <v>247</v>
      </c>
      <c r="AG1140" s="2"/>
      <c r="AH1140" s="35">
        <f>1-COS(RADIANS(TA[[#This Row],[Avg. Target Angle during Fault Time (Radians)]]-TA[[#This Row],[Angle of affected equipment ]]))</f>
        <v>0.11705240714107301</v>
      </c>
      <c r="AI1140" s="27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43">
        <f t="shared" si="121"/>
        <v>2026</v>
      </c>
      <c r="C1141" s="116">
        <f t="shared" si="122"/>
        <v>2025</v>
      </c>
      <c r="D1141" s="2" t="s">
        <v>155</v>
      </c>
      <c r="E1141" s="2" t="s">
        <v>155</v>
      </c>
      <c r="F1141" s="30">
        <v>45809</v>
      </c>
      <c r="G1141" s="2">
        <f>DAY(EOMONTH(TA[[#This Row],[Month Year]],0))</f>
        <v>30</v>
      </c>
      <c r="H1141" s="21">
        <v>45824</v>
      </c>
      <c r="I1141" s="32">
        <f>IFERROR(VLOOKUP(TA[[#This Row],[Date]],Raw_Data[[Date]:[Sunset Time (POA&lt;20 W/m2)]],3,0),"")</f>
        <v>0.25763888888888886</v>
      </c>
      <c r="J1141" s="32">
        <f>IFERROR(VLOOKUP(TA[[#This Row],[Date]],Raw_Data[[Date]:[Sunset Time (POA&lt;20 W/m2)]],4,0),"")</f>
        <v>0.75416666666666665</v>
      </c>
      <c r="K1141" s="27">
        <f>IFERROR((TA[[#This Row],[Sunset Time (POA&lt;20 W/m2)]]-TA[[#This Row],[Sunrise Time (POA&gt;20 W/m2)]])*24,"")</f>
        <v>11.916666666666668</v>
      </c>
      <c r="L1141" s="2" t="s">
        <v>285</v>
      </c>
      <c r="M1141" s="33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14" t="s">
        <v>307</v>
      </c>
      <c r="Q1141" s="113" t="s">
        <v>307</v>
      </c>
      <c r="R1141">
        <v>118</v>
      </c>
      <c r="S1141" s="2">
        <v>22</v>
      </c>
      <c r="T1141" t="s">
        <v>286</v>
      </c>
      <c r="U1141" t="s">
        <v>291</v>
      </c>
      <c r="V1141" t="s">
        <v>289</v>
      </c>
      <c r="W1141" s="32"/>
      <c r="X1141" s="32"/>
      <c r="Y1141" s="26"/>
      <c r="Z1141" s="26"/>
      <c r="AA1141" s="27">
        <f>IF(TA[[#This Row],[Work Start time on Fault]]="NA","",(TA[[#This Row],[Fault Acknowledgement Time ]]-TA[[#This Row],[Fault Time]])*24)</f>
        <v>0</v>
      </c>
      <c r="AB1141" s="27">
        <f>(TA[[#This Row],[Work Start time on Fault]]-TA[[#This Row],[Fault Time]])*24</f>
        <v>0</v>
      </c>
      <c r="AC1141" s="26">
        <f>(TA[[#This Row],[Work Completion time on fault]]-TA[[#This Row],[Fault Time]])*24</f>
        <v>0</v>
      </c>
      <c r="AD1141" s="27">
        <f>IFERROR((TA[[#This Row],[Work Completion time on fault]]-TA[[#This Row],[Fault Time]])*24,"")</f>
        <v>0</v>
      </c>
      <c r="AE1141" t="s">
        <v>319</v>
      </c>
      <c r="AF1141" t="s">
        <v>247</v>
      </c>
      <c r="AG1141" s="2"/>
      <c r="AH1141" s="35">
        <f>1-COS(RADIANS(TA[[#This Row],[Avg. Target Angle during Fault Time (Radians)]]-TA[[#This Row],[Angle of affected equipment ]]))</f>
        <v>0.11705240714107301</v>
      </c>
      <c r="AI1141" s="27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43">
        <f t="shared" si="121"/>
        <v>2026</v>
      </c>
      <c r="C1142" s="116">
        <f t="shared" si="122"/>
        <v>2025</v>
      </c>
      <c r="D1142" s="2" t="s">
        <v>155</v>
      </c>
      <c r="E1142" s="2" t="s">
        <v>155</v>
      </c>
      <c r="F1142" s="30">
        <v>45809</v>
      </c>
      <c r="G1142" s="2">
        <f>DAY(EOMONTH(TA[[#This Row],[Month Year]],0))</f>
        <v>30</v>
      </c>
      <c r="H1142" s="21">
        <v>45824</v>
      </c>
      <c r="I1142" s="32">
        <f>IFERROR(VLOOKUP(TA[[#This Row],[Date]],Raw_Data[[Date]:[Sunset Time (POA&lt;20 W/m2)]],3,0),"")</f>
        <v>0.25763888888888886</v>
      </c>
      <c r="J1142" s="32">
        <f>IFERROR(VLOOKUP(TA[[#This Row],[Date]],Raw_Data[[Date]:[Sunset Time (POA&lt;20 W/m2)]],4,0),"")</f>
        <v>0.75416666666666665</v>
      </c>
      <c r="K1142" s="27">
        <f>IFERROR((TA[[#This Row],[Sunset Time (POA&lt;20 W/m2)]]-TA[[#This Row],[Sunrise Time (POA&gt;20 W/m2)]])*24,"")</f>
        <v>11.916666666666668</v>
      </c>
      <c r="L1142" s="2" t="s">
        <v>287</v>
      </c>
      <c r="M1142" s="33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314</v>
      </c>
      <c r="Q1142" s="2" t="s">
        <v>320</v>
      </c>
      <c r="R1142">
        <v>45</v>
      </c>
      <c r="S1142" s="2">
        <v>8</v>
      </c>
      <c r="T1142" t="s">
        <v>288</v>
      </c>
      <c r="U1142" t="s">
        <v>291</v>
      </c>
      <c r="V1142" t="s">
        <v>292</v>
      </c>
      <c r="W1142" s="32"/>
      <c r="X1142" s="32"/>
      <c r="Y1142" s="26"/>
      <c r="Z1142" s="26"/>
      <c r="AA1142" s="27">
        <f>IF(TA[[#This Row],[Work Start time on Fault]]="NA","",(TA[[#This Row],[Fault Acknowledgement Time ]]-TA[[#This Row],[Fault Time]])*24)</f>
        <v>0</v>
      </c>
      <c r="AB1142" s="27">
        <f>(TA[[#This Row],[Work Start time on Fault]]-TA[[#This Row],[Fault Time]])*24</f>
        <v>0</v>
      </c>
      <c r="AC1142" s="26">
        <f>(TA[[#This Row],[Work Completion time on fault]]-TA[[#This Row],[Fault Time]])*24</f>
        <v>0</v>
      </c>
      <c r="AD1142" s="27">
        <f>IFERROR((TA[[#This Row],[Work Completion time on fault]]-TA[[#This Row],[Fault Time]])*24,"")</f>
        <v>0</v>
      </c>
      <c r="AE1142" t="s">
        <v>319</v>
      </c>
      <c r="AF1142" t="s">
        <v>247</v>
      </c>
      <c r="AG1142" s="2"/>
      <c r="AH1142" s="35">
        <f>1-COS(RADIANS(TA[[#This Row],[Avg. Target Angle during Fault Time (Radians)]]-TA[[#This Row],[Angle of affected equipment ]]))</f>
        <v>0.11705240714107301</v>
      </c>
      <c r="AI1142" s="27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43">
        <f t="shared" si="121"/>
        <v>2026</v>
      </c>
      <c r="C1143" s="116">
        <f t="shared" si="122"/>
        <v>2025</v>
      </c>
      <c r="D1143" s="2" t="s">
        <v>155</v>
      </c>
      <c r="E1143" s="2" t="s">
        <v>155</v>
      </c>
      <c r="F1143" s="30">
        <v>45809</v>
      </c>
      <c r="G1143" s="2">
        <f>DAY(EOMONTH(TA[[#This Row],[Month Year]],0))</f>
        <v>30</v>
      </c>
      <c r="H1143" s="21">
        <v>45824</v>
      </c>
      <c r="I1143" s="32">
        <f>IFERROR(VLOOKUP(TA[[#This Row],[Date]],Raw_Data[[Date]:[Sunset Time (POA&lt;20 W/m2)]],3,0),"")</f>
        <v>0.25763888888888886</v>
      </c>
      <c r="J1143" s="32">
        <f>IFERROR(VLOOKUP(TA[[#This Row],[Date]],Raw_Data[[Date]:[Sunset Time (POA&lt;20 W/m2)]],4,0),"")</f>
        <v>0.75416666666666665</v>
      </c>
      <c r="K1143" s="27">
        <f>IFERROR((TA[[#This Row],[Sunset Time (POA&lt;20 W/m2)]]-TA[[#This Row],[Sunrise Time (POA&gt;20 W/m2)]])*24,"")</f>
        <v>11.916666666666668</v>
      </c>
      <c r="L1143" s="2" t="s">
        <v>287</v>
      </c>
      <c r="M1143" s="33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314</v>
      </c>
      <c r="Q1143" s="2" t="s">
        <v>320</v>
      </c>
      <c r="R1143">
        <v>47</v>
      </c>
      <c r="S1143" s="2">
        <v>18</v>
      </c>
      <c r="T1143" t="s">
        <v>288</v>
      </c>
      <c r="U1143" t="s">
        <v>291</v>
      </c>
      <c r="V1143" t="s">
        <v>292</v>
      </c>
      <c r="W1143" s="32"/>
      <c r="X1143" s="32"/>
      <c r="Y1143" s="26"/>
      <c r="Z1143" s="26"/>
      <c r="AA1143" s="27">
        <f>IF(TA[[#This Row],[Work Start time on Fault]]="NA","",(TA[[#This Row],[Fault Acknowledgement Time ]]-TA[[#This Row],[Fault Time]])*24)</f>
        <v>0</v>
      </c>
      <c r="AB1143" s="27">
        <f>(TA[[#This Row],[Work Start time on Fault]]-TA[[#This Row],[Fault Time]])*24</f>
        <v>0</v>
      </c>
      <c r="AC1143" s="26">
        <f>(TA[[#This Row],[Work Completion time on fault]]-TA[[#This Row],[Fault Time]])*24</f>
        <v>0</v>
      </c>
      <c r="AD1143" s="27">
        <f>IFERROR((TA[[#This Row],[Work Completion time on fault]]-TA[[#This Row],[Fault Time]])*24,"")</f>
        <v>0</v>
      </c>
      <c r="AE1143" t="s">
        <v>319</v>
      </c>
      <c r="AF1143" t="s">
        <v>247</v>
      </c>
      <c r="AG1143" s="2"/>
      <c r="AH1143" s="35">
        <f>1-COS(RADIANS(TA[[#This Row],[Avg. Target Angle during Fault Time (Radians)]]-TA[[#This Row],[Angle of affected equipment ]]))</f>
        <v>0.11705240714107301</v>
      </c>
      <c r="AI1143" s="27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43">
        <f t="shared" si="121"/>
        <v>2026</v>
      </c>
      <c r="C1144" s="116">
        <f t="shared" si="122"/>
        <v>2025</v>
      </c>
      <c r="D1144" s="2" t="s">
        <v>155</v>
      </c>
      <c r="E1144" s="2" t="s">
        <v>155</v>
      </c>
      <c r="F1144" s="30">
        <v>45809</v>
      </c>
      <c r="G1144" s="2">
        <f>DAY(EOMONTH(TA[[#This Row],[Month Year]],0))</f>
        <v>30</v>
      </c>
      <c r="H1144" s="21">
        <v>45824</v>
      </c>
      <c r="I1144" s="32">
        <f>IFERROR(VLOOKUP(TA[[#This Row],[Date]],Raw_Data[[Date]:[Sunset Time (POA&lt;20 W/m2)]],3,0),"")</f>
        <v>0.25763888888888886</v>
      </c>
      <c r="J1144" s="32">
        <f>IFERROR(VLOOKUP(TA[[#This Row],[Date]],Raw_Data[[Date]:[Sunset Time (POA&lt;20 W/m2)]],4,0),"")</f>
        <v>0.75416666666666665</v>
      </c>
      <c r="K1144" s="27">
        <f>IFERROR((TA[[#This Row],[Sunset Time (POA&lt;20 W/m2)]]-TA[[#This Row],[Sunrise Time (POA&gt;20 W/m2)]])*24,"")</f>
        <v>11.916666666666668</v>
      </c>
      <c r="L1144" s="2" t="s">
        <v>287</v>
      </c>
      <c r="M1144" s="33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321</v>
      </c>
      <c r="Q1144" s="2" t="s">
        <v>314</v>
      </c>
      <c r="R1144">
        <v>30</v>
      </c>
      <c r="S1144" s="2">
        <v>57</v>
      </c>
      <c r="T1144" t="s">
        <v>288</v>
      </c>
      <c r="U1144" t="s">
        <v>291</v>
      </c>
      <c r="V1144" t="s">
        <v>292</v>
      </c>
      <c r="W1144" s="32"/>
      <c r="X1144" s="32"/>
      <c r="Y1144" s="26"/>
      <c r="Z1144" s="26"/>
      <c r="AA1144" s="27">
        <f>IF(TA[[#This Row],[Work Start time on Fault]]="NA","",(TA[[#This Row],[Fault Acknowledgement Time ]]-TA[[#This Row],[Fault Time]])*24)</f>
        <v>0</v>
      </c>
      <c r="AB1144" s="27">
        <f>(TA[[#This Row],[Work Start time on Fault]]-TA[[#This Row],[Fault Time]])*24</f>
        <v>0</v>
      </c>
      <c r="AC1144" s="26">
        <f>(TA[[#This Row],[Work Completion time on fault]]-TA[[#This Row],[Fault Time]])*24</f>
        <v>0</v>
      </c>
      <c r="AD1144" s="27">
        <f>IFERROR((TA[[#This Row],[Work Completion time on fault]]-TA[[#This Row],[Fault Time]])*24,"")</f>
        <v>0</v>
      </c>
      <c r="AE1144" t="s">
        <v>319</v>
      </c>
      <c r="AF1144" t="s">
        <v>247</v>
      </c>
      <c r="AG1144" s="2"/>
      <c r="AH1144" s="35">
        <f>1-COS(RADIANS(TA[[#This Row],[Avg. Target Angle during Fault Time (Radians)]]-TA[[#This Row],[Angle of affected equipment ]]))</f>
        <v>0.11705240714107301</v>
      </c>
      <c r="AI1144" s="27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43">
        <f t="shared" si="121"/>
        <v>2026</v>
      </c>
      <c r="C1145" s="116">
        <f t="shared" si="122"/>
        <v>2025</v>
      </c>
      <c r="D1145" s="2" t="s">
        <v>155</v>
      </c>
      <c r="E1145" s="2" t="s">
        <v>155</v>
      </c>
      <c r="F1145" s="30">
        <v>45809</v>
      </c>
      <c r="G1145" s="2">
        <f>DAY(EOMONTH(TA[[#This Row],[Month Year]],0))</f>
        <v>30</v>
      </c>
      <c r="H1145" s="21">
        <v>45824</v>
      </c>
      <c r="I1145" s="32">
        <f>IFERROR(VLOOKUP(TA[[#This Row],[Date]],Raw_Data[[Date]:[Sunset Time (POA&lt;20 W/m2)]],3,0),"")</f>
        <v>0.25763888888888886</v>
      </c>
      <c r="J1145" s="32">
        <f>IFERROR(VLOOKUP(TA[[#This Row],[Date]],Raw_Data[[Date]:[Sunset Time (POA&lt;20 W/m2)]],4,0),"")</f>
        <v>0.75416666666666665</v>
      </c>
      <c r="K1145" s="27">
        <f>IFERROR((TA[[#This Row],[Sunset Time (POA&lt;20 W/m2)]]-TA[[#This Row],[Sunrise Time (POA&gt;20 W/m2)]])*24,"")</f>
        <v>11.916666666666668</v>
      </c>
      <c r="L1145" s="2" t="s">
        <v>287</v>
      </c>
      <c r="M1145" s="33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321</v>
      </c>
      <c r="Q1145" s="2" t="s">
        <v>314</v>
      </c>
      <c r="R1145">
        <v>31</v>
      </c>
      <c r="S1145" s="2">
        <v>61</v>
      </c>
      <c r="T1145" t="s">
        <v>288</v>
      </c>
      <c r="U1145" t="s">
        <v>291</v>
      </c>
      <c r="V1145" t="s">
        <v>292</v>
      </c>
      <c r="W1145" s="32"/>
      <c r="X1145" s="32"/>
      <c r="Y1145" s="26"/>
      <c r="Z1145" s="26"/>
      <c r="AA1145" s="27">
        <f>IF(TA[[#This Row],[Work Start time on Fault]]="NA","",(TA[[#This Row],[Fault Acknowledgement Time ]]-TA[[#This Row],[Fault Time]])*24)</f>
        <v>0</v>
      </c>
      <c r="AB1145" s="27">
        <f>(TA[[#This Row],[Work Start time on Fault]]-TA[[#This Row],[Fault Time]])*24</f>
        <v>0</v>
      </c>
      <c r="AC1145" s="26">
        <f>(TA[[#This Row],[Work Completion time on fault]]-TA[[#This Row],[Fault Time]])*24</f>
        <v>0</v>
      </c>
      <c r="AD1145" s="27">
        <f>IFERROR((TA[[#This Row],[Work Completion time on fault]]-TA[[#This Row],[Fault Time]])*24,"")</f>
        <v>0</v>
      </c>
      <c r="AE1145" t="s">
        <v>319</v>
      </c>
      <c r="AF1145" t="s">
        <v>247</v>
      </c>
      <c r="AG1145" s="2"/>
      <c r="AH1145" s="35">
        <f>1-COS(RADIANS(TA[[#This Row],[Avg. Target Angle during Fault Time (Radians)]]-TA[[#This Row],[Angle of affected equipment ]]))</f>
        <v>0.11705240714107301</v>
      </c>
      <c r="AI1145" s="27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43">
        <f t="shared" si="121"/>
        <v>2026</v>
      </c>
      <c r="C1146" s="116">
        <f t="shared" si="122"/>
        <v>2025</v>
      </c>
      <c r="D1146" s="2" t="s">
        <v>155</v>
      </c>
      <c r="E1146" s="2" t="s">
        <v>155</v>
      </c>
      <c r="F1146" s="30">
        <v>45809</v>
      </c>
      <c r="G1146" s="2">
        <f>DAY(EOMONTH(TA[[#This Row],[Month Year]],0))</f>
        <v>30</v>
      </c>
      <c r="H1146" s="21">
        <v>45824</v>
      </c>
      <c r="I1146" s="32">
        <f>IFERROR(VLOOKUP(TA[[#This Row],[Date]],Raw_Data[[Date]:[Sunset Time (POA&lt;20 W/m2)]],3,0),"")</f>
        <v>0.25763888888888886</v>
      </c>
      <c r="J1146" s="32">
        <f>IFERROR(VLOOKUP(TA[[#This Row],[Date]],Raw_Data[[Date]:[Sunset Time (POA&lt;20 W/m2)]],4,0),"")</f>
        <v>0.75416666666666665</v>
      </c>
      <c r="K1146" s="27">
        <f>IFERROR((TA[[#This Row],[Sunset Time (POA&lt;20 W/m2)]]-TA[[#This Row],[Sunrise Time (POA&gt;20 W/m2)]])*24,"")</f>
        <v>11.916666666666668</v>
      </c>
      <c r="L1146" s="2" t="s">
        <v>303</v>
      </c>
      <c r="M1146" s="33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321</v>
      </c>
      <c r="Q1146" s="2" t="s">
        <v>314</v>
      </c>
      <c r="R1146">
        <v>26</v>
      </c>
      <c r="S1146" s="2">
        <v>37</v>
      </c>
      <c r="T1146" t="s">
        <v>288</v>
      </c>
      <c r="U1146" t="s">
        <v>291</v>
      </c>
      <c r="V1146" t="s">
        <v>292</v>
      </c>
      <c r="W1146" s="32"/>
      <c r="X1146" s="32"/>
      <c r="Y1146" s="26"/>
      <c r="Z1146" s="26"/>
      <c r="AA1146" s="27">
        <f>IF(TA[[#This Row],[Work Start time on Fault]]="NA","",(TA[[#This Row],[Fault Acknowledgement Time ]]-TA[[#This Row],[Fault Time]])*24)</f>
        <v>0</v>
      </c>
      <c r="AB1146" s="27">
        <f>(TA[[#This Row],[Work Start time on Fault]]-TA[[#This Row],[Fault Time]])*24</f>
        <v>0</v>
      </c>
      <c r="AC1146" s="26">
        <f>(TA[[#This Row],[Work Completion time on fault]]-TA[[#This Row],[Fault Time]])*24</f>
        <v>0</v>
      </c>
      <c r="AD1146" s="27">
        <f>IFERROR((TA[[#This Row],[Work Completion time on fault]]-TA[[#This Row],[Fault Time]])*24,"")</f>
        <v>0</v>
      </c>
      <c r="AE1146" t="s">
        <v>319</v>
      </c>
      <c r="AF1146" t="s">
        <v>247</v>
      </c>
      <c r="AG1146" s="2"/>
      <c r="AH1146" s="35">
        <f>1-COS(RADIANS(TA[[#This Row],[Avg. Target Angle during Fault Time (Radians)]]-TA[[#This Row],[Angle of affected equipment ]]))</f>
        <v>0.11705240714107301</v>
      </c>
      <c r="AI1146" s="27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43">
        <f t="shared" si="121"/>
        <v>2026</v>
      </c>
      <c r="C1147" s="116">
        <f t="shared" si="122"/>
        <v>2025</v>
      </c>
      <c r="D1147" s="2" t="s">
        <v>155</v>
      </c>
      <c r="E1147" s="2" t="s">
        <v>155</v>
      </c>
      <c r="F1147" s="30">
        <v>45809</v>
      </c>
      <c r="G1147" s="2">
        <f>DAY(EOMONTH(TA[[#This Row],[Month Year]],0))</f>
        <v>30</v>
      </c>
      <c r="H1147" s="21">
        <v>45824</v>
      </c>
      <c r="I1147" s="32">
        <f>IFERROR(VLOOKUP(TA[[#This Row],[Date]],Raw_Data[[Date]:[Sunset Time (POA&lt;20 W/m2)]],3,0),"")</f>
        <v>0.25763888888888886</v>
      </c>
      <c r="J1147" s="32">
        <f>IFERROR(VLOOKUP(TA[[#This Row],[Date]],Raw_Data[[Date]:[Sunset Time (POA&lt;20 W/m2)]],4,0),"")</f>
        <v>0.75416666666666665</v>
      </c>
      <c r="K1147" s="27">
        <f>IFERROR((TA[[#This Row],[Sunset Time (POA&lt;20 W/m2)]]-TA[[#This Row],[Sunrise Time (POA&gt;20 W/m2)]])*24,"")</f>
        <v>11.916666666666668</v>
      </c>
      <c r="L1147" s="2" t="s">
        <v>303</v>
      </c>
      <c r="M1147" s="33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321</v>
      </c>
      <c r="Q1147" s="2" t="s">
        <v>314</v>
      </c>
      <c r="R1147">
        <v>27</v>
      </c>
      <c r="S1147" s="2">
        <v>42</v>
      </c>
      <c r="T1147" t="s">
        <v>288</v>
      </c>
      <c r="U1147" t="s">
        <v>291</v>
      </c>
      <c r="V1147" t="s">
        <v>292</v>
      </c>
      <c r="W1147" s="32">
        <f>IFERROR(VLOOKUP(TA[[#This Row],[Date]],Raw_Data[[Date]:[Sunset Time (POA&lt;20 W/m2)]],3,0),"")</f>
        <v>0.25763888888888886</v>
      </c>
      <c r="X1147" s="32">
        <f>IFERROR(VLOOKUP(TA[[#This Row],[Date]],Raw_Data[[Date]:[Sunset Time (POA&lt;20 W/m2)]],3,0),"")</f>
        <v>0.25763888888888886</v>
      </c>
      <c r="Y1147" s="26"/>
      <c r="Z1147" s="26">
        <v>0.76041666666666663</v>
      </c>
      <c r="AA1147" s="27">
        <f>IF(TA[[#This Row],[Work Start time on Fault]]="NA","",(TA[[#This Row],[Fault Acknowledgement Time ]]-TA[[#This Row],[Fault Time]])*24)</f>
        <v>0</v>
      </c>
      <c r="AB1147" s="27">
        <f>(TA[[#This Row],[Work Start time on Fault]]-TA[[#This Row],[Fault Time]])*24</f>
        <v>-6.1833333333333327</v>
      </c>
      <c r="AC1147" s="26">
        <f>(TA[[#This Row],[Work Completion time on fault]]-TA[[#This Row],[Fault Time]])*24</f>
        <v>12.066666666666666</v>
      </c>
      <c r="AD1147" s="27">
        <f>IFERROR((TA[[#This Row],[Work Completion time on fault]]-TA[[#This Row],[Fault Time]])*24,"")</f>
        <v>12.066666666666666</v>
      </c>
      <c r="AE1147" t="s">
        <v>300</v>
      </c>
      <c r="AF1147" t="s">
        <v>247</v>
      </c>
      <c r="AG1147" s="2"/>
      <c r="AH1147" s="35">
        <f>1-COS(RADIANS(TA[[#This Row],[Avg. Target Angle during Fault Time (Radians)]]-TA[[#This Row],[Angle of affected equipment ]]))</f>
        <v>0.11705240714107301</v>
      </c>
      <c r="AI1147" s="27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43">
        <f t="shared" ref="B1148:B1160" si="123">YEAR(H1148)+IF(MONTH(H1148)&gt;=4,1,0)</f>
        <v>2026</v>
      </c>
      <c r="C1148" s="116">
        <f t="shared" ref="C1148:C1160" si="124">YEAR(H1148)</f>
        <v>2025</v>
      </c>
      <c r="D1148" s="2" t="s">
        <v>155</v>
      </c>
      <c r="E1148" s="2" t="s">
        <v>155</v>
      </c>
      <c r="F1148" s="30">
        <v>45809</v>
      </c>
      <c r="G1148" s="2">
        <f>DAY(EOMONTH(TA[[#This Row],[Month Year]],0))</f>
        <v>30</v>
      </c>
      <c r="H1148" s="21">
        <v>45825</v>
      </c>
      <c r="I1148" s="32">
        <f>IFERROR(VLOOKUP(TA[[#This Row],[Date]],Raw_Data[[Date]:[Sunset Time (POA&lt;20 W/m2)]],3,0),"")</f>
        <v>0.24861111111111112</v>
      </c>
      <c r="J1148" s="32">
        <f>IFERROR(VLOOKUP(TA[[#This Row],[Date]],Raw_Data[[Date]:[Sunset Time (POA&lt;20 W/m2)]],4,0),"")</f>
        <v>0.78333333333333333</v>
      </c>
      <c r="K1148" s="27">
        <f>IFERROR((TA[[#This Row],[Sunset Time (POA&lt;20 W/m2)]]-TA[[#This Row],[Sunrise Time (POA&gt;20 W/m2)]])*24,"")</f>
        <v>12.833333333333332</v>
      </c>
      <c r="L1148" s="2" t="s">
        <v>285</v>
      </c>
      <c r="M1148" s="33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14" t="s">
        <v>309</v>
      </c>
      <c r="Q1148" s="113" t="s">
        <v>309</v>
      </c>
      <c r="R1148">
        <v>131</v>
      </c>
      <c r="S1148" s="2">
        <v>38</v>
      </c>
      <c r="T1148" t="s">
        <v>286</v>
      </c>
      <c r="U1148" t="s">
        <v>291</v>
      </c>
      <c r="V1148" t="s">
        <v>289</v>
      </c>
      <c r="W1148" s="32"/>
      <c r="X1148" s="32"/>
      <c r="Y1148" s="26"/>
      <c r="Z1148" s="26"/>
      <c r="AA1148" s="27">
        <f>IF(TA[[#This Row],[Work Start time on Fault]]="NA","",(TA[[#This Row],[Fault Acknowledgement Time ]]-TA[[#This Row],[Fault Time]])*24)</f>
        <v>0</v>
      </c>
      <c r="AB1148" s="27">
        <f>(TA[[#This Row],[Work Start time on Fault]]-TA[[#This Row],[Fault Time]])*24</f>
        <v>0</v>
      </c>
      <c r="AC1148" s="26">
        <f>(TA[[#This Row],[Work Completion time on fault]]-TA[[#This Row],[Fault Time]])*24</f>
        <v>0</v>
      </c>
      <c r="AD1148" s="27">
        <f>IFERROR((TA[[#This Row],[Work Completion time on fault]]-TA[[#This Row],[Fault Time]])*24,"")</f>
        <v>0</v>
      </c>
      <c r="AE1148" t="s">
        <v>319</v>
      </c>
      <c r="AF1148" t="s">
        <v>247</v>
      </c>
      <c r="AG1148" s="2"/>
      <c r="AH1148" s="35">
        <f>1-COS(RADIANS(TA[[#This Row],[Avg. Target Angle during Fault Time (Radians)]]-TA[[#This Row],[Angle of affected equipment ]]))</f>
        <v>0.11705240714107301</v>
      </c>
      <c r="AI1148" s="27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43">
        <f t="shared" si="123"/>
        <v>2026</v>
      </c>
      <c r="C1149" s="116">
        <f t="shared" si="124"/>
        <v>2025</v>
      </c>
      <c r="D1149" s="2" t="s">
        <v>155</v>
      </c>
      <c r="E1149" s="2" t="s">
        <v>155</v>
      </c>
      <c r="F1149" s="30">
        <v>45809</v>
      </c>
      <c r="G1149" s="2">
        <f>DAY(EOMONTH(TA[[#This Row],[Month Year]],0))</f>
        <v>30</v>
      </c>
      <c r="H1149" s="21">
        <v>45825</v>
      </c>
      <c r="I1149" s="32">
        <f>IFERROR(VLOOKUP(TA[[#This Row],[Date]],Raw_Data[[Date]:[Sunset Time (POA&lt;20 W/m2)]],3,0),"")</f>
        <v>0.24861111111111112</v>
      </c>
      <c r="J1149" s="32">
        <f>IFERROR(VLOOKUP(TA[[#This Row],[Date]],Raw_Data[[Date]:[Sunset Time (POA&lt;20 W/m2)]],4,0),"")</f>
        <v>0.78333333333333333</v>
      </c>
      <c r="K1149" s="27">
        <f>IFERROR((TA[[#This Row],[Sunset Time (POA&lt;20 W/m2)]]-TA[[#This Row],[Sunrise Time (POA&gt;20 W/m2)]])*24,"")</f>
        <v>12.833333333333332</v>
      </c>
      <c r="L1149" s="2" t="s">
        <v>285</v>
      </c>
      <c r="M1149" s="33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14" t="s">
        <v>309</v>
      </c>
      <c r="Q1149" s="113" t="s">
        <v>309</v>
      </c>
      <c r="R1149">
        <v>131</v>
      </c>
      <c r="S1149" s="2">
        <v>39</v>
      </c>
      <c r="T1149" t="s">
        <v>286</v>
      </c>
      <c r="U1149" t="s">
        <v>291</v>
      </c>
      <c r="V1149" t="s">
        <v>289</v>
      </c>
      <c r="W1149" s="32"/>
      <c r="X1149" s="32"/>
      <c r="Y1149" s="26"/>
      <c r="Z1149" s="26"/>
      <c r="AA1149" s="27">
        <f>IF(TA[[#This Row],[Work Start time on Fault]]="NA","",(TA[[#This Row],[Fault Acknowledgement Time ]]-TA[[#This Row],[Fault Time]])*24)</f>
        <v>0</v>
      </c>
      <c r="AB1149" s="27">
        <f>(TA[[#This Row],[Work Start time on Fault]]-TA[[#This Row],[Fault Time]])*24</f>
        <v>0</v>
      </c>
      <c r="AC1149" s="26">
        <f>(TA[[#This Row],[Work Completion time on fault]]-TA[[#This Row],[Fault Time]])*24</f>
        <v>0</v>
      </c>
      <c r="AD1149" s="27">
        <f>IFERROR((TA[[#This Row],[Work Completion time on fault]]-TA[[#This Row],[Fault Time]])*24,"")</f>
        <v>0</v>
      </c>
      <c r="AE1149" t="s">
        <v>319</v>
      </c>
      <c r="AF1149" t="s">
        <v>247</v>
      </c>
      <c r="AG1149" s="2"/>
      <c r="AH1149" s="35">
        <f>1-COS(RADIANS(TA[[#This Row],[Avg. Target Angle during Fault Time (Radians)]]-TA[[#This Row],[Angle of affected equipment ]]))</f>
        <v>0.11705240714107301</v>
      </c>
      <c r="AI1149" s="27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43">
        <f t="shared" si="123"/>
        <v>2026</v>
      </c>
      <c r="C1150" s="116">
        <f t="shared" si="124"/>
        <v>2025</v>
      </c>
      <c r="D1150" s="2" t="s">
        <v>155</v>
      </c>
      <c r="E1150" s="2" t="s">
        <v>155</v>
      </c>
      <c r="F1150" s="30">
        <v>45809</v>
      </c>
      <c r="G1150" s="2">
        <f>DAY(EOMONTH(TA[[#This Row],[Month Year]],0))</f>
        <v>30</v>
      </c>
      <c r="H1150" s="21">
        <v>45825</v>
      </c>
      <c r="I1150" s="32">
        <f>IFERROR(VLOOKUP(TA[[#This Row],[Date]],Raw_Data[[Date]:[Sunset Time (POA&lt;20 W/m2)]],3,0),"")</f>
        <v>0.24861111111111112</v>
      </c>
      <c r="J1150" s="32">
        <f>IFERROR(VLOOKUP(TA[[#This Row],[Date]],Raw_Data[[Date]:[Sunset Time (POA&lt;20 W/m2)]],4,0),"")</f>
        <v>0.78333333333333333</v>
      </c>
      <c r="K1150" s="27">
        <f>IFERROR((TA[[#This Row],[Sunset Time (POA&lt;20 W/m2)]]-TA[[#This Row],[Sunrise Time (POA&gt;20 W/m2)]])*24,"")</f>
        <v>12.833333333333332</v>
      </c>
      <c r="L1150" s="2" t="s">
        <v>287</v>
      </c>
      <c r="M1150" s="33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14" t="s">
        <v>309</v>
      </c>
      <c r="Q1150" s="2" t="s">
        <v>312</v>
      </c>
      <c r="R1150">
        <v>133</v>
      </c>
      <c r="S1150" s="2">
        <v>26</v>
      </c>
      <c r="T1150" t="s">
        <v>288</v>
      </c>
      <c r="U1150" t="s">
        <v>291</v>
      </c>
      <c r="V1150" t="s">
        <v>305</v>
      </c>
      <c r="W1150" s="32">
        <f>IFERROR(VLOOKUP(TA[[#This Row],[Date]],Raw_Data[[Date]:[Sunset Time (POA&lt;20 W/m2)]],3,0),"")</f>
        <v>0.24861111111111112</v>
      </c>
      <c r="X1150" s="32">
        <f>IFERROR(VLOOKUP(TA[[#This Row],[Date]],Raw_Data[[Date]:[Sunset Time (POA&lt;20 W/m2)]],3,0),"")</f>
        <v>0.24861111111111112</v>
      </c>
      <c r="Y1150" s="26"/>
      <c r="Z1150" s="26">
        <v>0.76041666666666663</v>
      </c>
      <c r="AA1150" s="27">
        <f>IF(TA[[#This Row],[Work Start time on Fault]]="NA","",(TA[[#This Row],[Fault Acknowledgement Time ]]-TA[[#This Row],[Fault Time]])*24)</f>
        <v>0</v>
      </c>
      <c r="AB1150" s="27">
        <f>(TA[[#This Row],[Work Start time on Fault]]-TA[[#This Row],[Fault Time]])*24</f>
        <v>-5.9666666666666668</v>
      </c>
      <c r="AC1150" s="26">
        <f>(TA[[#This Row],[Work Completion time on fault]]-TA[[#This Row],[Fault Time]])*24</f>
        <v>12.283333333333331</v>
      </c>
      <c r="AD1150" s="27">
        <f>IFERROR((TA[[#This Row],[Work Completion time on fault]]-TA[[#This Row],[Fault Time]])*24,"")</f>
        <v>12.283333333333331</v>
      </c>
      <c r="AE1150" t="s">
        <v>319</v>
      </c>
      <c r="AF1150" t="s">
        <v>247</v>
      </c>
      <c r="AG1150" s="2"/>
      <c r="AH1150" s="35">
        <f>1-COS(RADIANS(TA[[#This Row],[Avg. Target Angle during Fault Time (Radians)]]-TA[[#This Row],[Angle of affected equipment ]]))</f>
        <v>0.11705240714107301</v>
      </c>
      <c r="AI1150" s="27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43">
        <f t="shared" si="123"/>
        <v>2026</v>
      </c>
      <c r="C1151" s="116">
        <f t="shared" si="124"/>
        <v>2025</v>
      </c>
      <c r="D1151" s="2" t="s">
        <v>155</v>
      </c>
      <c r="E1151" s="2" t="s">
        <v>155</v>
      </c>
      <c r="F1151" s="30">
        <v>45809</v>
      </c>
      <c r="G1151" s="2">
        <f>DAY(EOMONTH(TA[[#This Row],[Month Year]],0))</f>
        <v>30</v>
      </c>
      <c r="H1151" s="21">
        <v>45825</v>
      </c>
      <c r="I1151" s="32">
        <f>IFERROR(VLOOKUP(TA[[#This Row],[Date]],Raw_Data[[Date]:[Sunset Time (POA&lt;20 W/m2)]],3,0),"")</f>
        <v>0.24861111111111112</v>
      </c>
      <c r="J1151" s="32">
        <f>IFERROR(VLOOKUP(TA[[#This Row],[Date]],Raw_Data[[Date]:[Sunset Time (POA&lt;20 W/m2)]],4,0),"")</f>
        <v>0.78333333333333333</v>
      </c>
      <c r="K1151" s="27">
        <f>IFERROR((TA[[#This Row],[Sunset Time (POA&lt;20 W/m2)]]-TA[[#This Row],[Sunrise Time (POA&gt;20 W/m2)]])*24,"")</f>
        <v>12.833333333333332</v>
      </c>
      <c r="L1151" s="2" t="s">
        <v>285</v>
      </c>
      <c r="M1151" s="33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14" t="s">
        <v>307</v>
      </c>
      <c r="Q1151" s="113" t="s">
        <v>308</v>
      </c>
      <c r="R1151">
        <v>7</v>
      </c>
      <c r="S1151" s="2">
        <v>32</v>
      </c>
      <c r="T1151" t="s">
        <v>286</v>
      </c>
      <c r="U1151" t="s">
        <v>291</v>
      </c>
      <c r="V1151" t="s">
        <v>289</v>
      </c>
      <c r="W1151" s="32"/>
      <c r="X1151" s="32"/>
      <c r="Y1151" s="26"/>
      <c r="Z1151" s="26"/>
      <c r="AA1151" s="27">
        <f>IF(TA[[#This Row],[Work Start time on Fault]]="NA","",(TA[[#This Row],[Fault Acknowledgement Time ]]-TA[[#This Row],[Fault Time]])*24)</f>
        <v>0</v>
      </c>
      <c r="AB1151" s="27">
        <f>(TA[[#This Row],[Work Start time on Fault]]-TA[[#This Row],[Fault Time]])*24</f>
        <v>0</v>
      </c>
      <c r="AC1151" s="26">
        <f>(TA[[#This Row],[Work Completion time on fault]]-TA[[#This Row],[Fault Time]])*24</f>
        <v>0</v>
      </c>
      <c r="AD1151" s="27">
        <f>IFERROR((TA[[#This Row],[Work Completion time on fault]]-TA[[#This Row],[Fault Time]])*24,"")</f>
        <v>0</v>
      </c>
      <c r="AE1151" t="s">
        <v>319</v>
      </c>
      <c r="AF1151" t="s">
        <v>247</v>
      </c>
      <c r="AG1151" s="2"/>
      <c r="AH1151" s="35">
        <f>1-COS(RADIANS(TA[[#This Row],[Avg. Target Angle during Fault Time (Radians)]]-TA[[#This Row],[Angle of affected equipment ]]))</f>
        <v>0.11705240714107301</v>
      </c>
      <c r="AI1151" s="27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43">
        <f t="shared" si="123"/>
        <v>2026</v>
      </c>
      <c r="C1152" s="116">
        <f t="shared" si="124"/>
        <v>2025</v>
      </c>
      <c r="D1152" s="2" t="s">
        <v>155</v>
      </c>
      <c r="E1152" s="2" t="s">
        <v>155</v>
      </c>
      <c r="F1152" s="30">
        <v>45809</v>
      </c>
      <c r="G1152" s="2">
        <f>DAY(EOMONTH(TA[[#This Row],[Month Year]],0))</f>
        <v>30</v>
      </c>
      <c r="H1152" s="21">
        <v>45825</v>
      </c>
      <c r="I1152" s="32">
        <f>IFERROR(VLOOKUP(TA[[#This Row],[Date]],Raw_Data[[Date]:[Sunset Time (POA&lt;20 W/m2)]],3,0),"")</f>
        <v>0.24861111111111112</v>
      </c>
      <c r="J1152" s="32">
        <f>IFERROR(VLOOKUP(TA[[#This Row],[Date]],Raw_Data[[Date]:[Sunset Time (POA&lt;20 W/m2)]],4,0),"")</f>
        <v>0.78333333333333333</v>
      </c>
      <c r="K1152" s="27">
        <f>IFERROR((TA[[#This Row],[Sunset Time (POA&lt;20 W/m2)]]-TA[[#This Row],[Sunrise Time (POA&gt;20 W/m2)]])*24,"")</f>
        <v>12.833333333333332</v>
      </c>
      <c r="L1152" s="2" t="s">
        <v>285</v>
      </c>
      <c r="M1152" s="33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14" t="s">
        <v>306</v>
      </c>
      <c r="Q1152" s="113" t="s">
        <v>310</v>
      </c>
      <c r="R1152">
        <v>166</v>
      </c>
      <c r="S1152" s="2">
        <v>91</v>
      </c>
      <c r="T1152" t="s">
        <v>286</v>
      </c>
      <c r="U1152" t="s">
        <v>291</v>
      </c>
      <c r="V1152" t="s">
        <v>289</v>
      </c>
      <c r="W1152" s="32"/>
      <c r="X1152" s="32"/>
      <c r="Y1152" s="26"/>
      <c r="Z1152" s="26"/>
      <c r="AA1152" s="27">
        <f>IF(TA[[#This Row],[Work Start time on Fault]]="NA","",(TA[[#This Row],[Fault Acknowledgement Time ]]-TA[[#This Row],[Fault Time]])*24)</f>
        <v>0</v>
      </c>
      <c r="AB1152" s="27">
        <f>(TA[[#This Row],[Work Start time on Fault]]-TA[[#This Row],[Fault Time]])*24</f>
        <v>0</v>
      </c>
      <c r="AC1152" s="26">
        <f>(TA[[#This Row],[Work Completion time on fault]]-TA[[#This Row],[Fault Time]])*24</f>
        <v>0</v>
      </c>
      <c r="AD1152" s="27">
        <f>IFERROR((TA[[#This Row],[Work Completion time on fault]]-TA[[#This Row],[Fault Time]])*24,"")</f>
        <v>0</v>
      </c>
      <c r="AE1152" t="s">
        <v>319</v>
      </c>
      <c r="AF1152" t="s">
        <v>247</v>
      </c>
      <c r="AG1152" s="2"/>
      <c r="AH1152" s="35">
        <f>1-COS(RADIANS(TA[[#This Row],[Avg. Target Angle during Fault Time (Radians)]]-TA[[#This Row],[Angle of affected equipment ]]))</f>
        <v>0.11705240714107301</v>
      </c>
      <c r="AI1152" s="27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43">
        <f t="shared" si="123"/>
        <v>2026</v>
      </c>
      <c r="C1153" s="116">
        <f t="shared" si="124"/>
        <v>2025</v>
      </c>
      <c r="D1153" s="2" t="s">
        <v>155</v>
      </c>
      <c r="E1153" s="2" t="s">
        <v>155</v>
      </c>
      <c r="F1153" s="30">
        <v>45809</v>
      </c>
      <c r="G1153" s="2">
        <f>DAY(EOMONTH(TA[[#This Row],[Month Year]],0))</f>
        <v>30</v>
      </c>
      <c r="H1153" s="21">
        <v>45825</v>
      </c>
      <c r="I1153" s="32">
        <f>IFERROR(VLOOKUP(TA[[#This Row],[Date]],Raw_Data[[Date]:[Sunset Time (POA&lt;20 W/m2)]],3,0),"")</f>
        <v>0.24861111111111112</v>
      </c>
      <c r="J1153" s="32">
        <f>IFERROR(VLOOKUP(TA[[#This Row],[Date]],Raw_Data[[Date]:[Sunset Time (POA&lt;20 W/m2)]],4,0),"")</f>
        <v>0.78333333333333333</v>
      </c>
      <c r="K1153" s="27">
        <f>IFERROR((TA[[#This Row],[Sunset Time (POA&lt;20 W/m2)]]-TA[[#This Row],[Sunrise Time (POA&gt;20 W/m2)]])*24,"")</f>
        <v>12.833333333333332</v>
      </c>
      <c r="L1153" s="2" t="s">
        <v>285</v>
      </c>
      <c r="M1153" s="33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14" t="s">
        <v>307</v>
      </c>
      <c r="Q1153" s="113" t="s">
        <v>307</v>
      </c>
      <c r="R1153">
        <v>117</v>
      </c>
      <c r="S1153" s="2">
        <v>20</v>
      </c>
      <c r="T1153" t="s">
        <v>286</v>
      </c>
      <c r="U1153" t="s">
        <v>291</v>
      </c>
      <c r="V1153" t="s">
        <v>289</v>
      </c>
      <c r="W1153" s="32"/>
      <c r="X1153" s="32"/>
      <c r="Y1153" s="26"/>
      <c r="Z1153" s="26"/>
      <c r="AA1153" s="27">
        <f>IF(TA[[#This Row],[Work Start time on Fault]]="NA","",(TA[[#This Row],[Fault Acknowledgement Time ]]-TA[[#This Row],[Fault Time]])*24)</f>
        <v>0</v>
      </c>
      <c r="AB1153" s="27">
        <f>(TA[[#This Row],[Work Start time on Fault]]-TA[[#This Row],[Fault Time]])*24</f>
        <v>0</v>
      </c>
      <c r="AC1153" s="26">
        <f>(TA[[#This Row],[Work Completion time on fault]]-TA[[#This Row],[Fault Time]])*24</f>
        <v>0</v>
      </c>
      <c r="AD1153" s="27">
        <f>IFERROR((TA[[#This Row],[Work Completion time on fault]]-TA[[#This Row],[Fault Time]])*24,"")</f>
        <v>0</v>
      </c>
      <c r="AE1153" t="s">
        <v>319</v>
      </c>
      <c r="AF1153" t="s">
        <v>247</v>
      </c>
      <c r="AG1153" s="2"/>
      <c r="AH1153" s="35">
        <f>1-COS(RADIANS(TA[[#This Row],[Avg. Target Angle during Fault Time (Radians)]]-TA[[#This Row],[Angle of affected equipment ]]))</f>
        <v>0.11705240714107301</v>
      </c>
      <c r="AI1153" s="27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43">
        <f t="shared" si="123"/>
        <v>2026</v>
      </c>
      <c r="C1154" s="116">
        <f t="shared" si="124"/>
        <v>2025</v>
      </c>
      <c r="D1154" s="2" t="s">
        <v>155</v>
      </c>
      <c r="E1154" s="2" t="s">
        <v>155</v>
      </c>
      <c r="F1154" s="30">
        <v>45809</v>
      </c>
      <c r="G1154" s="2">
        <f>DAY(EOMONTH(TA[[#This Row],[Month Year]],0))</f>
        <v>30</v>
      </c>
      <c r="H1154" s="21">
        <v>45825</v>
      </c>
      <c r="I1154" s="32">
        <f>IFERROR(VLOOKUP(TA[[#This Row],[Date]],Raw_Data[[Date]:[Sunset Time (POA&lt;20 W/m2)]],3,0),"")</f>
        <v>0.24861111111111112</v>
      </c>
      <c r="J1154" s="32">
        <f>IFERROR(VLOOKUP(TA[[#This Row],[Date]],Raw_Data[[Date]:[Sunset Time (POA&lt;20 W/m2)]],4,0),"")</f>
        <v>0.78333333333333333</v>
      </c>
      <c r="K1154" s="27">
        <f>IFERROR((TA[[#This Row],[Sunset Time (POA&lt;20 W/m2)]]-TA[[#This Row],[Sunrise Time (POA&gt;20 W/m2)]])*24,"")</f>
        <v>12.833333333333332</v>
      </c>
      <c r="L1154" s="2" t="s">
        <v>285</v>
      </c>
      <c r="M1154" s="33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14" t="s">
        <v>307</v>
      </c>
      <c r="Q1154" s="113" t="s">
        <v>307</v>
      </c>
      <c r="R1154">
        <v>118</v>
      </c>
      <c r="S1154" s="2">
        <v>22</v>
      </c>
      <c r="T1154" t="s">
        <v>286</v>
      </c>
      <c r="U1154" t="s">
        <v>291</v>
      </c>
      <c r="V1154" t="s">
        <v>289</v>
      </c>
      <c r="W1154" s="32"/>
      <c r="X1154" s="32"/>
      <c r="Y1154" s="26"/>
      <c r="Z1154" s="26"/>
      <c r="AA1154" s="27">
        <f>IF(TA[[#This Row],[Work Start time on Fault]]="NA","",(TA[[#This Row],[Fault Acknowledgement Time ]]-TA[[#This Row],[Fault Time]])*24)</f>
        <v>0</v>
      </c>
      <c r="AB1154" s="27">
        <f>(TA[[#This Row],[Work Start time on Fault]]-TA[[#This Row],[Fault Time]])*24</f>
        <v>0</v>
      </c>
      <c r="AC1154" s="26">
        <f>(TA[[#This Row],[Work Completion time on fault]]-TA[[#This Row],[Fault Time]])*24</f>
        <v>0</v>
      </c>
      <c r="AD1154" s="27">
        <f>IFERROR((TA[[#This Row],[Work Completion time on fault]]-TA[[#This Row],[Fault Time]])*24,"")</f>
        <v>0</v>
      </c>
      <c r="AE1154" t="s">
        <v>319</v>
      </c>
      <c r="AF1154" t="s">
        <v>247</v>
      </c>
      <c r="AG1154" s="2"/>
      <c r="AH1154" s="35">
        <f>1-COS(RADIANS(TA[[#This Row],[Avg. Target Angle during Fault Time (Radians)]]-TA[[#This Row],[Angle of affected equipment ]]))</f>
        <v>0.11705240714107301</v>
      </c>
      <c r="AI1154" s="27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43">
        <f t="shared" si="123"/>
        <v>2026</v>
      </c>
      <c r="C1155" s="116">
        <f t="shared" si="124"/>
        <v>2025</v>
      </c>
      <c r="D1155" s="2" t="s">
        <v>155</v>
      </c>
      <c r="E1155" s="2" t="s">
        <v>155</v>
      </c>
      <c r="F1155" s="30">
        <v>45809</v>
      </c>
      <c r="G1155" s="2">
        <f>DAY(EOMONTH(TA[[#This Row],[Month Year]],0))</f>
        <v>30</v>
      </c>
      <c r="H1155" s="21">
        <v>45825</v>
      </c>
      <c r="I1155" s="32">
        <f>IFERROR(VLOOKUP(TA[[#This Row],[Date]],Raw_Data[[Date]:[Sunset Time (POA&lt;20 W/m2)]],3,0),"")</f>
        <v>0.24861111111111112</v>
      </c>
      <c r="J1155" s="32">
        <f>IFERROR(VLOOKUP(TA[[#This Row],[Date]],Raw_Data[[Date]:[Sunset Time (POA&lt;20 W/m2)]],4,0),"")</f>
        <v>0.78333333333333333</v>
      </c>
      <c r="K1155" s="27">
        <f>IFERROR((TA[[#This Row],[Sunset Time (POA&lt;20 W/m2)]]-TA[[#This Row],[Sunrise Time (POA&gt;20 W/m2)]])*24,"")</f>
        <v>12.833333333333332</v>
      </c>
      <c r="L1155" s="2" t="s">
        <v>287</v>
      </c>
      <c r="M1155" s="33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314</v>
      </c>
      <c r="Q1155" s="2" t="s">
        <v>320</v>
      </c>
      <c r="R1155">
        <v>45</v>
      </c>
      <c r="S1155" s="2">
        <v>8</v>
      </c>
      <c r="T1155" t="s">
        <v>288</v>
      </c>
      <c r="U1155" t="s">
        <v>291</v>
      </c>
      <c r="V1155" t="s">
        <v>292</v>
      </c>
      <c r="W1155" s="32"/>
      <c r="X1155" s="32"/>
      <c r="Y1155" s="26"/>
      <c r="Z1155" s="26"/>
      <c r="AA1155" s="27">
        <f>IF(TA[[#This Row],[Work Start time on Fault]]="NA","",(TA[[#This Row],[Fault Acknowledgement Time ]]-TA[[#This Row],[Fault Time]])*24)</f>
        <v>0</v>
      </c>
      <c r="AB1155" s="27">
        <f>(TA[[#This Row],[Work Start time on Fault]]-TA[[#This Row],[Fault Time]])*24</f>
        <v>0</v>
      </c>
      <c r="AC1155" s="26">
        <f>(TA[[#This Row],[Work Completion time on fault]]-TA[[#This Row],[Fault Time]])*24</f>
        <v>0</v>
      </c>
      <c r="AD1155" s="27">
        <f>IFERROR((TA[[#This Row],[Work Completion time on fault]]-TA[[#This Row],[Fault Time]])*24,"")</f>
        <v>0</v>
      </c>
      <c r="AE1155" t="s">
        <v>319</v>
      </c>
      <c r="AF1155" t="s">
        <v>247</v>
      </c>
      <c r="AG1155" s="2"/>
      <c r="AH1155" s="35">
        <f>1-COS(RADIANS(TA[[#This Row],[Avg. Target Angle during Fault Time (Radians)]]-TA[[#This Row],[Angle of affected equipment ]]))</f>
        <v>0.11705240714107301</v>
      </c>
      <c r="AI1155" s="27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43">
        <f t="shared" si="123"/>
        <v>2026</v>
      </c>
      <c r="C1156" s="116">
        <f t="shared" si="124"/>
        <v>2025</v>
      </c>
      <c r="D1156" s="2" t="s">
        <v>155</v>
      </c>
      <c r="E1156" s="2" t="s">
        <v>155</v>
      </c>
      <c r="F1156" s="30">
        <v>45809</v>
      </c>
      <c r="G1156" s="2">
        <f>DAY(EOMONTH(TA[[#This Row],[Month Year]],0))</f>
        <v>30</v>
      </c>
      <c r="H1156" s="21">
        <v>45825</v>
      </c>
      <c r="I1156" s="32">
        <f>IFERROR(VLOOKUP(TA[[#This Row],[Date]],Raw_Data[[Date]:[Sunset Time (POA&lt;20 W/m2)]],3,0),"")</f>
        <v>0.24861111111111112</v>
      </c>
      <c r="J1156" s="32">
        <f>IFERROR(VLOOKUP(TA[[#This Row],[Date]],Raw_Data[[Date]:[Sunset Time (POA&lt;20 W/m2)]],4,0),"")</f>
        <v>0.78333333333333333</v>
      </c>
      <c r="K1156" s="27">
        <f>IFERROR((TA[[#This Row],[Sunset Time (POA&lt;20 W/m2)]]-TA[[#This Row],[Sunrise Time (POA&gt;20 W/m2)]])*24,"")</f>
        <v>12.833333333333332</v>
      </c>
      <c r="L1156" s="2" t="s">
        <v>287</v>
      </c>
      <c r="M1156" s="33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314</v>
      </c>
      <c r="Q1156" s="2" t="s">
        <v>320</v>
      </c>
      <c r="R1156">
        <v>47</v>
      </c>
      <c r="S1156" s="2">
        <v>18</v>
      </c>
      <c r="T1156" t="s">
        <v>288</v>
      </c>
      <c r="U1156" t="s">
        <v>291</v>
      </c>
      <c r="V1156" t="s">
        <v>292</v>
      </c>
      <c r="W1156" s="32"/>
      <c r="X1156" s="32"/>
      <c r="Y1156" s="26"/>
      <c r="Z1156" s="26"/>
      <c r="AA1156" s="27">
        <f>IF(TA[[#This Row],[Work Start time on Fault]]="NA","",(TA[[#This Row],[Fault Acknowledgement Time ]]-TA[[#This Row],[Fault Time]])*24)</f>
        <v>0</v>
      </c>
      <c r="AB1156" s="27">
        <f>(TA[[#This Row],[Work Start time on Fault]]-TA[[#This Row],[Fault Time]])*24</f>
        <v>0</v>
      </c>
      <c r="AC1156" s="26">
        <f>(TA[[#This Row],[Work Completion time on fault]]-TA[[#This Row],[Fault Time]])*24</f>
        <v>0</v>
      </c>
      <c r="AD1156" s="27">
        <f>IFERROR((TA[[#This Row],[Work Completion time on fault]]-TA[[#This Row],[Fault Time]])*24,"")</f>
        <v>0</v>
      </c>
      <c r="AE1156" t="s">
        <v>319</v>
      </c>
      <c r="AF1156" t="s">
        <v>247</v>
      </c>
      <c r="AG1156" s="2"/>
      <c r="AH1156" s="35">
        <f>1-COS(RADIANS(TA[[#This Row],[Avg. Target Angle during Fault Time (Radians)]]-TA[[#This Row],[Angle of affected equipment ]]))</f>
        <v>0.11705240714107301</v>
      </c>
      <c r="AI1156" s="27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43">
        <f t="shared" si="123"/>
        <v>2026</v>
      </c>
      <c r="C1157" s="116">
        <f t="shared" si="124"/>
        <v>2025</v>
      </c>
      <c r="D1157" s="2" t="s">
        <v>155</v>
      </c>
      <c r="E1157" s="2" t="s">
        <v>155</v>
      </c>
      <c r="F1157" s="30">
        <v>45809</v>
      </c>
      <c r="G1157" s="2">
        <f>DAY(EOMONTH(TA[[#This Row],[Month Year]],0))</f>
        <v>30</v>
      </c>
      <c r="H1157" s="21">
        <v>45825</v>
      </c>
      <c r="I1157" s="32">
        <f>IFERROR(VLOOKUP(TA[[#This Row],[Date]],Raw_Data[[Date]:[Sunset Time (POA&lt;20 W/m2)]],3,0),"")</f>
        <v>0.24861111111111112</v>
      </c>
      <c r="J1157" s="32">
        <f>IFERROR(VLOOKUP(TA[[#This Row],[Date]],Raw_Data[[Date]:[Sunset Time (POA&lt;20 W/m2)]],4,0),"")</f>
        <v>0.78333333333333333</v>
      </c>
      <c r="K1157" s="27">
        <f>IFERROR((TA[[#This Row],[Sunset Time (POA&lt;20 W/m2)]]-TA[[#This Row],[Sunrise Time (POA&gt;20 W/m2)]])*24,"")</f>
        <v>12.833333333333332</v>
      </c>
      <c r="L1157" s="2" t="s">
        <v>287</v>
      </c>
      <c r="M1157" s="33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321</v>
      </c>
      <c r="Q1157" s="2" t="s">
        <v>314</v>
      </c>
      <c r="R1157">
        <v>30</v>
      </c>
      <c r="S1157" s="2">
        <v>57</v>
      </c>
      <c r="T1157" t="s">
        <v>288</v>
      </c>
      <c r="U1157" t="s">
        <v>291</v>
      </c>
      <c r="V1157" t="s">
        <v>292</v>
      </c>
      <c r="W1157" s="32"/>
      <c r="X1157" s="32"/>
      <c r="Y1157" s="26"/>
      <c r="Z1157" s="26"/>
      <c r="AA1157" s="27">
        <f>IF(TA[[#This Row],[Work Start time on Fault]]="NA","",(TA[[#This Row],[Fault Acknowledgement Time ]]-TA[[#This Row],[Fault Time]])*24)</f>
        <v>0</v>
      </c>
      <c r="AB1157" s="27">
        <f>(TA[[#This Row],[Work Start time on Fault]]-TA[[#This Row],[Fault Time]])*24</f>
        <v>0</v>
      </c>
      <c r="AC1157" s="26">
        <f>(TA[[#This Row],[Work Completion time on fault]]-TA[[#This Row],[Fault Time]])*24</f>
        <v>0</v>
      </c>
      <c r="AD1157" s="27">
        <f>IFERROR((TA[[#This Row],[Work Completion time on fault]]-TA[[#This Row],[Fault Time]])*24,"")</f>
        <v>0</v>
      </c>
      <c r="AE1157" t="s">
        <v>319</v>
      </c>
      <c r="AF1157" t="s">
        <v>247</v>
      </c>
      <c r="AG1157" s="2"/>
      <c r="AH1157" s="35">
        <f>1-COS(RADIANS(TA[[#This Row],[Avg. Target Angle during Fault Time (Radians)]]-TA[[#This Row],[Angle of affected equipment ]]))</f>
        <v>0.11705240714107301</v>
      </c>
      <c r="AI1157" s="27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43">
        <f t="shared" si="123"/>
        <v>2026</v>
      </c>
      <c r="C1158" s="116">
        <f t="shared" si="124"/>
        <v>2025</v>
      </c>
      <c r="D1158" s="2" t="s">
        <v>155</v>
      </c>
      <c r="E1158" s="2" t="s">
        <v>155</v>
      </c>
      <c r="F1158" s="30">
        <v>45809</v>
      </c>
      <c r="G1158" s="2">
        <f>DAY(EOMONTH(TA[[#This Row],[Month Year]],0))</f>
        <v>30</v>
      </c>
      <c r="H1158" s="21">
        <v>45825</v>
      </c>
      <c r="I1158" s="32">
        <f>IFERROR(VLOOKUP(TA[[#This Row],[Date]],Raw_Data[[Date]:[Sunset Time (POA&lt;20 W/m2)]],3,0),"")</f>
        <v>0.24861111111111112</v>
      </c>
      <c r="J1158" s="32">
        <f>IFERROR(VLOOKUP(TA[[#This Row],[Date]],Raw_Data[[Date]:[Sunset Time (POA&lt;20 W/m2)]],4,0),"")</f>
        <v>0.78333333333333333</v>
      </c>
      <c r="K1158" s="27">
        <f>IFERROR((TA[[#This Row],[Sunset Time (POA&lt;20 W/m2)]]-TA[[#This Row],[Sunrise Time (POA&gt;20 W/m2)]])*24,"")</f>
        <v>12.833333333333332</v>
      </c>
      <c r="L1158" s="2" t="s">
        <v>287</v>
      </c>
      <c r="M1158" s="33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321</v>
      </c>
      <c r="Q1158" s="2" t="s">
        <v>314</v>
      </c>
      <c r="R1158">
        <v>31</v>
      </c>
      <c r="S1158" s="2">
        <v>61</v>
      </c>
      <c r="T1158" t="s">
        <v>288</v>
      </c>
      <c r="U1158" t="s">
        <v>291</v>
      </c>
      <c r="V1158" t="s">
        <v>292</v>
      </c>
      <c r="W1158" s="32"/>
      <c r="X1158" s="32"/>
      <c r="Y1158" s="26"/>
      <c r="Z1158" s="26"/>
      <c r="AA1158" s="27">
        <f>IF(TA[[#This Row],[Work Start time on Fault]]="NA","",(TA[[#This Row],[Fault Acknowledgement Time ]]-TA[[#This Row],[Fault Time]])*24)</f>
        <v>0</v>
      </c>
      <c r="AB1158" s="27">
        <f>(TA[[#This Row],[Work Start time on Fault]]-TA[[#This Row],[Fault Time]])*24</f>
        <v>0</v>
      </c>
      <c r="AC1158" s="26">
        <f>(TA[[#This Row],[Work Completion time on fault]]-TA[[#This Row],[Fault Time]])*24</f>
        <v>0</v>
      </c>
      <c r="AD1158" s="27">
        <f>IFERROR((TA[[#This Row],[Work Completion time on fault]]-TA[[#This Row],[Fault Time]])*24,"")</f>
        <v>0</v>
      </c>
      <c r="AE1158" t="s">
        <v>319</v>
      </c>
      <c r="AF1158" t="s">
        <v>247</v>
      </c>
      <c r="AG1158" s="2"/>
      <c r="AH1158" s="35">
        <f>1-COS(RADIANS(TA[[#This Row],[Avg. Target Angle during Fault Time (Radians)]]-TA[[#This Row],[Angle of affected equipment ]]))</f>
        <v>0.11705240714107301</v>
      </c>
      <c r="AI1158" s="27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43">
        <f t="shared" si="123"/>
        <v>2026</v>
      </c>
      <c r="C1159" s="116">
        <f t="shared" si="124"/>
        <v>2025</v>
      </c>
      <c r="D1159" s="2" t="s">
        <v>155</v>
      </c>
      <c r="E1159" s="2" t="s">
        <v>155</v>
      </c>
      <c r="F1159" s="30">
        <v>45809</v>
      </c>
      <c r="G1159" s="2">
        <f>DAY(EOMONTH(TA[[#This Row],[Month Year]],0))</f>
        <v>30</v>
      </c>
      <c r="H1159" s="21">
        <v>45825</v>
      </c>
      <c r="I1159" s="32">
        <f>IFERROR(VLOOKUP(TA[[#This Row],[Date]],Raw_Data[[Date]:[Sunset Time (POA&lt;20 W/m2)]],3,0),"")</f>
        <v>0.24861111111111112</v>
      </c>
      <c r="J1159" s="32">
        <f>IFERROR(VLOOKUP(TA[[#This Row],[Date]],Raw_Data[[Date]:[Sunset Time (POA&lt;20 W/m2)]],4,0),"")</f>
        <v>0.78333333333333333</v>
      </c>
      <c r="K1159" s="27">
        <f>IFERROR((TA[[#This Row],[Sunset Time (POA&lt;20 W/m2)]]-TA[[#This Row],[Sunrise Time (POA&gt;20 W/m2)]])*24,"")</f>
        <v>12.833333333333332</v>
      </c>
      <c r="L1159" s="2" t="s">
        <v>303</v>
      </c>
      <c r="M1159" s="33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321</v>
      </c>
      <c r="Q1159" s="2" t="s">
        <v>314</v>
      </c>
      <c r="R1159">
        <v>26</v>
      </c>
      <c r="S1159" s="2">
        <v>37</v>
      </c>
      <c r="T1159" t="s">
        <v>288</v>
      </c>
      <c r="U1159" t="s">
        <v>291</v>
      </c>
      <c r="V1159" t="s">
        <v>292</v>
      </c>
      <c r="W1159" s="32"/>
      <c r="X1159" s="32"/>
      <c r="Y1159" s="26"/>
      <c r="Z1159" s="26"/>
      <c r="AA1159" s="27">
        <f>IF(TA[[#This Row],[Work Start time on Fault]]="NA","",(TA[[#This Row],[Fault Acknowledgement Time ]]-TA[[#This Row],[Fault Time]])*24)</f>
        <v>0</v>
      </c>
      <c r="AB1159" s="27">
        <f>(TA[[#This Row],[Work Start time on Fault]]-TA[[#This Row],[Fault Time]])*24</f>
        <v>0</v>
      </c>
      <c r="AC1159" s="26">
        <f>(TA[[#This Row],[Work Completion time on fault]]-TA[[#This Row],[Fault Time]])*24</f>
        <v>0</v>
      </c>
      <c r="AD1159" s="27">
        <f>IFERROR((TA[[#This Row],[Work Completion time on fault]]-TA[[#This Row],[Fault Time]])*24,"")</f>
        <v>0</v>
      </c>
      <c r="AE1159" t="s">
        <v>319</v>
      </c>
      <c r="AF1159" t="s">
        <v>247</v>
      </c>
      <c r="AG1159" s="2"/>
      <c r="AH1159" s="35">
        <f>1-COS(RADIANS(TA[[#This Row],[Avg. Target Angle during Fault Time (Radians)]]-TA[[#This Row],[Angle of affected equipment ]]))</f>
        <v>0.11705240714107301</v>
      </c>
      <c r="AI1159" s="27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43">
        <f t="shared" si="123"/>
        <v>2026</v>
      </c>
      <c r="C1160" s="116">
        <f t="shared" si="124"/>
        <v>2025</v>
      </c>
      <c r="D1160" s="2" t="s">
        <v>155</v>
      </c>
      <c r="E1160" s="2" t="s">
        <v>155</v>
      </c>
      <c r="F1160" s="30">
        <v>45809</v>
      </c>
      <c r="G1160" s="2">
        <f>DAY(EOMONTH(TA[[#This Row],[Month Year]],0))</f>
        <v>30</v>
      </c>
      <c r="H1160" s="21">
        <v>45825</v>
      </c>
      <c r="I1160" s="32">
        <f>IFERROR(VLOOKUP(TA[[#This Row],[Date]],Raw_Data[[Date]:[Sunset Time (POA&lt;20 W/m2)]],3,0),"")</f>
        <v>0.24861111111111112</v>
      </c>
      <c r="J1160" s="32">
        <f>IFERROR(VLOOKUP(TA[[#This Row],[Date]],Raw_Data[[Date]:[Sunset Time (POA&lt;20 W/m2)]],4,0),"")</f>
        <v>0.78333333333333333</v>
      </c>
      <c r="K1160" s="27">
        <f>IFERROR((TA[[#This Row],[Sunset Time (POA&lt;20 W/m2)]]-TA[[#This Row],[Sunrise Time (POA&gt;20 W/m2)]])*24,"")</f>
        <v>12.833333333333332</v>
      </c>
      <c r="L1160" s="2" t="s">
        <v>303</v>
      </c>
      <c r="M1160" s="33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321</v>
      </c>
      <c r="Q1160" s="2" t="s">
        <v>314</v>
      </c>
      <c r="R1160">
        <v>27</v>
      </c>
      <c r="S1160" s="2">
        <v>42</v>
      </c>
      <c r="T1160" t="s">
        <v>288</v>
      </c>
      <c r="U1160" t="s">
        <v>291</v>
      </c>
      <c r="V1160" t="s">
        <v>292</v>
      </c>
      <c r="W1160" s="32">
        <f>IFERROR(VLOOKUP(TA[[#This Row],[Date]],Raw_Data[[Date]:[Sunset Time (POA&lt;20 W/m2)]],3,0),"")</f>
        <v>0.24861111111111112</v>
      </c>
      <c r="X1160" s="32">
        <f>IFERROR(VLOOKUP(TA[[#This Row],[Date]],Raw_Data[[Date]:[Sunset Time (POA&lt;20 W/m2)]],3,0),"")</f>
        <v>0.24861111111111112</v>
      </c>
      <c r="Y1160" s="26"/>
      <c r="Z1160" s="26">
        <v>0.76041666666666663</v>
      </c>
      <c r="AA1160" s="27">
        <f>IF(TA[[#This Row],[Work Start time on Fault]]="NA","",(TA[[#This Row],[Fault Acknowledgement Time ]]-TA[[#This Row],[Fault Time]])*24)</f>
        <v>0</v>
      </c>
      <c r="AB1160" s="27">
        <f>(TA[[#This Row],[Work Start time on Fault]]-TA[[#This Row],[Fault Time]])*24</f>
        <v>-5.9666666666666668</v>
      </c>
      <c r="AC1160" s="26">
        <f>(TA[[#This Row],[Work Completion time on fault]]-TA[[#This Row],[Fault Time]])*24</f>
        <v>12.283333333333331</v>
      </c>
      <c r="AD1160" s="27">
        <f>IFERROR((TA[[#This Row],[Work Completion time on fault]]-TA[[#This Row],[Fault Time]])*24,"")</f>
        <v>12.283333333333331</v>
      </c>
      <c r="AE1160" t="s">
        <v>300</v>
      </c>
      <c r="AF1160" t="s">
        <v>247</v>
      </c>
      <c r="AG1160" s="2"/>
      <c r="AH1160" s="35">
        <f>1-COS(RADIANS(TA[[#This Row],[Avg. Target Angle during Fault Time (Radians)]]-TA[[#This Row],[Angle of affected equipment ]]))</f>
        <v>0.11705240714107301</v>
      </c>
      <c r="AI1160" s="27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43">
        <f t="shared" ref="B1161:B1173" si="125">YEAR(H1161)+IF(MONTH(H1161)&gt;=4,1,0)</f>
        <v>2026</v>
      </c>
      <c r="C1161" s="116">
        <f t="shared" ref="C1161:C1173" si="126">YEAR(H1161)</f>
        <v>2025</v>
      </c>
      <c r="D1161" s="2" t="s">
        <v>155</v>
      </c>
      <c r="E1161" s="2" t="s">
        <v>155</v>
      </c>
      <c r="F1161" s="30">
        <v>45809</v>
      </c>
      <c r="G1161" s="2">
        <f>DAY(EOMONTH(TA[[#This Row],[Month Year]],0))</f>
        <v>30</v>
      </c>
      <c r="H1161" s="21">
        <v>45826</v>
      </c>
      <c r="I1161" s="32">
        <f>IFERROR(VLOOKUP(TA[[#This Row],[Date]],Raw_Data[[Date]:[Sunset Time (POA&lt;20 W/m2)]],3,0),"")</f>
        <v>0.24444444444444444</v>
      </c>
      <c r="J1161" s="32">
        <f>IFERROR(VLOOKUP(TA[[#This Row],[Date]],Raw_Data[[Date]:[Sunset Time (POA&lt;20 W/m2)]],4,0),"")</f>
        <v>0.77430555555555558</v>
      </c>
      <c r="K1161" s="27">
        <f>IFERROR((TA[[#This Row],[Sunset Time (POA&lt;20 W/m2)]]-TA[[#This Row],[Sunrise Time (POA&gt;20 W/m2)]])*24,"")</f>
        <v>12.716666666666667</v>
      </c>
      <c r="L1161" s="2" t="s">
        <v>285</v>
      </c>
      <c r="M1161" s="33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14" t="s">
        <v>309</v>
      </c>
      <c r="Q1161" s="113" t="s">
        <v>309</v>
      </c>
      <c r="R1161">
        <v>131</v>
      </c>
      <c r="S1161" s="2">
        <v>38</v>
      </c>
      <c r="T1161" t="s">
        <v>286</v>
      </c>
      <c r="U1161" t="s">
        <v>291</v>
      </c>
      <c r="V1161" t="s">
        <v>289</v>
      </c>
      <c r="W1161" s="32"/>
      <c r="X1161" s="32"/>
      <c r="Y1161" s="26"/>
      <c r="Z1161" s="26"/>
      <c r="AA1161" s="27">
        <f>IF(TA[[#This Row],[Work Start time on Fault]]="NA","",(TA[[#This Row],[Fault Acknowledgement Time ]]-TA[[#This Row],[Fault Time]])*24)</f>
        <v>0</v>
      </c>
      <c r="AB1161" s="27">
        <f>(TA[[#This Row],[Work Start time on Fault]]-TA[[#This Row],[Fault Time]])*24</f>
        <v>0</v>
      </c>
      <c r="AC1161" s="26">
        <f>(TA[[#This Row],[Work Completion time on fault]]-TA[[#This Row],[Fault Time]])*24</f>
        <v>0</v>
      </c>
      <c r="AD1161" s="27">
        <f>IFERROR((TA[[#This Row],[Work Completion time on fault]]-TA[[#This Row],[Fault Time]])*24,"")</f>
        <v>0</v>
      </c>
      <c r="AE1161" t="s">
        <v>319</v>
      </c>
      <c r="AF1161" t="s">
        <v>247</v>
      </c>
      <c r="AG1161" s="2"/>
      <c r="AH1161" s="35">
        <f>1-COS(RADIANS(TA[[#This Row],[Avg. Target Angle during Fault Time (Radians)]]-TA[[#This Row],[Angle of affected equipment ]]))</f>
        <v>0.11705240714107301</v>
      </c>
      <c r="AI1161" s="27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43">
        <f t="shared" si="125"/>
        <v>2026</v>
      </c>
      <c r="C1162" s="116">
        <f t="shared" si="126"/>
        <v>2025</v>
      </c>
      <c r="D1162" s="2" t="s">
        <v>155</v>
      </c>
      <c r="E1162" s="2" t="s">
        <v>155</v>
      </c>
      <c r="F1162" s="30">
        <v>45809</v>
      </c>
      <c r="G1162" s="2">
        <f>DAY(EOMONTH(TA[[#This Row],[Month Year]],0))</f>
        <v>30</v>
      </c>
      <c r="H1162" s="21">
        <v>45826</v>
      </c>
      <c r="I1162" s="32">
        <f>IFERROR(VLOOKUP(TA[[#This Row],[Date]],Raw_Data[[Date]:[Sunset Time (POA&lt;20 W/m2)]],3,0),"")</f>
        <v>0.24444444444444444</v>
      </c>
      <c r="J1162" s="32">
        <f>IFERROR(VLOOKUP(TA[[#This Row],[Date]],Raw_Data[[Date]:[Sunset Time (POA&lt;20 W/m2)]],4,0),"")</f>
        <v>0.77430555555555558</v>
      </c>
      <c r="K1162" s="27">
        <f>IFERROR((TA[[#This Row],[Sunset Time (POA&lt;20 W/m2)]]-TA[[#This Row],[Sunrise Time (POA&gt;20 W/m2)]])*24,"")</f>
        <v>12.716666666666667</v>
      </c>
      <c r="L1162" s="2" t="s">
        <v>285</v>
      </c>
      <c r="M1162" s="33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14" t="s">
        <v>309</v>
      </c>
      <c r="Q1162" s="113" t="s">
        <v>309</v>
      </c>
      <c r="R1162">
        <v>131</v>
      </c>
      <c r="S1162" s="2">
        <v>39</v>
      </c>
      <c r="T1162" t="s">
        <v>286</v>
      </c>
      <c r="U1162" t="s">
        <v>291</v>
      </c>
      <c r="V1162" t="s">
        <v>289</v>
      </c>
      <c r="W1162" s="32"/>
      <c r="X1162" s="32"/>
      <c r="Y1162" s="26"/>
      <c r="Z1162" s="26"/>
      <c r="AA1162" s="27">
        <f>IF(TA[[#This Row],[Work Start time on Fault]]="NA","",(TA[[#This Row],[Fault Acknowledgement Time ]]-TA[[#This Row],[Fault Time]])*24)</f>
        <v>0</v>
      </c>
      <c r="AB1162" s="27">
        <f>(TA[[#This Row],[Work Start time on Fault]]-TA[[#This Row],[Fault Time]])*24</f>
        <v>0</v>
      </c>
      <c r="AC1162" s="26">
        <f>(TA[[#This Row],[Work Completion time on fault]]-TA[[#This Row],[Fault Time]])*24</f>
        <v>0</v>
      </c>
      <c r="AD1162" s="27">
        <f>IFERROR((TA[[#This Row],[Work Completion time on fault]]-TA[[#This Row],[Fault Time]])*24,"")</f>
        <v>0</v>
      </c>
      <c r="AE1162" t="s">
        <v>319</v>
      </c>
      <c r="AF1162" t="s">
        <v>247</v>
      </c>
      <c r="AG1162" s="2"/>
      <c r="AH1162" s="35">
        <f>1-COS(RADIANS(TA[[#This Row],[Avg. Target Angle during Fault Time (Radians)]]-TA[[#This Row],[Angle of affected equipment ]]))</f>
        <v>0.11705240714107301</v>
      </c>
      <c r="AI1162" s="27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43">
        <f t="shared" si="125"/>
        <v>2026</v>
      </c>
      <c r="C1163" s="116">
        <f t="shared" si="126"/>
        <v>2025</v>
      </c>
      <c r="D1163" s="2" t="s">
        <v>155</v>
      </c>
      <c r="E1163" s="2" t="s">
        <v>155</v>
      </c>
      <c r="F1163" s="30">
        <v>45809</v>
      </c>
      <c r="G1163" s="2">
        <f>DAY(EOMONTH(TA[[#This Row],[Month Year]],0))</f>
        <v>30</v>
      </c>
      <c r="H1163" s="21">
        <v>45826</v>
      </c>
      <c r="I1163" s="32">
        <f>IFERROR(VLOOKUP(TA[[#This Row],[Date]],Raw_Data[[Date]:[Sunset Time (POA&lt;20 W/m2)]],3,0),"")</f>
        <v>0.24444444444444444</v>
      </c>
      <c r="J1163" s="32">
        <f>IFERROR(VLOOKUP(TA[[#This Row],[Date]],Raw_Data[[Date]:[Sunset Time (POA&lt;20 W/m2)]],4,0),"")</f>
        <v>0.77430555555555558</v>
      </c>
      <c r="K1163" s="27">
        <f>IFERROR((TA[[#This Row],[Sunset Time (POA&lt;20 W/m2)]]-TA[[#This Row],[Sunrise Time (POA&gt;20 W/m2)]])*24,"")</f>
        <v>12.716666666666667</v>
      </c>
      <c r="L1163" s="2" t="s">
        <v>287</v>
      </c>
      <c r="M1163" s="33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14" t="s">
        <v>309</v>
      </c>
      <c r="Q1163" s="2" t="s">
        <v>312</v>
      </c>
      <c r="R1163">
        <v>133</v>
      </c>
      <c r="S1163" s="2">
        <v>26</v>
      </c>
      <c r="T1163" t="s">
        <v>288</v>
      </c>
      <c r="U1163" t="s">
        <v>291</v>
      </c>
      <c r="V1163" t="s">
        <v>305</v>
      </c>
      <c r="W1163" s="32">
        <f>IFERROR(VLOOKUP(TA[[#This Row],[Date]],Raw_Data[[Date]:[Sunset Time (POA&lt;20 W/m2)]],3,0),"")</f>
        <v>0.24444444444444444</v>
      </c>
      <c r="X1163" s="32">
        <f>IFERROR(VLOOKUP(TA[[#This Row],[Date]],Raw_Data[[Date]:[Sunset Time (POA&lt;20 W/m2)]],3,0),"")</f>
        <v>0.24444444444444444</v>
      </c>
      <c r="Y1163" s="26"/>
      <c r="Z1163" s="26">
        <v>0.76041666666666663</v>
      </c>
      <c r="AA1163" s="27">
        <f>IF(TA[[#This Row],[Work Start time on Fault]]="NA","",(TA[[#This Row],[Fault Acknowledgement Time ]]-TA[[#This Row],[Fault Time]])*24)</f>
        <v>0</v>
      </c>
      <c r="AB1163" s="27">
        <f>(TA[[#This Row],[Work Start time on Fault]]-TA[[#This Row],[Fault Time]])*24</f>
        <v>-5.8666666666666663</v>
      </c>
      <c r="AC1163" s="26">
        <f>(TA[[#This Row],[Work Completion time on fault]]-TA[[#This Row],[Fault Time]])*24</f>
        <v>12.383333333333333</v>
      </c>
      <c r="AD1163" s="27">
        <f>IFERROR((TA[[#This Row],[Work Completion time on fault]]-TA[[#This Row],[Fault Time]])*24,"")</f>
        <v>12.383333333333333</v>
      </c>
      <c r="AE1163" t="s">
        <v>319</v>
      </c>
      <c r="AF1163" t="s">
        <v>247</v>
      </c>
      <c r="AG1163" s="2"/>
      <c r="AH1163" s="35">
        <f>1-COS(RADIANS(TA[[#This Row],[Avg. Target Angle during Fault Time (Radians)]]-TA[[#This Row],[Angle of affected equipment ]]))</f>
        <v>0.11705240714107301</v>
      </c>
      <c r="AI1163" s="27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43">
        <f t="shared" si="125"/>
        <v>2026</v>
      </c>
      <c r="C1164" s="116">
        <f t="shared" si="126"/>
        <v>2025</v>
      </c>
      <c r="D1164" s="2" t="s">
        <v>155</v>
      </c>
      <c r="E1164" s="2" t="s">
        <v>155</v>
      </c>
      <c r="F1164" s="30">
        <v>45809</v>
      </c>
      <c r="G1164" s="2">
        <f>DAY(EOMONTH(TA[[#This Row],[Month Year]],0))</f>
        <v>30</v>
      </c>
      <c r="H1164" s="21">
        <v>45826</v>
      </c>
      <c r="I1164" s="32">
        <f>IFERROR(VLOOKUP(TA[[#This Row],[Date]],Raw_Data[[Date]:[Sunset Time (POA&lt;20 W/m2)]],3,0),"")</f>
        <v>0.24444444444444444</v>
      </c>
      <c r="J1164" s="32">
        <f>IFERROR(VLOOKUP(TA[[#This Row],[Date]],Raw_Data[[Date]:[Sunset Time (POA&lt;20 W/m2)]],4,0),"")</f>
        <v>0.77430555555555558</v>
      </c>
      <c r="K1164" s="27">
        <f>IFERROR((TA[[#This Row],[Sunset Time (POA&lt;20 W/m2)]]-TA[[#This Row],[Sunrise Time (POA&gt;20 W/m2)]])*24,"")</f>
        <v>12.716666666666667</v>
      </c>
      <c r="L1164" s="2" t="s">
        <v>285</v>
      </c>
      <c r="M1164" s="33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14" t="s">
        <v>307</v>
      </c>
      <c r="Q1164" s="113" t="s">
        <v>308</v>
      </c>
      <c r="R1164">
        <v>7</v>
      </c>
      <c r="S1164" s="2">
        <v>32</v>
      </c>
      <c r="T1164" t="s">
        <v>286</v>
      </c>
      <c r="U1164" t="s">
        <v>291</v>
      </c>
      <c r="V1164" t="s">
        <v>289</v>
      </c>
      <c r="W1164" s="32"/>
      <c r="X1164" s="32"/>
      <c r="Y1164" s="26"/>
      <c r="Z1164" s="26"/>
      <c r="AA1164" s="27">
        <f>IF(TA[[#This Row],[Work Start time on Fault]]="NA","",(TA[[#This Row],[Fault Acknowledgement Time ]]-TA[[#This Row],[Fault Time]])*24)</f>
        <v>0</v>
      </c>
      <c r="AB1164" s="27">
        <f>(TA[[#This Row],[Work Start time on Fault]]-TA[[#This Row],[Fault Time]])*24</f>
        <v>0</v>
      </c>
      <c r="AC1164" s="26">
        <f>(TA[[#This Row],[Work Completion time on fault]]-TA[[#This Row],[Fault Time]])*24</f>
        <v>0</v>
      </c>
      <c r="AD1164" s="27">
        <f>IFERROR((TA[[#This Row],[Work Completion time on fault]]-TA[[#This Row],[Fault Time]])*24,"")</f>
        <v>0</v>
      </c>
      <c r="AE1164" t="s">
        <v>319</v>
      </c>
      <c r="AF1164" t="s">
        <v>247</v>
      </c>
      <c r="AG1164" s="2"/>
      <c r="AH1164" s="35">
        <f>1-COS(RADIANS(TA[[#This Row],[Avg. Target Angle during Fault Time (Radians)]]-TA[[#This Row],[Angle of affected equipment ]]))</f>
        <v>0.11705240714107301</v>
      </c>
      <c r="AI1164" s="27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43">
        <f t="shared" si="125"/>
        <v>2026</v>
      </c>
      <c r="C1165" s="116">
        <f t="shared" si="126"/>
        <v>2025</v>
      </c>
      <c r="D1165" s="2" t="s">
        <v>155</v>
      </c>
      <c r="E1165" s="2" t="s">
        <v>155</v>
      </c>
      <c r="F1165" s="30">
        <v>45809</v>
      </c>
      <c r="G1165" s="2">
        <f>DAY(EOMONTH(TA[[#This Row],[Month Year]],0))</f>
        <v>30</v>
      </c>
      <c r="H1165" s="21">
        <v>45826</v>
      </c>
      <c r="I1165" s="32">
        <f>IFERROR(VLOOKUP(TA[[#This Row],[Date]],Raw_Data[[Date]:[Sunset Time (POA&lt;20 W/m2)]],3,0),"")</f>
        <v>0.24444444444444444</v>
      </c>
      <c r="J1165" s="32">
        <f>IFERROR(VLOOKUP(TA[[#This Row],[Date]],Raw_Data[[Date]:[Sunset Time (POA&lt;20 W/m2)]],4,0),"")</f>
        <v>0.77430555555555558</v>
      </c>
      <c r="K1165" s="27">
        <f>IFERROR((TA[[#This Row],[Sunset Time (POA&lt;20 W/m2)]]-TA[[#This Row],[Sunrise Time (POA&gt;20 W/m2)]])*24,"")</f>
        <v>12.716666666666667</v>
      </c>
      <c r="L1165" s="2" t="s">
        <v>285</v>
      </c>
      <c r="M1165" s="33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14" t="s">
        <v>306</v>
      </c>
      <c r="Q1165" s="113" t="s">
        <v>310</v>
      </c>
      <c r="R1165">
        <v>166</v>
      </c>
      <c r="S1165" s="2">
        <v>91</v>
      </c>
      <c r="T1165" t="s">
        <v>286</v>
      </c>
      <c r="U1165" t="s">
        <v>291</v>
      </c>
      <c r="V1165" t="s">
        <v>289</v>
      </c>
      <c r="W1165" s="32"/>
      <c r="X1165" s="32"/>
      <c r="Y1165" s="26"/>
      <c r="Z1165" s="26"/>
      <c r="AA1165" s="27">
        <f>IF(TA[[#This Row],[Work Start time on Fault]]="NA","",(TA[[#This Row],[Fault Acknowledgement Time ]]-TA[[#This Row],[Fault Time]])*24)</f>
        <v>0</v>
      </c>
      <c r="AB1165" s="27">
        <f>(TA[[#This Row],[Work Start time on Fault]]-TA[[#This Row],[Fault Time]])*24</f>
        <v>0</v>
      </c>
      <c r="AC1165" s="26">
        <f>(TA[[#This Row],[Work Completion time on fault]]-TA[[#This Row],[Fault Time]])*24</f>
        <v>0</v>
      </c>
      <c r="AD1165" s="27">
        <f>IFERROR((TA[[#This Row],[Work Completion time on fault]]-TA[[#This Row],[Fault Time]])*24,"")</f>
        <v>0</v>
      </c>
      <c r="AE1165" t="s">
        <v>319</v>
      </c>
      <c r="AF1165" t="s">
        <v>247</v>
      </c>
      <c r="AG1165" s="2"/>
      <c r="AH1165" s="35">
        <f>1-COS(RADIANS(TA[[#This Row],[Avg. Target Angle during Fault Time (Radians)]]-TA[[#This Row],[Angle of affected equipment ]]))</f>
        <v>0.11705240714107301</v>
      </c>
      <c r="AI1165" s="27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43">
        <f t="shared" si="125"/>
        <v>2026</v>
      </c>
      <c r="C1166" s="116">
        <f t="shared" si="126"/>
        <v>2025</v>
      </c>
      <c r="D1166" s="2" t="s">
        <v>155</v>
      </c>
      <c r="E1166" s="2" t="s">
        <v>155</v>
      </c>
      <c r="F1166" s="30">
        <v>45809</v>
      </c>
      <c r="G1166" s="2">
        <f>DAY(EOMONTH(TA[[#This Row],[Month Year]],0))</f>
        <v>30</v>
      </c>
      <c r="H1166" s="21">
        <v>45826</v>
      </c>
      <c r="I1166" s="32">
        <f>IFERROR(VLOOKUP(TA[[#This Row],[Date]],Raw_Data[[Date]:[Sunset Time (POA&lt;20 W/m2)]],3,0),"")</f>
        <v>0.24444444444444444</v>
      </c>
      <c r="J1166" s="32">
        <f>IFERROR(VLOOKUP(TA[[#This Row],[Date]],Raw_Data[[Date]:[Sunset Time (POA&lt;20 W/m2)]],4,0),"")</f>
        <v>0.77430555555555558</v>
      </c>
      <c r="K1166" s="27">
        <f>IFERROR((TA[[#This Row],[Sunset Time (POA&lt;20 W/m2)]]-TA[[#This Row],[Sunrise Time (POA&gt;20 W/m2)]])*24,"")</f>
        <v>12.716666666666667</v>
      </c>
      <c r="L1166" s="2" t="s">
        <v>285</v>
      </c>
      <c r="M1166" s="33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14" t="s">
        <v>307</v>
      </c>
      <c r="Q1166" s="113" t="s">
        <v>307</v>
      </c>
      <c r="R1166">
        <v>117</v>
      </c>
      <c r="S1166" s="2">
        <v>20</v>
      </c>
      <c r="T1166" t="s">
        <v>286</v>
      </c>
      <c r="U1166" t="s">
        <v>291</v>
      </c>
      <c r="V1166" t="s">
        <v>289</v>
      </c>
      <c r="W1166" s="32"/>
      <c r="X1166" s="32"/>
      <c r="Y1166" s="26"/>
      <c r="Z1166" s="26"/>
      <c r="AA1166" s="27">
        <f>IF(TA[[#This Row],[Work Start time on Fault]]="NA","",(TA[[#This Row],[Fault Acknowledgement Time ]]-TA[[#This Row],[Fault Time]])*24)</f>
        <v>0</v>
      </c>
      <c r="AB1166" s="27">
        <f>(TA[[#This Row],[Work Start time on Fault]]-TA[[#This Row],[Fault Time]])*24</f>
        <v>0</v>
      </c>
      <c r="AC1166" s="26">
        <f>(TA[[#This Row],[Work Completion time on fault]]-TA[[#This Row],[Fault Time]])*24</f>
        <v>0</v>
      </c>
      <c r="AD1166" s="27">
        <f>IFERROR((TA[[#This Row],[Work Completion time on fault]]-TA[[#This Row],[Fault Time]])*24,"")</f>
        <v>0</v>
      </c>
      <c r="AE1166" t="s">
        <v>319</v>
      </c>
      <c r="AF1166" t="s">
        <v>247</v>
      </c>
      <c r="AG1166" s="2"/>
      <c r="AH1166" s="35">
        <f>1-COS(RADIANS(TA[[#This Row],[Avg. Target Angle during Fault Time (Radians)]]-TA[[#This Row],[Angle of affected equipment ]]))</f>
        <v>0.11705240714107301</v>
      </c>
      <c r="AI1166" s="27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43">
        <f t="shared" si="125"/>
        <v>2026</v>
      </c>
      <c r="C1167" s="116">
        <f t="shared" si="126"/>
        <v>2025</v>
      </c>
      <c r="D1167" s="2" t="s">
        <v>155</v>
      </c>
      <c r="E1167" s="2" t="s">
        <v>155</v>
      </c>
      <c r="F1167" s="30">
        <v>45809</v>
      </c>
      <c r="G1167" s="2">
        <f>DAY(EOMONTH(TA[[#This Row],[Month Year]],0))</f>
        <v>30</v>
      </c>
      <c r="H1167" s="21">
        <v>45826</v>
      </c>
      <c r="I1167" s="32">
        <f>IFERROR(VLOOKUP(TA[[#This Row],[Date]],Raw_Data[[Date]:[Sunset Time (POA&lt;20 W/m2)]],3,0),"")</f>
        <v>0.24444444444444444</v>
      </c>
      <c r="J1167" s="32">
        <f>IFERROR(VLOOKUP(TA[[#This Row],[Date]],Raw_Data[[Date]:[Sunset Time (POA&lt;20 W/m2)]],4,0),"")</f>
        <v>0.77430555555555558</v>
      </c>
      <c r="K1167" s="27">
        <f>IFERROR((TA[[#This Row],[Sunset Time (POA&lt;20 W/m2)]]-TA[[#This Row],[Sunrise Time (POA&gt;20 W/m2)]])*24,"")</f>
        <v>12.716666666666667</v>
      </c>
      <c r="L1167" s="2" t="s">
        <v>285</v>
      </c>
      <c r="M1167" s="33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14" t="s">
        <v>307</v>
      </c>
      <c r="Q1167" s="113" t="s">
        <v>307</v>
      </c>
      <c r="R1167">
        <v>118</v>
      </c>
      <c r="S1167" s="2">
        <v>22</v>
      </c>
      <c r="T1167" t="s">
        <v>286</v>
      </c>
      <c r="U1167" t="s">
        <v>291</v>
      </c>
      <c r="V1167" t="s">
        <v>289</v>
      </c>
      <c r="W1167" s="32"/>
      <c r="X1167" s="32"/>
      <c r="Y1167" s="26"/>
      <c r="Z1167" s="26"/>
      <c r="AA1167" s="27">
        <f>IF(TA[[#This Row],[Work Start time on Fault]]="NA","",(TA[[#This Row],[Fault Acknowledgement Time ]]-TA[[#This Row],[Fault Time]])*24)</f>
        <v>0</v>
      </c>
      <c r="AB1167" s="27">
        <f>(TA[[#This Row],[Work Start time on Fault]]-TA[[#This Row],[Fault Time]])*24</f>
        <v>0</v>
      </c>
      <c r="AC1167" s="26">
        <f>(TA[[#This Row],[Work Completion time on fault]]-TA[[#This Row],[Fault Time]])*24</f>
        <v>0</v>
      </c>
      <c r="AD1167" s="27">
        <f>IFERROR((TA[[#This Row],[Work Completion time on fault]]-TA[[#This Row],[Fault Time]])*24,"")</f>
        <v>0</v>
      </c>
      <c r="AE1167" t="s">
        <v>319</v>
      </c>
      <c r="AF1167" t="s">
        <v>247</v>
      </c>
      <c r="AG1167" s="2"/>
      <c r="AH1167" s="35">
        <f>1-COS(RADIANS(TA[[#This Row],[Avg. Target Angle during Fault Time (Radians)]]-TA[[#This Row],[Angle of affected equipment ]]))</f>
        <v>0.11705240714107301</v>
      </c>
      <c r="AI1167" s="27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43">
        <f t="shared" si="125"/>
        <v>2026</v>
      </c>
      <c r="C1168" s="116">
        <f t="shared" si="126"/>
        <v>2025</v>
      </c>
      <c r="D1168" s="2" t="s">
        <v>155</v>
      </c>
      <c r="E1168" s="2" t="s">
        <v>155</v>
      </c>
      <c r="F1168" s="30">
        <v>45809</v>
      </c>
      <c r="G1168" s="2">
        <f>DAY(EOMONTH(TA[[#This Row],[Month Year]],0))</f>
        <v>30</v>
      </c>
      <c r="H1168" s="21">
        <v>45826</v>
      </c>
      <c r="I1168" s="32">
        <f>IFERROR(VLOOKUP(TA[[#This Row],[Date]],Raw_Data[[Date]:[Sunset Time (POA&lt;20 W/m2)]],3,0),"")</f>
        <v>0.24444444444444444</v>
      </c>
      <c r="J1168" s="32">
        <f>IFERROR(VLOOKUP(TA[[#This Row],[Date]],Raw_Data[[Date]:[Sunset Time (POA&lt;20 W/m2)]],4,0),"")</f>
        <v>0.77430555555555558</v>
      </c>
      <c r="K1168" s="27">
        <f>IFERROR((TA[[#This Row],[Sunset Time (POA&lt;20 W/m2)]]-TA[[#This Row],[Sunrise Time (POA&gt;20 W/m2)]])*24,"")</f>
        <v>12.716666666666667</v>
      </c>
      <c r="L1168" s="2" t="s">
        <v>287</v>
      </c>
      <c r="M1168" s="33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314</v>
      </c>
      <c r="Q1168" s="2" t="s">
        <v>320</v>
      </c>
      <c r="R1168">
        <v>45</v>
      </c>
      <c r="S1168" s="2">
        <v>8</v>
      </c>
      <c r="T1168" t="s">
        <v>288</v>
      </c>
      <c r="U1168" t="s">
        <v>291</v>
      </c>
      <c r="V1168" t="s">
        <v>292</v>
      </c>
      <c r="W1168" s="32"/>
      <c r="X1168" s="32"/>
      <c r="Y1168" s="26"/>
      <c r="Z1168" s="26"/>
      <c r="AA1168" s="27">
        <f>IF(TA[[#This Row],[Work Start time on Fault]]="NA","",(TA[[#This Row],[Fault Acknowledgement Time ]]-TA[[#This Row],[Fault Time]])*24)</f>
        <v>0</v>
      </c>
      <c r="AB1168" s="27">
        <f>(TA[[#This Row],[Work Start time on Fault]]-TA[[#This Row],[Fault Time]])*24</f>
        <v>0</v>
      </c>
      <c r="AC1168" s="26">
        <f>(TA[[#This Row],[Work Completion time on fault]]-TA[[#This Row],[Fault Time]])*24</f>
        <v>0</v>
      </c>
      <c r="AD1168" s="27">
        <f>IFERROR((TA[[#This Row],[Work Completion time on fault]]-TA[[#This Row],[Fault Time]])*24,"")</f>
        <v>0</v>
      </c>
      <c r="AE1168" t="s">
        <v>319</v>
      </c>
      <c r="AF1168" t="s">
        <v>247</v>
      </c>
      <c r="AG1168" s="2"/>
      <c r="AH1168" s="35">
        <f>1-COS(RADIANS(TA[[#This Row],[Avg. Target Angle during Fault Time (Radians)]]-TA[[#This Row],[Angle of affected equipment ]]))</f>
        <v>0.11705240714107301</v>
      </c>
      <c r="AI1168" s="27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43">
        <f t="shared" si="125"/>
        <v>2026</v>
      </c>
      <c r="C1169" s="116">
        <f t="shared" si="126"/>
        <v>2025</v>
      </c>
      <c r="D1169" s="2" t="s">
        <v>155</v>
      </c>
      <c r="E1169" s="2" t="s">
        <v>155</v>
      </c>
      <c r="F1169" s="30">
        <v>45809</v>
      </c>
      <c r="G1169" s="2">
        <f>DAY(EOMONTH(TA[[#This Row],[Month Year]],0))</f>
        <v>30</v>
      </c>
      <c r="H1169" s="21">
        <v>45826</v>
      </c>
      <c r="I1169" s="32">
        <f>IFERROR(VLOOKUP(TA[[#This Row],[Date]],Raw_Data[[Date]:[Sunset Time (POA&lt;20 W/m2)]],3,0),"")</f>
        <v>0.24444444444444444</v>
      </c>
      <c r="J1169" s="32">
        <f>IFERROR(VLOOKUP(TA[[#This Row],[Date]],Raw_Data[[Date]:[Sunset Time (POA&lt;20 W/m2)]],4,0),"")</f>
        <v>0.77430555555555558</v>
      </c>
      <c r="K1169" s="27">
        <f>IFERROR((TA[[#This Row],[Sunset Time (POA&lt;20 W/m2)]]-TA[[#This Row],[Sunrise Time (POA&gt;20 W/m2)]])*24,"")</f>
        <v>12.716666666666667</v>
      </c>
      <c r="L1169" s="2" t="s">
        <v>287</v>
      </c>
      <c r="M1169" s="33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314</v>
      </c>
      <c r="Q1169" s="2" t="s">
        <v>320</v>
      </c>
      <c r="R1169">
        <v>47</v>
      </c>
      <c r="S1169" s="2">
        <v>18</v>
      </c>
      <c r="T1169" t="s">
        <v>288</v>
      </c>
      <c r="U1169" t="s">
        <v>291</v>
      </c>
      <c r="V1169" t="s">
        <v>292</v>
      </c>
      <c r="W1169" s="32"/>
      <c r="X1169" s="32"/>
      <c r="Y1169" s="26"/>
      <c r="Z1169" s="26"/>
      <c r="AA1169" s="27">
        <f>IF(TA[[#This Row],[Work Start time on Fault]]="NA","",(TA[[#This Row],[Fault Acknowledgement Time ]]-TA[[#This Row],[Fault Time]])*24)</f>
        <v>0</v>
      </c>
      <c r="AB1169" s="27">
        <f>(TA[[#This Row],[Work Start time on Fault]]-TA[[#This Row],[Fault Time]])*24</f>
        <v>0</v>
      </c>
      <c r="AC1169" s="26">
        <f>(TA[[#This Row],[Work Completion time on fault]]-TA[[#This Row],[Fault Time]])*24</f>
        <v>0</v>
      </c>
      <c r="AD1169" s="27">
        <f>IFERROR((TA[[#This Row],[Work Completion time on fault]]-TA[[#This Row],[Fault Time]])*24,"")</f>
        <v>0</v>
      </c>
      <c r="AE1169" t="s">
        <v>319</v>
      </c>
      <c r="AF1169" t="s">
        <v>247</v>
      </c>
      <c r="AG1169" s="2"/>
      <c r="AH1169" s="35">
        <f>1-COS(RADIANS(TA[[#This Row],[Avg. Target Angle during Fault Time (Radians)]]-TA[[#This Row],[Angle of affected equipment ]]))</f>
        <v>0.11705240714107301</v>
      </c>
      <c r="AI1169" s="27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43">
        <f t="shared" si="125"/>
        <v>2026</v>
      </c>
      <c r="C1170" s="116">
        <f t="shared" si="126"/>
        <v>2025</v>
      </c>
      <c r="D1170" s="2" t="s">
        <v>155</v>
      </c>
      <c r="E1170" s="2" t="s">
        <v>155</v>
      </c>
      <c r="F1170" s="30">
        <v>45809</v>
      </c>
      <c r="G1170" s="2">
        <f>DAY(EOMONTH(TA[[#This Row],[Month Year]],0))</f>
        <v>30</v>
      </c>
      <c r="H1170" s="21">
        <v>45826</v>
      </c>
      <c r="I1170" s="32">
        <f>IFERROR(VLOOKUP(TA[[#This Row],[Date]],Raw_Data[[Date]:[Sunset Time (POA&lt;20 W/m2)]],3,0),"")</f>
        <v>0.24444444444444444</v>
      </c>
      <c r="J1170" s="32">
        <f>IFERROR(VLOOKUP(TA[[#This Row],[Date]],Raw_Data[[Date]:[Sunset Time (POA&lt;20 W/m2)]],4,0),"")</f>
        <v>0.77430555555555558</v>
      </c>
      <c r="K1170" s="27">
        <f>IFERROR((TA[[#This Row],[Sunset Time (POA&lt;20 W/m2)]]-TA[[#This Row],[Sunrise Time (POA&gt;20 W/m2)]])*24,"")</f>
        <v>12.716666666666667</v>
      </c>
      <c r="L1170" s="2" t="s">
        <v>287</v>
      </c>
      <c r="M1170" s="33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321</v>
      </c>
      <c r="Q1170" s="2" t="s">
        <v>314</v>
      </c>
      <c r="R1170">
        <v>30</v>
      </c>
      <c r="S1170" s="2">
        <v>57</v>
      </c>
      <c r="T1170" t="s">
        <v>288</v>
      </c>
      <c r="U1170" t="s">
        <v>291</v>
      </c>
      <c r="V1170" t="s">
        <v>292</v>
      </c>
      <c r="W1170" s="32"/>
      <c r="X1170" s="32"/>
      <c r="Y1170" s="26"/>
      <c r="Z1170" s="26"/>
      <c r="AA1170" s="27">
        <f>IF(TA[[#This Row],[Work Start time on Fault]]="NA","",(TA[[#This Row],[Fault Acknowledgement Time ]]-TA[[#This Row],[Fault Time]])*24)</f>
        <v>0</v>
      </c>
      <c r="AB1170" s="27">
        <f>(TA[[#This Row],[Work Start time on Fault]]-TA[[#This Row],[Fault Time]])*24</f>
        <v>0</v>
      </c>
      <c r="AC1170" s="26">
        <f>(TA[[#This Row],[Work Completion time on fault]]-TA[[#This Row],[Fault Time]])*24</f>
        <v>0</v>
      </c>
      <c r="AD1170" s="27">
        <f>IFERROR((TA[[#This Row],[Work Completion time on fault]]-TA[[#This Row],[Fault Time]])*24,"")</f>
        <v>0</v>
      </c>
      <c r="AE1170" t="s">
        <v>319</v>
      </c>
      <c r="AF1170" t="s">
        <v>247</v>
      </c>
      <c r="AG1170" s="2"/>
      <c r="AH1170" s="35">
        <f>1-COS(RADIANS(TA[[#This Row],[Avg. Target Angle during Fault Time (Radians)]]-TA[[#This Row],[Angle of affected equipment ]]))</f>
        <v>0.11705240714107301</v>
      </c>
      <c r="AI1170" s="27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43">
        <f t="shared" si="125"/>
        <v>2026</v>
      </c>
      <c r="C1171" s="116">
        <f t="shared" si="126"/>
        <v>2025</v>
      </c>
      <c r="D1171" s="2" t="s">
        <v>155</v>
      </c>
      <c r="E1171" s="2" t="s">
        <v>155</v>
      </c>
      <c r="F1171" s="30">
        <v>45809</v>
      </c>
      <c r="G1171" s="2">
        <f>DAY(EOMONTH(TA[[#This Row],[Month Year]],0))</f>
        <v>30</v>
      </c>
      <c r="H1171" s="21">
        <v>45826</v>
      </c>
      <c r="I1171" s="32">
        <f>IFERROR(VLOOKUP(TA[[#This Row],[Date]],Raw_Data[[Date]:[Sunset Time (POA&lt;20 W/m2)]],3,0),"")</f>
        <v>0.24444444444444444</v>
      </c>
      <c r="J1171" s="32">
        <f>IFERROR(VLOOKUP(TA[[#This Row],[Date]],Raw_Data[[Date]:[Sunset Time (POA&lt;20 W/m2)]],4,0),"")</f>
        <v>0.77430555555555558</v>
      </c>
      <c r="K1171" s="27">
        <f>IFERROR((TA[[#This Row],[Sunset Time (POA&lt;20 W/m2)]]-TA[[#This Row],[Sunrise Time (POA&gt;20 W/m2)]])*24,"")</f>
        <v>12.716666666666667</v>
      </c>
      <c r="L1171" s="2" t="s">
        <v>287</v>
      </c>
      <c r="M1171" s="33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321</v>
      </c>
      <c r="Q1171" s="2" t="s">
        <v>314</v>
      </c>
      <c r="R1171">
        <v>31</v>
      </c>
      <c r="S1171" s="2">
        <v>61</v>
      </c>
      <c r="T1171" t="s">
        <v>288</v>
      </c>
      <c r="U1171" t="s">
        <v>291</v>
      </c>
      <c r="V1171" t="s">
        <v>292</v>
      </c>
      <c r="W1171" s="32"/>
      <c r="X1171" s="32"/>
      <c r="Y1171" s="26"/>
      <c r="Z1171" s="26"/>
      <c r="AA1171" s="27">
        <f>IF(TA[[#This Row],[Work Start time on Fault]]="NA","",(TA[[#This Row],[Fault Acknowledgement Time ]]-TA[[#This Row],[Fault Time]])*24)</f>
        <v>0</v>
      </c>
      <c r="AB1171" s="27">
        <f>(TA[[#This Row],[Work Start time on Fault]]-TA[[#This Row],[Fault Time]])*24</f>
        <v>0</v>
      </c>
      <c r="AC1171" s="26">
        <f>(TA[[#This Row],[Work Completion time on fault]]-TA[[#This Row],[Fault Time]])*24</f>
        <v>0</v>
      </c>
      <c r="AD1171" s="27">
        <f>IFERROR((TA[[#This Row],[Work Completion time on fault]]-TA[[#This Row],[Fault Time]])*24,"")</f>
        <v>0</v>
      </c>
      <c r="AE1171" t="s">
        <v>319</v>
      </c>
      <c r="AF1171" t="s">
        <v>247</v>
      </c>
      <c r="AG1171" s="2"/>
      <c r="AH1171" s="35">
        <f>1-COS(RADIANS(TA[[#This Row],[Avg. Target Angle during Fault Time (Radians)]]-TA[[#This Row],[Angle of affected equipment ]]))</f>
        <v>0.11705240714107301</v>
      </c>
      <c r="AI1171" s="27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43">
        <f t="shared" si="125"/>
        <v>2026</v>
      </c>
      <c r="C1172" s="116">
        <f t="shared" si="126"/>
        <v>2025</v>
      </c>
      <c r="D1172" s="2" t="s">
        <v>155</v>
      </c>
      <c r="E1172" s="2" t="s">
        <v>155</v>
      </c>
      <c r="F1172" s="30">
        <v>45809</v>
      </c>
      <c r="G1172" s="2">
        <f>DAY(EOMONTH(TA[[#This Row],[Month Year]],0))</f>
        <v>30</v>
      </c>
      <c r="H1172" s="21">
        <v>45826</v>
      </c>
      <c r="I1172" s="32">
        <f>IFERROR(VLOOKUP(TA[[#This Row],[Date]],Raw_Data[[Date]:[Sunset Time (POA&lt;20 W/m2)]],3,0),"")</f>
        <v>0.24444444444444444</v>
      </c>
      <c r="J1172" s="32">
        <f>IFERROR(VLOOKUP(TA[[#This Row],[Date]],Raw_Data[[Date]:[Sunset Time (POA&lt;20 W/m2)]],4,0),"")</f>
        <v>0.77430555555555558</v>
      </c>
      <c r="K1172" s="27">
        <f>IFERROR((TA[[#This Row],[Sunset Time (POA&lt;20 W/m2)]]-TA[[#This Row],[Sunrise Time (POA&gt;20 W/m2)]])*24,"")</f>
        <v>12.716666666666667</v>
      </c>
      <c r="L1172" s="2" t="s">
        <v>303</v>
      </c>
      <c r="M1172" s="33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321</v>
      </c>
      <c r="Q1172" s="2" t="s">
        <v>314</v>
      </c>
      <c r="R1172">
        <v>26</v>
      </c>
      <c r="S1172" s="2">
        <v>37</v>
      </c>
      <c r="T1172" t="s">
        <v>288</v>
      </c>
      <c r="U1172" t="s">
        <v>291</v>
      </c>
      <c r="V1172" t="s">
        <v>292</v>
      </c>
      <c r="W1172" s="32"/>
      <c r="X1172" s="32"/>
      <c r="Y1172" s="26"/>
      <c r="Z1172" s="26"/>
      <c r="AA1172" s="27">
        <f>IF(TA[[#This Row],[Work Start time on Fault]]="NA","",(TA[[#This Row],[Fault Acknowledgement Time ]]-TA[[#This Row],[Fault Time]])*24)</f>
        <v>0</v>
      </c>
      <c r="AB1172" s="27">
        <f>(TA[[#This Row],[Work Start time on Fault]]-TA[[#This Row],[Fault Time]])*24</f>
        <v>0</v>
      </c>
      <c r="AC1172" s="26">
        <f>(TA[[#This Row],[Work Completion time on fault]]-TA[[#This Row],[Fault Time]])*24</f>
        <v>0</v>
      </c>
      <c r="AD1172" s="27">
        <f>IFERROR((TA[[#This Row],[Work Completion time on fault]]-TA[[#This Row],[Fault Time]])*24,"")</f>
        <v>0</v>
      </c>
      <c r="AE1172" t="s">
        <v>319</v>
      </c>
      <c r="AF1172" t="s">
        <v>247</v>
      </c>
      <c r="AG1172" s="2"/>
      <c r="AH1172" s="35">
        <f>1-COS(RADIANS(TA[[#This Row],[Avg. Target Angle during Fault Time (Radians)]]-TA[[#This Row],[Angle of affected equipment ]]))</f>
        <v>0.11705240714107301</v>
      </c>
      <c r="AI1172" s="27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43">
        <f t="shared" si="125"/>
        <v>2026</v>
      </c>
      <c r="C1173" s="116">
        <f t="shared" si="126"/>
        <v>2025</v>
      </c>
      <c r="D1173" s="2" t="s">
        <v>155</v>
      </c>
      <c r="E1173" s="2" t="s">
        <v>155</v>
      </c>
      <c r="F1173" s="30">
        <v>45809</v>
      </c>
      <c r="G1173" s="2">
        <f>DAY(EOMONTH(TA[[#This Row],[Month Year]],0))</f>
        <v>30</v>
      </c>
      <c r="H1173" s="21">
        <v>45826</v>
      </c>
      <c r="I1173" s="32">
        <f>IFERROR(VLOOKUP(TA[[#This Row],[Date]],Raw_Data[[Date]:[Sunset Time (POA&lt;20 W/m2)]],3,0),"")</f>
        <v>0.24444444444444444</v>
      </c>
      <c r="J1173" s="32">
        <f>IFERROR(VLOOKUP(TA[[#This Row],[Date]],Raw_Data[[Date]:[Sunset Time (POA&lt;20 W/m2)]],4,0),"")</f>
        <v>0.77430555555555558</v>
      </c>
      <c r="K1173" s="27">
        <f>IFERROR((TA[[#This Row],[Sunset Time (POA&lt;20 W/m2)]]-TA[[#This Row],[Sunrise Time (POA&gt;20 W/m2)]])*24,"")</f>
        <v>12.716666666666667</v>
      </c>
      <c r="L1173" s="2" t="s">
        <v>303</v>
      </c>
      <c r="M1173" s="33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321</v>
      </c>
      <c r="Q1173" s="2" t="s">
        <v>314</v>
      </c>
      <c r="R1173">
        <v>27</v>
      </c>
      <c r="S1173" s="2">
        <v>42</v>
      </c>
      <c r="T1173" t="s">
        <v>288</v>
      </c>
      <c r="U1173" t="s">
        <v>291</v>
      </c>
      <c r="V1173" t="s">
        <v>292</v>
      </c>
      <c r="W1173" s="32">
        <f>IFERROR(VLOOKUP(TA[[#This Row],[Date]],Raw_Data[[Date]:[Sunset Time (POA&lt;20 W/m2)]],3,0),"")</f>
        <v>0.24444444444444444</v>
      </c>
      <c r="X1173" s="32">
        <f>IFERROR(VLOOKUP(TA[[#This Row],[Date]],Raw_Data[[Date]:[Sunset Time (POA&lt;20 W/m2)]],3,0),"")</f>
        <v>0.24444444444444444</v>
      </c>
      <c r="Y1173" s="26"/>
      <c r="Z1173" s="26">
        <v>0.76041666666666663</v>
      </c>
      <c r="AA1173" s="27">
        <f>IF(TA[[#This Row],[Work Start time on Fault]]="NA","",(TA[[#This Row],[Fault Acknowledgement Time ]]-TA[[#This Row],[Fault Time]])*24)</f>
        <v>0</v>
      </c>
      <c r="AB1173" s="27">
        <f>(TA[[#This Row],[Work Start time on Fault]]-TA[[#This Row],[Fault Time]])*24</f>
        <v>-5.8666666666666663</v>
      </c>
      <c r="AC1173" s="26">
        <f>(TA[[#This Row],[Work Completion time on fault]]-TA[[#This Row],[Fault Time]])*24</f>
        <v>12.383333333333333</v>
      </c>
      <c r="AD1173" s="27">
        <f>IFERROR((TA[[#This Row],[Work Completion time on fault]]-TA[[#This Row],[Fault Time]])*24,"")</f>
        <v>12.383333333333333</v>
      </c>
      <c r="AE1173" t="s">
        <v>300</v>
      </c>
      <c r="AF1173" t="s">
        <v>247</v>
      </c>
      <c r="AG1173" s="2"/>
      <c r="AH1173" s="35">
        <f>1-COS(RADIANS(TA[[#This Row],[Avg. Target Angle during Fault Time (Radians)]]-TA[[#This Row],[Angle of affected equipment ]]))</f>
        <v>0.11705240714107301</v>
      </c>
      <c r="AI1173" s="27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43">
        <f t="shared" ref="B1174:B1186" si="127">YEAR(H1174)+IF(MONTH(H1174)&gt;=4,1,0)</f>
        <v>2026</v>
      </c>
      <c r="C1174" s="116">
        <f t="shared" ref="C1174:C1186" si="128">YEAR(H1174)</f>
        <v>2025</v>
      </c>
      <c r="D1174" s="2" t="s">
        <v>155</v>
      </c>
      <c r="E1174" s="2" t="s">
        <v>155</v>
      </c>
      <c r="F1174" s="30">
        <v>45809</v>
      </c>
      <c r="G1174" s="2">
        <f>DAY(EOMONTH(TA[[#This Row],[Month Year]],0))</f>
        <v>30</v>
      </c>
      <c r="H1174" s="21">
        <v>45827</v>
      </c>
      <c r="I1174" s="32">
        <f>IFERROR(VLOOKUP(TA[[#This Row],[Date]],Raw_Data[[Date]:[Sunset Time (POA&lt;20 W/m2)]],3,0),"")</f>
        <v>0.24861111111111112</v>
      </c>
      <c r="J1174" s="32">
        <f>IFERROR(VLOOKUP(TA[[#This Row],[Date]],Raw_Data[[Date]:[Sunset Time (POA&lt;20 W/m2)]],4,0),"")</f>
        <v>0.77083333333333337</v>
      </c>
      <c r="K1174" s="27">
        <f>IFERROR((TA[[#This Row],[Sunset Time (POA&lt;20 W/m2)]]-TA[[#This Row],[Sunrise Time (POA&gt;20 W/m2)]])*24,"")</f>
        <v>12.533333333333335</v>
      </c>
      <c r="L1174" s="2" t="s">
        <v>285</v>
      </c>
      <c r="M1174" s="33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14" t="s">
        <v>309</v>
      </c>
      <c r="Q1174" s="113" t="s">
        <v>309</v>
      </c>
      <c r="R1174">
        <v>131</v>
      </c>
      <c r="S1174" s="2">
        <v>38</v>
      </c>
      <c r="T1174" t="s">
        <v>286</v>
      </c>
      <c r="U1174" t="s">
        <v>291</v>
      </c>
      <c r="V1174" t="s">
        <v>289</v>
      </c>
      <c r="W1174" s="32"/>
      <c r="X1174" s="32"/>
      <c r="Y1174" s="26"/>
      <c r="Z1174" s="26"/>
      <c r="AA1174" s="27">
        <f>IF(TA[[#This Row],[Work Start time on Fault]]="NA","",(TA[[#This Row],[Fault Acknowledgement Time ]]-TA[[#This Row],[Fault Time]])*24)</f>
        <v>0</v>
      </c>
      <c r="AB1174" s="27">
        <f>(TA[[#This Row],[Work Start time on Fault]]-TA[[#This Row],[Fault Time]])*24</f>
        <v>0</v>
      </c>
      <c r="AC1174" s="26">
        <f>(TA[[#This Row],[Work Completion time on fault]]-TA[[#This Row],[Fault Time]])*24</f>
        <v>0</v>
      </c>
      <c r="AD1174" s="27">
        <f>IFERROR((TA[[#This Row],[Work Completion time on fault]]-TA[[#This Row],[Fault Time]])*24,"")</f>
        <v>0</v>
      </c>
      <c r="AE1174" t="s">
        <v>319</v>
      </c>
      <c r="AF1174" t="s">
        <v>247</v>
      </c>
      <c r="AG1174" s="2"/>
      <c r="AH1174" s="35">
        <f>1-COS(RADIANS(TA[[#This Row],[Avg. Target Angle during Fault Time (Radians)]]-TA[[#This Row],[Angle of affected equipment ]]))</f>
        <v>0.11705240714107301</v>
      </c>
      <c r="AI1174" s="27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43">
        <f t="shared" si="127"/>
        <v>2026</v>
      </c>
      <c r="C1175" s="116">
        <f t="shared" si="128"/>
        <v>2025</v>
      </c>
      <c r="D1175" s="2" t="s">
        <v>155</v>
      </c>
      <c r="E1175" s="2" t="s">
        <v>155</v>
      </c>
      <c r="F1175" s="30">
        <v>45809</v>
      </c>
      <c r="G1175" s="2">
        <f>DAY(EOMONTH(TA[[#This Row],[Month Year]],0))</f>
        <v>30</v>
      </c>
      <c r="H1175" s="21">
        <v>45827</v>
      </c>
      <c r="I1175" s="32">
        <f>IFERROR(VLOOKUP(TA[[#This Row],[Date]],Raw_Data[[Date]:[Sunset Time (POA&lt;20 W/m2)]],3,0),"")</f>
        <v>0.24861111111111112</v>
      </c>
      <c r="J1175" s="32">
        <f>IFERROR(VLOOKUP(TA[[#This Row],[Date]],Raw_Data[[Date]:[Sunset Time (POA&lt;20 W/m2)]],4,0),"")</f>
        <v>0.77083333333333337</v>
      </c>
      <c r="K1175" s="27">
        <f>IFERROR((TA[[#This Row],[Sunset Time (POA&lt;20 W/m2)]]-TA[[#This Row],[Sunrise Time (POA&gt;20 W/m2)]])*24,"")</f>
        <v>12.533333333333335</v>
      </c>
      <c r="L1175" s="2" t="s">
        <v>285</v>
      </c>
      <c r="M1175" s="33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14" t="s">
        <v>309</v>
      </c>
      <c r="Q1175" s="113" t="s">
        <v>309</v>
      </c>
      <c r="R1175">
        <v>131</v>
      </c>
      <c r="S1175" s="2">
        <v>39</v>
      </c>
      <c r="T1175" t="s">
        <v>286</v>
      </c>
      <c r="U1175" t="s">
        <v>291</v>
      </c>
      <c r="V1175" t="s">
        <v>289</v>
      </c>
      <c r="W1175" s="32"/>
      <c r="X1175" s="32"/>
      <c r="Y1175" s="26"/>
      <c r="Z1175" s="26"/>
      <c r="AA1175" s="27">
        <f>IF(TA[[#This Row],[Work Start time on Fault]]="NA","",(TA[[#This Row],[Fault Acknowledgement Time ]]-TA[[#This Row],[Fault Time]])*24)</f>
        <v>0</v>
      </c>
      <c r="AB1175" s="27">
        <f>(TA[[#This Row],[Work Start time on Fault]]-TA[[#This Row],[Fault Time]])*24</f>
        <v>0</v>
      </c>
      <c r="AC1175" s="26">
        <f>(TA[[#This Row],[Work Completion time on fault]]-TA[[#This Row],[Fault Time]])*24</f>
        <v>0</v>
      </c>
      <c r="AD1175" s="27">
        <f>IFERROR((TA[[#This Row],[Work Completion time on fault]]-TA[[#This Row],[Fault Time]])*24,"")</f>
        <v>0</v>
      </c>
      <c r="AE1175" t="s">
        <v>319</v>
      </c>
      <c r="AF1175" t="s">
        <v>247</v>
      </c>
      <c r="AG1175" s="2"/>
      <c r="AH1175" s="35">
        <f>1-COS(RADIANS(TA[[#This Row],[Avg. Target Angle during Fault Time (Radians)]]-TA[[#This Row],[Angle of affected equipment ]]))</f>
        <v>0.11705240714107301</v>
      </c>
      <c r="AI1175" s="27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43">
        <f t="shared" si="127"/>
        <v>2026</v>
      </c>
      <c r="C1176" s="116">
        <f t="shared" si="128"/>
        <v>2025</v>
      </c>
      <c r="D1176" s="2" t="s">
        <v>155</v>
      </c>
      <c r="E1176" s="2" t="s">
        <v>155</v>
      </c>
      <c r="F1176" s="30">
        <v>45809</v>
      </c>
      <c r="G1176" s="2">
        <f>DAY(EOMONTH(TA[[#This Row],[Month Year]],0))</f>
        <v>30</v>
      </c>
      <c r="H1176" s="21">
        <v>45827</v>
      </c>
      <c r="I1176" s="32">
        <f>IFERROR(VLOOKUP(TA[[#This Row],[Date]],Raw_Data[[Date]:[Sunset Time (POA&lt;20 W/m2)]],3,0),"")</f>
        <v>0.24861111111111112</v>
      </c>
      <c r="J1176" s="32">
        <f>IFERROR(VLOOKUP(TA[[#This Row],[Date]],Raw_Data[[Date]:[Sunset Time (POA&lt;20 W/m2)]],4,0),"")</f>
        <v>0.77083333333333337</v>
      </c>
      <c r="K1176" s="27">
        <f>IFERROR((TA[[#This Row],[Sunset Time (POA&lt;20 W/m2)]]-TA[[#This Row],[Sunrise Time (POA&gt;20 W/m2)]])*24,"")</f>
        <v>12.533333333333335</v>
      </c>
      <c r="L1176" s="2" t="s">
        <v>287</v>
      </c>
      <c r="M1176" s="33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14" t="s">
        <v>309</v>
      </c>
      <c r="Q1176" s="2" t="s">
        <v>312</v>
      </c>
      <c r="R1176">
        <v>133</v>
      </c>
      <c r="S1176" s="2">
        <v>26</v>
      </c>
      <c r="T1176" t="s">
        <v>288</v>
      </c>
      <c r="U1176" t="s">
        <v>291</v>
      </c>
      <c r="V1176" t="s">
        <v>305</v>
      </c>
      <c r="W1176" s="32">
        <f>IFERROR(VLOOKUP(TA[[#This Row],[Date]],Raw_Data[[Date]:[Sunset Time (POA&lt;20 W/m2)]],3,0),"")</f>
        <v>0.24861111111111112</v>
      </c>
      <c r="X1176" s="32">
        <f>IFERROR(VLOOKUP(TA[[#This Row],[Date]],Raw_Data[[Date]:[Sunset Time (POA&lt;20 W/m2)]],3,0),"")</f>
        <v>0.24861111111111112</v>
      </c>
      <c r="Y1176" s="26"/>
      <c r="Z1176" s="26">
        <v>0.76041666666666663</v>
      </c>
      <c r="AA1176" s="27">
        <f>IF(TA[[#This Row],[Work Start time on Fault]]="NA","",(TA[[#This Row],[Fault Acknowledgement Time ]]-TA[[#This Row],[Fault Time]])*24)</f>
        <v>0</v>
      </c>
      <c r="AB1176" s="27">
        <f>(TA[[#This Row],[Work Start time on Fault]]-TA[[#This Row],[Fault Time]])*24</f>
        <v>-5.9666666666666668</v>
      </c>
      <c r="AC1176" s="26">
        <f>(TA[[#This Row],[Work Completion time on fault]]-TA[[#This Row],[Fault Time]])*24</f>
        <v>12.283333333333331</v>
      </c>
      <c r="AD1176" s="27">
        <f>IFERROR((TA[[#This Row],[Work Completion time on fault]]-TA[[#This Row],[Fault Time]])*24,"")</f>
        <v>12.283333333333331</v>
      </c>
      <c r="AE1176" t="s">
        <v>319</v>
      </c>
      <c r="AF1176" t="s">
        <v>247</v>
      </c>
      <c r="AG1176" s="2"/>
      <c r="AH1176" s="35">
        <f>1-COS(RADIANS(TA[[#This Row],[Avg. Target Angle during Fault Time (Radians)]]-TA[[#This Row],[Angle of affected equipment ]]))</f>
        <v>0.11705240714107301</v>
      </c>
      <c r="AI1176" s="27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43">
        <f t="shared" si="127"/>
        <v>2026</v>
      </c>
      <c r="C1177" s="116">
        <f t="shared" si="128"/>
        <v>2025</v>
      </c>
      <c r="D1177" s="2" t="s">
        <v>155</v>
      </c>
      <c r="E1177" s="2" t="s">
        <v>155</v>
      </c>
      <c r="F1177" s="30">
        <v>45809</v>
      </c>
      <c r="G1177" s="2">
        <f>DAY(EOMONTH(TA[[#This Row],[Month Year]],0))</f>
        <v>30</v>
      </c>
      <c r="H1177" s="21">
        <v>45827</v>
      </c>
      <c r="I1177" s="32">
        <f>IFERROR(VLOOKUP(TA[[#This Row],[Date]],Raw_Data[[Date]:[Sunset Time (POA&lt;20 W/m2)]],3,0),"")</f>
        <v>0.24861111111111112</v>
      </c>
      <c r="J1177" s="32">
        <f>IFERROR(VLOOKUP(TA[[#This Row],[Date]],Raw_Data[[Date]:[Sunset Time (POA&lt;20 W/m2)]],4,0),"")</f>
        <v>0.77083333333333337</v>
      </c>
      <c r="K1177" s="27">
        <f>IFERROR((TA[[#This Row],[Sunset Time (POA&lt;20 W/m2)]]-TA[[#This Row],[Sunrise Time (POA&gt;20 W/m2)]])*24,"")</f>
        <v>12.533333333333335</v>
      </c>
      <c r="L1177" s="2" t="s">
        <v>285</v>
      </c>
      <c r="M1177" s="33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14" t="s">
        <v>307</v>
      </c>
      <c r="Q1177" s="113" t="s">
        <v>308</v>
      </c>
      <c r="R1177">
        <v>7</v>
      </c>
      <c r="S1177" s="2">
        <v>32</v>
      </c>
      <c r="T1177" t="s">
        <v>286</v>
      </c>
      <c r="U1177" t="s">
        <v>291</v>
      </c>
      <c r="V1177" t="s">
        <v>289</v>
      </c>
      <c r="W1177" s="32"/>
      <c r="X1177" s="32"/>
      <c r="Y1177" s="26"/>
      <c r="Z1177" s="26"/>
      <c r="AA1177" s="27">
        <f>IF(TA[[#This Row],[Work Start time on Fault]]="NA","",(TA[[#This Row],[Fault Acknowledgement Time ]]-TA[[#This Row],[Fault Time]])*24)</f>
        <v>0</v>
      </c>
      <c r="AB1177" s="27">
        <f>(TA[[#This Row],[Work Start time on Fault]]-TA[[#This Row],[Fault Time]])*24</f>
        <v>0</v>
      </c>
      <c r="AC1177" s="26">
        <f>(TA[[#This Row],[Work Completion time on fault]]-TA[[#This Row],[Fault Time]])*24</f>
        <v>0</v>
      </c>
      <c r="AD1177" s="27">
        <f>IFERROR((TA[[#This Row],[Work Completion time on fault]]-TA[[#This Row],[Fault Time]])*24,"")</f>
        <v>0</v>
      </c>
      <c r="AE1177" t="s">
        <v>319</v>
      </c>
      <c r="AF1177" t="s">
        <v>247</v>
      </c>
      <c r="AG1177" s="2"/>
      <c r="AH1177" s="35">
        <f>1-COS(RADIANS(TA[[#This Row],[Avg. Target Angle during Fault Time (Radians)]]-TA[[#This Row],[Angle of affected equipment ]]))</f>
        <v>0.11705240714107301</v>
      </c>
      <c r="AI1177" s="27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43">
        <f t="shared" si="127"/>
        <v>2026</v>
      </c>
      <c r="C1178" s="116">
        <f t="shared" si="128"/>
        <v>2025</v>
      </c>
      <c r="D1178" s="2" t="s">
        <v>155</v>
      </c>
      <c r="E1178" s="2" t="s">
        <v>155</v>
      </c>
      <c r="F1178" s="30">
        <v>45809</v>
      </c>
      <c r="G1178" s="2">
        <f>DAY(EOMONTH(TA[[#This Row],[Month Year]],0))</f>
        <v>30</v>
      </c>
      <c r="H1178" s="21">
        <v>45827</v>
      </c>
      <c r="I1178" s="32">
        <f>IFERROR(VLOOKUP(TA[[#This Row],[Date]],Raw_Data[[Date]:[Sunset Time (POA&lt;20 W/m2)]],3,0),"")</f>
        <v>0.24861111111111112</v>
      </c>
      <c r="J1178" s="32">
        <f>IFERROR(VLOOKUP(TA[[#This Row],[Date]],Raw_Data[[Date]:[Sunset Time (POA&lt;20 W/m2)]],4,0),"")</f>
        <v>0.77083333333333337</v>
      </c>
      <c r="K1178" s="27">
        <f>IFERROR((TA[[#This Row],[Sunset Time (POA&lt;20 W/m2)]]-TA[[#This Row],[Sunrise Time (POA&gt;20 W/m2)]])*24,"")</f>
        <v>12.533333333333335</v>
      </c>
      <c r="L1178" s="2" t="s">
        <v>285</v>
      </c>
      <c r="M1178" s="33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14" t="s">
        <v>306</v>
      </c>
      <c r="Q1178" s="113" t="s">
        <v>310</v>
      </c>
      <c r="R1178">
        <v>166</v>
      </c>
      <c r="S1178" s="2">
        <v>91</v>
      </c>
      <c r="T1178" t="s">
        <v>286</v>
      </c>
      <c r="U1178" t="s">
        <v>291</v>
      </c>
      <c r="V1178" t="s">
        <v>289</v>
      </c>
      <c r="W1178" s="32"/>
      <c r="X1178" s="32"/>
      <c r="Y1178" s="26"/>
      <c r="Z1178" s="26"/>
      <c r="AA1178" s="27">
        <f>IF(TA[[#This Row],[Work Start time on Fault]]="NA","",(TA[[#This Row],[Fault Acknowledgement Time ]]-TA[[#This Row],[Fault Time]])*24)</f>
        <v>0</v>
      </c>
      <c r="AB1178" s="27">
        <f>(TA[[#This Row],[Work Start time on Fault]]-TA[[#This Row],[Fault Time]])*24</f>
        <v>0</v>
      </c>
      <c r="AC1178" s="26">
        <f>(TA[[#This Row],[Work Completion time on fault]]-TA[[#This Row],[Fault Time]])*24</f>
        <v>0</v>
      </c>
      <c r="AD1178" s="27">
        <f>IFERROR((TA[[#This Row],[Work Completion time on fault]]-TA[[#This Row],[Fault Time]])*24,"")</f>
        <v>0</v>
      </c>
      <c r="AE1178" t="s">
        <v>319</v>
      </c>
      <c r="AF1178" t="s">
        <v>247</v>
      </c>
      <c r="AG1178" s="2"/>
      <c r="AH1178" s="35">
        <f>1-COS(RADIANS(TA[[#This Row],[Avg. Target Angle during Fault Time (Radians)]]-TA[[#This Row],[Angle of affected equipment ]]))</f>
        <v>0.11705240714107301</v>
      </c>
      <c r="AI1178" s="27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43">
        <f t="shared" si="127"/>
        <v>2026</v>
      </c>
      <c r="C1179" s="116">
        <f t="shared" si="128"/>
        <v>2025</v>
      </c>
      <c r="D1179" s="2" t="s">
        <v>155</v>
      </c>
      <c r="E1179" s="2" t="s">
        <v>155</v>
      </c>
      <c r="F1179" s="30">
        <v>45809</v>
      </c>
      <c r="G1179" s="2">
        <f>DAY(EOMONTH(TA[[#This Row],[Month Year]],0))</f>
        <v>30</v>
      </c>
      <c r="H1179" s="21">
        <v>45827</v>
      </c>
      <c r="I1179" s="32">
        <f>IFERROR(VLOOKUP(TA[[#This Row],[Date]],Raw_Data[[Date]:[Sunset Time (POA&lt;20 W/m2)]],3,0),"")</f>
        <v>0.24861111111111112</v>
      </c>
      <c r="J1179" s="32">
        <f>IFERROR(VLOOKUP(TA[[#This Row],[Date]],Raw_Data[[Date]:[Sunset Time (POA&lt;20 W/m2)]],4,0),"")</f>
        <v>0.77083333333333337</v>
      </c>
      <c r="K1179" s="27">
        <f>IFERROR((TA[[#This Row],[Sunset Time (POA&lt;20 W/m2)]]-TA[[#This Row],[Sunrise Time (POA&gt;20 W/m2)]])*24,"")</f>
        <v>12.533333333333335</v>
      </c>
      <c r="L1179" s="2" t="s">
        <v>285</v>
      </c>
      <c r="M1179" s="33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14" t="s">
        <v>307</v>
      </c>
      <c r="Q1179" s="113" t="s">
        <v>307</v>
      </c>
      <c r="R1179">
        <v>117</v>
      </c>
      <c r="S1179" s="2">
        <v>20</v>
      </c>
      <c r="T1179" t="s">
        <v>286</v>
      </c>
      <c r="U1179" t="s">
        <v>291</v>
      </c>
      <c r="V1179" t="s">
        <v>289</v>
      </c>
      <c r="W1179" s="32"/>
      <c r="X1179" s="32"/>
      <c r="Y1179" s="26"/>
      <c r="Z1179" s="26"/>
      <c r="AA1179" s="27">
        <f>IF(TA[[#This Row],[Work Start time on Fault]]="NA","",(TA[[#This Row],[Fault Acknowledgement Time ]]-TA[[#This Row],[Fault Time]])*24)</f>
        <v>0</v>
      </c>
      <c r="AB1179" s="27">
        <f>(TA[[#This Row],[Work Start time on Fault]]-TA[[#This Row],[Fault Time]])*24</f>
        <v>0</v>
      </c>
      <c r="AC1179" s="26">
        <f>(TA[[#This Row],[Work Completion time on fault]]-TA[[#This Row],[Fault Time]])*24</f>
        <v>0</v>
      </c>
      <c r="AD1179" s="27">
        <f>IFERROR((TA[[#This Row],[Work Completion time on fault]]-TA[[#This Row],[Fault Time]])*24,"")</f>
        <v>0</v>
      </c>
      <c r="AE1179" t="s">
        <v>319</v>
      </c>
      <c r="AF1179" t="s">
        <v>247</v>
      </c>
      <c r="AG1179" s="2"/>
      <c r="AH1179" s="35">
        <f>1-COS(RADIANS(TA[[#This Row],[Avg. Target Angle during Fault Time (Radians)]]-TA[[#This Row],[Angle of affected equipment ]]))</f>
        <v>0.11705240714107301</v>
      </c>
      <c r="AI1179" s="27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43">
        <f t="shared" si="127"/>
        <v>2026</v>
      </c>
      <c r="C1180" s="116">
        <f t="shared" si="128"/>
        <v>2025</v>
      </c>
      <c r="D1180" s="2" t="s">
        <v>155</v>
      </c>
      <c r="E1180" s="2" t="s">
        <v>155</v>
      </c>
      <c r="F1180" s="30">
        <v>45809</v>
      </c>
      <c r="G1180" s="2">
        <f>DAY(EOMONTH(TA[[#This Row],[Month Year]],0))</f>
        <v>30</v>
      </c>
      <c r="H1180" s="21">
        <v>45827</v>
      </c>
      <c r="I1180" s="32">
        <f>IFERROR(VLOOKUP(TA[[#This Row],[Date]],Raw_Data[[Date]:[Sunset Time (POA&lt;20 W/m2)]],3,0),"")</f>
        <v>0.24861111111111112</v>
      </c>
      <c r="J1180" s="32">
        <f>IFERROR(VLOOKUP(TA[[#This Row],[Date]],Raw_Data[[Date]:[Sunset Time (POA&lt;20 W/m2)]],4,0),"")</f>
        <v>0.77083333333333337</v>
      </c>
      <c r="K1180" s="27">
        <f>IFERROR((TA[[#This Row],[Sunset Time (POA&lt;20 W/m2)]]-TA[[#This Row],[Sunrise Time (POA&gt;20 W/m2)]])*24,"")</f>
        <v>12.533333333333335</v>
      </c>
      <c r="L1180" s="2" t="s">
        <v>285</v>
      </c>
      <c r="M1180" s="33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14" t="s">
        <v>307</v>
      </c>
      <c r="Q1180" s="113" t="s">
        <v>307</v>
      </c>
      <c r="R1180">
        <v>118</v>
      </c>
      <c r="S1180" s="2">
        <v>22</v>
      </c>
      <c r="T1180" t="s">
        <v>286</v>
      </c>
      <c r="U1180" t="s">
        <v>291</v>
      </c>
      <c r="V1180" t="s">
        <v>289</v>
      </c>
      <c r="W1180" s="32"/>
      <c r="X1180" s="32"/>
      <c r="Y1180" s="26"/>
      <c r="Z1180" s="26"/>
      <c r="AA1180" s="27">
        <f>IF(TA[[#This Row],[Work Start time on Fault]]="NA","",(TA[[#This Row],[Fault Acknowledgement Time ]]-TA[[#This Row],[Fault Time]])*24)</f>
        <v>0</v>
      </c>
      <c r="AB1180" s="27">
        <f>(TA[[#This Row],[Work Start time on Fault]]-TA[[#This Row],[Fault Time]])*24</f>
        <v>0</v>
      </c>
      <c r="AC1180" s="26">
        <f>(TA[[#This Row],[Work Completion time on fault]]-TA[[#This Row],[Fault Time]])*24</f>
        <v>0</v>
      </c>
      <c r="AD1180" s="27">
        <f>IFERROR((TA[[#This Row],[Work Completion time on fault]]-TA[[#This Row],[Fault Time]])*24,"")</f>
        <v>0</v>
      </c>
      <c r="AE1180" t="s">
        <v>319</v>
      </c>
      <c r="AF1180" t="s">
        <v>247</v>
      </c>
      <c r="AG1180" s="2"/>
      <c r="AH1180" s="35">
        <f>1-COS(RADIANS(TA[[#This Row],[Avg. Target Angle during Fault Time (Radians)]]-TA[[#This Row],[Angle of affected equipment ]]))</f>
        <v>0.11705240714107301</v>
      </c>
      <c r="AI1180" s="27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43">
        <f t="shared" si="127"/>
        <v>2026</v>
      </c>
      <c r="C1181" s="116">
        <f t="shared" si="128"/>
        <v>2025</v>
      </c>
      <c r="D1181" s="2" t="s">
        <v>155</v>
      </c>
      <c r="E1181" s="2" t="s">
        <v>155</v>
      </c>
      <c r="F1181" s="30">
        <v>45809</v>
      </c>
      <c r="G1181" s="2">
        <f>DAY(EOMONTH(TA[[#This Row],[Month Year]],0))</f>
        <v>30</v>
      </c>
      <c r="H1181" s="21">
        <v>45827</v>
      </c>
      <c r="I1181" s="32">
        <f>IFERROR(VLOOKUP(TA[[#This Row],[Date]],Raw_Data[[Date]:[Sunset Time (POA&lt;20 W/m2)]],3,0),"")</f>
        <v>0.24861111111111112</v>
      </c>
      <c r="J1181" s="32">
        <f>IFERROR(VLOOKUP(TA[[#This Row],[Date]],Raw_Data[[Date]:[Sunset Time (POA&lt;20 W/m2)]],4,0),"")</f>
        <v>0.77083333333333337</v>
      </c>
      <c r="K1181" s="27">
        <f>IFERROR((TA[[#This Row],[Sunset Time (POA&lt;20 W/m2)]]-TA[[#This Row],[Sunrise Time (POA&gt;20 W/m2)]])*24,"")</f>
        <v>12.533333333333335</v>
      </c>
      <c r="L1181" s="2" t="s">
        <v>287</v>
      </c>
      <c r="M1181" s="33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314</v>
      </c>
      <c r="Q1181" s="2" t="s">
        <v>320</v>
      </c>
      <c r="R1181">
        <v>45</v>
      </c>
      <c r="S1181" s="2">
        <v>8</v>
      </c>
      <c r="T1181" t="s">
        <v>288</v>
      </c>
      <c r="U1181" t="s">
        <v>291</v>
      </c>
      <c r="V1181" t="s">
        <v>292</v>
      </c>
      <c r="W1181" s="32"/>
      <c r="X1181" s="32"/>
      <c r="Y1181" s="26"/>
      <c r="Z1181" s="26"/>
      <c r="AA1181" s="27">
        <f>IF(TA[[#This Row],[Work Start time on Fault]]="NA","",(TA[[#This Row],[Fault Acknowledgement Time ]]-TA[[#This Row],[Fault Time]])*24)</f>
        <v>0</v>
      </c>
      <c r="AB1181" s="27">
        <f>(TA[[#This Row],[Work Start time on Fault]]-TA[[#This Row],[Fault Time]])*24</f>
        <v>0</v>
      </c>
      <c r="AC1181" s="26">
        <f>(TA[[#This Row],[Work Completion time on fault]]-TA[[#This Row],[Fault Time]])*24</f>
        <v>0</v>
      </c>
      <c r="AD1181" s="27">
        <f>IFERROR((TA[[#This Row],[Work Completion time on fault]]-TA[[#This Row],[Fault Time]])*24,"")</f>
        <v>0</v>
      </c>
      <c r="AE1181" t="s">
        <v>319</v>
      </c>
      <c r="AF1181" t="s">
        <v>247</v>
      </c>
      <c r="AG1181" s="2"/>
      <c r="AH1181" s="35">
        <f>1-COS(RADIANS(TA[[#This Row],[Avg. Target Angle during Fault Time (Radians)]]-TA[[#This Row],[Angle of affected equipment ]]))</f>
        <v>0.11705240714107301</v>
      </c>
      <c r="AI1181" s="27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43">
        <f t="shared" si="127"/>
        <v>2026</v>
      </c>
      <c r="C1182" s="116">
        <f t="shared" si="128"/>
        <v>2025</v>
      </c>
      <c r="D1182" s="2" t="s">
        <v>155</v>
      </c>
      <c r="E1182" s="2" t="s">
        <v>155</v>
      </c>
      <c r="F1182" s="30">
        <v>45809</v>
      </c>
      <c r="G1182" s="2">
        <f>DAY(EOMONTH(TA[[#This Row],[Month Year]],0))</f>
        <v>30</v>
      </c>
      <c r="H1182" s="21">
        <v>45827</v>
      </c>
      <c r="I1182" s="32">
        <f>IFERROR(VLOOKUP(TA[[#This Row],[Date]],Raw_Data[[Date]:[Sunset Time (POA&lt;20 W/m2)]],3,0),"")</f>
        <v>0.24861111111111112</v>
      </c>
      <c r="J1182" s="32">
        <f>IFERROR(VLOOKUP(TA[[#This Row],[Date]],Raw_Data[[Date]:[Sunset Time (POA&lt;20 W/m2)]],4,0),"")</f>
        <v>0.77083333333333337</v>
      </c>
      <c r="K1182" s="27">
        <f>IFERROR((TA[[#This Row],[Sunset Time (POA&lt;20 W/m2)]]-TA[[#This Row],[Sunrise Time (POA&gt;20 W/m2)]])*24,"")</f>
        <v>12.533333333333335</v>
      </c>
      <c r="L1182" s="2" t="s">
        <v>287</v>
      </c>
      <c r="M1182" s="33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314</v>
      </c>
      <c r="Q1182" s="2" t="s">
        <v>320</v>
      </c>
      <c r="R1182">
        <v>47</v>
      </c>
      <c r="S1182" s="2">
        <v>18</v>
      </c>
      <c r="T1182" t="s">
        <v>288</v>
      </c>
      <c r="U1182" t="s">
        <v>291</v>
      </c>
      <c r="V1182" t="s">
        <v>292</v>
      </c>
      <c r="W1182" s="32"/>
      <c r="X1182" s="32"/>
      <c r="Y1182" s="26"/>
      <c r="Z1182" s="26"/>
      <c r="AA1182" s="27">
        <f>IF(TA[[#This Row],[Work Start time on Fault]]="NA","",(TA[[#This Row],[Fault Acknowledgement Time ]]-TA[[#This Row],[Fault Time]])*24)</f>
        <v>0</v>
      </c>
      <c r="AB1182" s="27">
        <f>(TA[[#This Row],[Work Start time on Fault]]-TA[[#This Row],[Fault Time]])*24</f>
        <v>0</v>
      </c>
      <c r="AC1182" s="26">
        <f>(TA[[#This Row],[Work Completion time on fault]]-TA[[#This Row],[Fault Time]])*24</f>
        <v>0</v>
      </c>
      <c r="AD1182" s="27">
        <f>IFERROR((TA[[#This Row],[Work Completion time on fault]]-TA[[#This Row],[Fault Time]])*24,"")</f>
        <v>0</v>
      </c>
      <c r="AE1182" t="s">
        <v>319</v>
      </c>
      <c r="AF1182" t="s">
        <v>247</v>
      </c>
      <c r="AG1182" s="2"/>
      <c r="AH1182" s="35">
        <f>1-COS(RADIANS(TA[[#This Row],[Avg. Target Angle during Fault Time (Radians)]]-TA[[#This Row],[Angle of affected equipment ]]))</f>
        <v>0.11705240714107301</v>
      </c>
      <c r="AI1182" s="27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43">
        <f t="shared" si="127"/>
        <v>2026</v>
      </c>
      <c r="C1183" s="116">
        <f t="shared" si="128"/>
        <v>2025</v>
      </c>
      <c r="D1183" s="2" t="s">
        <v>155</v>
      </c>
      <c r="E1183" s="2" t="s">
        <v>155</v>
      </c>
      <c r="F1183" s="30">
        <v>45809</v>
      </c>
      <c r="G1183" s="2">
        <f>DAY(EOMONTH(TA[[#This Row],[Month Year]],0))</f>
        <v>30</v>
      </c>
      <c r="H1183" s="21">
        <v>45827</v>
      </c>
      <c r="I1183" s="32">
        <f>IFERROR(VLOOKUP(TA[[#This Row],[Date]],Raw_Data[[Date]:[Sunset Time (POA&lt;20 W/m2)]],3,0),"")</f>
        <v>0.24861111111111112</v>
      </c>
      <c r="J1183" s="32">
        <f>IFERROR(VLOOKUP(TA[[#This Row],[Date]],Raw_Data[[Date]:[Sunset Time (POA&lt;20 W/m2)]],4,0),"")</f>
        <v>0.77083333333333337</v>
      </c>
      <c r="K1183" s="27">
        <f>IFERROR((TA[[#This Row],[Sunset Time (POA&lt;20 W/m2)]]-TA[[#This Row],[Sunrise Time (POA&gt;20 W/m2)]])*24,"")</f>
        <v>12.533333333333335</v>
      </c>
      <c r="L1183" s="2" t="s">
        <v>287</v>
      </c>
      <c r="M1183" s="33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321</v>
      </c>
      <c r="Q1183" s="2" t="s">
        <v>314</v>
      </c>
      <c r="R1183">
        <v>30</v>
      </c>
      <c r="S1183" s="2">
        <v>57</v>
      </c>
      <c r="T1183" t="s">
        <v>288</v>
      </c>
      <c r="U1183" t="s">
        <v>291</v>
      </c>
      <c r="V1183" t="s">
        <v>292</v>
      </c>
      <c r="W1183" s="32"/>
      <c r="X1183" s="32"/>
      <c r="Y1183" s="26"/>
      <c r="Z1183" s="26"/>
      <c r="AA1183" s="27">
        <f>IF(TA[[#This Row],[Work Start time on Fault]]="NA","",(TA[[#This Row],[Fault Acknowledgement Time ]]-TA[[#This Row],[Fault Time]])*24)</f>
        <v>0</v>
      </c>
      <c r="AB1183" s="27">
        <f>(TA[[#This Row],[Work Start time on Fault]]-TA[[#This Row],[Fault Time]])*24</f>
        <v>0</v>
      </c>
      <c r="AC1183" s="26">
        <f>(TA[[#This Row],[Work Completion time on fault]]-TA[[#This Row],[Fault Time]])*24</f>
        <v>0</v>
      </c>
      <c r="AD1183" s="27">
        <f>IFERROR((TA[[#This Row],[Work Completion time on fault]]-TA[[#This Row],[Fault Time]])*24,"")</f>
        <v>0</v>
      </c>
      <c r="AE1183" t="s">
        <v>319</v>
      </c>
      <c r="AF1183" t="s">
        <v>247</v>
      </c>
      <c r="AG1183" s="2"/>
      <c r="AH1183" s="35">
        <f>1-COS(RADIANS(TA[[#This Row],[Avg. Target Angle during Fault Time (Radians)]]-TA[[#This Row],[Angle of affected equipment ]]))</f>
        <v>0.11705240714107301</v>
      </c>
      <c r="AI1183" s="27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43">
        <f t="shared" si="127"/>
        <v>2026</v>
      </c>
      <c r="C1184" s="116">
        <f t="shared" si="128"/>
        <v>2025</v>
      </c>
      <c r="D1184" s="2" t="s">
        <v>155</v>
      </c>
      <c r="E1184" s="2" t="s">
        <v>155</v>
      </c>
      <c r="F1184" s="30">
        <v>45809</v>
      </c>
      <c r="G1184" s="2">
        <f>DAY(EOMONTH(TA[[#This Row],[Month Year]],0))</f>
        <v>30</v>
      </c>
      <c r="H1184" s="21">
        <v>45827</v>
      </c>
      <c r="I1184" s="32">
        <f>IFERROR(VLOOKUP(TA[[#This Row],[Date]],Raw_Data[[Date]:[Sunset Time (POA&lt;20 W/m2)]],3,0),"")</f>
        <v>0.24861111111111112</v>
      </c>
      <c r="J1184" s="32">
        <f>IFERROR(VLOOKUP(TA[[#This Row],[Date]],Raw_Data[[Date]:[Sunset Time (POA&lt;20 W/m2)]],4,0),"")</f>
        <v>0.77083333333333337</v>
      </c>
      <c r="K1184" s="27">
        <f>IFERROR((TA[[#This Row],[Sunset Time (POA&lt;20 W/m2)]]-TA[[#This Row],[Sunrise Time (POA&gt;20 W/m2)]])*24,"")</f>
        <v>12.533333333333335</v>
      </c>
      <c r="L1184" s="2" t="s">
        <v>287</v>
      </c>
      <c r="M1184" s="33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321</v>
      </c>
      <c r="Q1184" s="2" t="s">
        <v>314</v>
      </c>
      <c r="R1184">
        <v>31</v>
      </c>
      <c r="S1184" s="2">
        <v>61</v>
      </c>
      <c r="T1184" t="s">
        <v>288</v>
      </c>
      <c r="U1184" t="s">
        <v>291</v>
      </c>
      <c r="V1184" t="s">
        <v>292</v>
      </c>
      <c r="W1184" s="32"/>
      <c r="X1184" s="32"/>
      <c r="Y1184" s="26"/>
      <c r="Z1184" s="26"/>
      <c r="AA1184" s="27">
        <f>IF(TA[[#This Row],[Work Start time on Fault]]="NA","",(TA[[#This Row],[Fault Acknowledgement Time ]]-TA[[#This Row],[Fault Time]])*24)</f>
        <v>0</v>
      </c>
      <c r="AB1184" s="27">
        <f>(TA[[#This Row],[Work Start time on Fault]]-TA[[#This Row],[Fault Time]])*24</f>
        <v>0</v>
      </c>
      <c r="AC1184" s="26">
        <f>(TA[[#This Row],[Work Completion time on fault]]-TA[[#This Row],[Fault Time]])*24</f>
        <v>0</v>
      </c>
      <c r="AD1184" s="27">
        <f>IFERROR((TA[[#This Row],[Work Completion time on fault]]-TA[[#This Row],[Fault Time]])*24,"")</f>
        <v>0</v>
      </c>
      <c r="AE1184" t="s">
        <v>319</v>
      </c>
      <c r="AF1184" t="s">
        <v>247</v>
      </c>
      <c r="AG1184" s="2"/>
      <c r="AH1184" s="35">
        <f>1-COS(RADIANS(TA[[#This Row],[Avg. Target Angle during Fault Time (Radians)]]-TA[[#This Row],[Angle of affected equipment ]]))</f>
        <v>0.11705240714107301</v>
      </c>
      <c r="AI1184" s="27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43">
        <f t="shared" si="127"/>
        <v>2026</v>
      </c>
      <c r="C1185" s="116">
        <f t="shared" si="128"/>
        <v>2025</v>
      </c>
      <c r="D1185" s="2" t="s">
        <v>155</v>
      </c>
      <c r="E1185" s="2" t="s">
        <v>155</v>
      </c>
      <c r="F1185" s="30">
        <v>45809</v>
      </c>
      <c r="G1185" s="2">
        <f>DAY(EOMONTH(TA[[#This Row],[Month Year]],0))</f>
        <v>30</v>
      </c>
      <c r="H1185" s="21">
        <v>45827</v>
      </c>
      <c r="I1185" s="32">
        <f>IFERROR(VLOOKUP(TA[[#This Row],[Date]],Raw_Data[[Date]:[Sunset Time (POA&lt;20 W/m2)]],3,0),"")</f>
        <v>0.24861111111111112</v>
      </c>
      <c r="J1185" s="32">
        <f>IFERROR(VLOOKUP(TA[[#This Row],[Date]],Raw_Data[[Date]:[Sunset Time (POA&lt;20 W/m2)]],4,0),"")</f>
        <v>0.77083333333333337</v>
      </c>
      <c r="K1185" s="27">
        <f>IFERROR((TA[[#This Row],[Sunset Time (POA&lt;20 W/m2)]]-TA[[#This Row],[Sunrise Time (POA&gt;20 W/m2)]])*24,"")</f>
        <v>12.533333333333335</v>
      </c>
      <c r="L1185" s="2" t="s">
        <v>303</v>
      </c>
      <c r="M1185" s="33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321</v>
      </c>
      <c r="Q1185" s="2" t="s">
        <v>314</v>
      </c>
      <c r="R1185">
        <v>26</v>
      </c>
      <c r="S1185" s="2">
        <v>37</v>
      </c>
      <c r="T1185" t="s">
        <v>288</v>
      </c>
      <c r="U1185" t="s">
        <v>291</v>
      </c>
      <c r="V1185" t="s">
        <v>292</v>
      </c>
      <c r="W1185" s="32"/>
      <c r="X1185" s="32"/>
      <c r="Y1185" s="26"/>
      <c r="Z1185" s="26"/>
      <c r="AA1185" s="27">
        <f>IF(TA[[#This Row],[Work Start time on Fault]]="NA","",(TA[[#This Row],[Fault Acknowledgement Time ]]-TA[[#This Row],[Fault Time]])*24)</f>
        <v>0</v>
      </c>
      <c r="AB1185" s="27">
        <f>(TA[[#This Row],[Work Start time on Fault]]-TA[[#This Row],[Fault Time]])*24</f>
        <v>0</v>
      </c>
      <c r="AC1185" s="26">
        <f>(TA[[#This Row],[Work Completion time on fault]]-TA[[#This Row],[Fault Time]])*24</f>
        <v>0</v>
      </c>
      <c r="AD1185" s="27">
        <f>IFERROR((TA[[#This Row],[Work Completion time on fault]]-TA[[#This Row],[Fault Time]])*24,"")</f>
        <v>0</v>
      </c>
      <c r="AE1185" t="s">
        <v>319</v>
      </c>
      <c r="AF1185" t="s">
        <v>247</v>
      </c>
      <c r="AG1185" s="2"/>
      <c r="AH1185" s="35">
        <f>1-COS(RADIANS(TA[[#This Row],[Avg. Target Angle during Fault Time (Radians)]]-TA[[#This Row],[Angle of affected equipment ]]))</f>
        <v>0.11705240714107301</v>
      </c>
      <c r="AI1185" s="27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43">
        <f t="shared" si="127"/>
        <v>2026</v>
      </c>
      <c r="C1186" s="116">
        <f t="shared" si="128"/>
        <v>2025</v>
      </c>
      <c r="D1186" s="2" t="s">
        <v>155</v>
      </c>
      <c r="E1186" s="2" t="s">
        <v>155</v>
      </c>
      <c r="F1186" s="30">
        <v>45809</v>
      </c>
      <c r="G1186" s="2">
        <f>DAY(EOMONTH(TA[[#This Row],[Month Year]],0))</f>
        <v>30</v>
      </c>
      <c r="H1186" s="21">
        <v>45827</v>
      </c>
      <c r="I1186" s="32">
        <f>IFERROR(VLOOKUP(TA[[#This Row],[Date]],Raw_Data[[Date]:[Sunset Time (POA&lt;20 W/m2)]],3,0),"")</f>
        <v>0.24861111111111112</v>
      </c>
      <c r="J1186" s="32">
        <f>IFERROR(VLOOKUP(TA[[#This Row],[Date]],Raw_Data[[Date]:[Sunset Time (POA&lt;20 W/m2)]],4,0),"")</f>
        <v>0.77083333333333337</v>
      </c>
      <c r="K1186" s="27">
        <f>IFERROR((TA[[#This Row],[Sunset Time (POA&lt;20 W/m2)]]-TA[[#This Row],[Sunrise Time (POA&gt;20 W/m2)]])*24,"")</f>
        <v>12.533333333333335</v>
      </c>
      <c r="L1186" s="2" t="s">
        <v>303</v>
      </c>
      <c r="M1186" s="33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321</v>
      </c>
      <c r="Q1186" s="2" t="s">
        <v>314</v>
      </c>
      <c r="R1186">
        <v>27</v>
      </c>
      <c r="S1186" s="2">
        <v>42</v>
      </c>
      <c r="T1186" t="s">
        <v>288</v>
      </c>
      <c r="U1186" t="s">
        <v>291</v>
      </c>
      <c r="V1186" t="s">
        <v>292</v>
      </c>
      <c r="W1186" s="32">
        <f>IFERROR(VLOOKUP(TA[[#This Row],[Date]],Raw_Data[[Date]:[Sunset Time (POA&lt;20 W/m2)]],3,0),"")</f>
        <v>0.24861111111111112</v>
      </c>
      <c r="X1186" s="32">
        <f>IFERROR(VLOOKUP(TA[[#This Row],[Date]],Raw_Data[[Date]:[Sunset Time (POA&lt;20 W/m2)]],3,0),"")</f>
        <v>0.24861111111111112</v>
      </c>
      <c r="Y1186" s="26"/>
      <c r="Z1186" s="26">
        <v>0.76041666666666663</v>
      </c>
      <c r="AA1186" s="27">
        <f>IF(TA[[#This Row],[Work Start time on Fault]]="NA","",(TA[[#This Row],[Fault Acknowledgement Time ]]-TA[[#This Row],[Fault Time]])*24)</f>
        <v>0</v>
      </c>
      <c r="AB1186" s="27">
        <f>(TA[[#This Row],[Work Start time on Fault]]-TA[[#This Row],[Fault Time]])*24</f>
        <v>-5.9666666666666668</v>
      </c>
      <c r="AC1186" s="26">
        <f>(TA[[#This Row],[Work Completion time on fault]]-TA[[#This Row],[Fault Time]])*24</f>
        <v>12.283333333333331</v>
      </c>
      <c r="AD1186" s="27">
        <f>IFERROR((TA[[#This Row],[Work Completion time on fault]]-TA[[#This Row],[Fault Time]])*24,"")</f>
        <v>12.283333333333331</v>
      </c>
      <c r="AE1186" t="s">
        <v>300</v>
      </c>
      <c r="AF1186" t="s">
        <v>247</v>
      </c>
      <c r="AG1186" s="2"/>
      <c r="AH1186" s="35">
        <f>1-COS(RADIANS(TA[[#This Row],[Avg. Target Angle during Fault Time (Radians)]]-TA[[#This Row],[Angle of affected equipment ]]))</f>
        <v>0.11705240714107301</v>
      </c>
      <c r="AI1186" s="27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43">
        <f t="shared" ref="B1187:B1199" si="129">YEAR(H1187)+IF(MONTH(H1187)&gt;=4,1,0)</f>
        <v>2026</v>
      </c>
      <c r="C1187" s="116">
        <f t="shared" ref="C1187:C1199" si="130">YEAR(H1187)</f>
        <v>2025</v>
      </c>
      <c r="D1187" s="2" t="s">
        <v>155</v>
      </c>
      <c r="E1187" s="2" t="s">
        <v>155</v>
      </c>
      <c r="F1187" s="30">
        <v>45809</v>
      </c>
      <c r="G1187" s="2">
        <f>DAY(EOMONTH(TA[[#This Row],[Month Year]],0))</f>
        <v>30</v>
      </c>
      <c r="H1187" s="21">
        <v>45828</v>
      </c>
      <c r="I1187" s="32">
        <f>IFERROR(VLOOKUP(TA[[#This Row],[Date]],Raw_Data[[Date]:[Sunset Time (POA&lt;20 W/m2)]],3,0),"")</f>
        <v>0.25138888888888888</v>
      </c>
      <c r="J1187" s="32">
        <f>IFERROR(VLOOKUP(TA[[#This Row],[Date]],Raw_Data[[Date]:[Sunset Time (POA&lt;20 W/m2)]],4,0),"")</f>
        <v>0.77638888888888891</v>
      </c>
      <c r="K1187" s="27">
        <f>IFERROR((TA[[#This Row],[Sunset Time (POA&lt;20 W/m2)]]-TA[[#This Row],[Sunrise Time (POA&gt;20 W/m2)]])*24,"")</f>
        <v>12.600000000000001</v>
      </c>
      <c r="L1187" s="2" t="s">
        <v>285</v>
      </c>
      <c r="M1187" s="33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14" t="s">
        <v>309</v>
      </c>
      <c r="Q1187" s="113" t="s">
        <v>309</v>
      </c>
      <c r="R1187">
        <v>131</v>
      </c>
      <c r="S1187" s="2">
        <v>38</v>
      </c>
      <c r="T1187" t="s">
        <v>286</v>
      </c>
      <c r="U1187" t="s">
        <v>291</v>
      </c>
      <c r="V1187" t="s">
        <v>289</v>
      </c>
      <c r="W1187" s="32"/>
      <c r="X1187" s="32"/>
      <c r="Y1187" s="26"/>
      <c r="Z1187" s="26"/>
      <c r="AA1187" s="27">
        <f>IF(TA[[#This Row],[Work Start time on Fault]]="NA","",(TA[[#This Row],[Fault Acknowledgement Time ]]-TA[[#This Row],[Fault Time]])*24)</f>
        <v>0</v>
      </c>
      <c r="AB1187" s="27">
        <f>(TA[[#This Row],[Work Start time on Fault]]-TA[[#This Row],[Fault Time]])*24</f>
        <v>0</v>
      </c>
      <c r="AC1187" s="26">
        <f>(TA[[#This Row],[Work Completion time on fault]]-TA[[#This Row],[Fault Time]])*24</f>
        <v>0</v>
      </c>
      <c r="AD1187" s="27">
        <f>IFERROR((TA[[#This Row],[Work Completion time on fault]]-TA[[#This Row],[Fault Time]])*24,"")</f>
        <v>0</v>
      </c>
      <c r="AE1187" t="s">
        <v>319</v>
      </c>
      <c r="AF1187" t="s">
        <v>247</v>
      </c>
      <c r="AG1187" s="2"/>
      <c r="AH1187" s="35">
        <f>1-COS(RADIANS(TA[[#This Row],[Avg. Target Angle during Fault Time (Radians)]]-TA[[#This Row],[Angle of affected equipment ]]))</f>
        <v>0.11705240714107301</v>
      </c>
      <c r="AI1187" s="27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43">
        <f t="shared" si="129"/>
        <v>2026</v>
      </c>
      <c r="C1188" s="116">
        <f t="shared" si="130"/>
        <v>2025</v>
      </c>
      <c r="D1188" s="2" t="s">
        <v>155</v>
      </c>
      <c r="E1188" s="2" t="s">
        <v>155</v>
      </c>
      <c r="F1188" s="30">
        <v>45809</v>
      </c>
      <c r="G1188" s="2">
        <f>DAY(EOMONTH(TA[[#This Row],[Month Year]],0))</f>
        <v>30</v>
      </c>
      <c r="H1188" s="21">
        <v>45828</v>
      </c>
      <c r="I1188" s="32">
        <f>IFERROR(VLOOKUP(TA[[#This Row],[Date]],Raw_Data[[Date]:[Sunset Time (POA&lt;20 W/m2)]],3,0),"")</f>
        <v>0.25138888888888888</v>
      </c>
      <c r="J1188" s="32">
        <f>IFERROR(VLOOKUP(TA[[#This Row],[Date]],Raw_Data[[Date]:[Sunset Time (POA&lt;20 W/m2)]],4,0),"")</f>
        <v>0.77638888888888891</v>
      </c>
      <c r="K1188" s="27">
        <f>IFERROR((TA[[#This Row],[Sunset Time (POA&lt;20 W/m2)]]-TA[[#This Row],[Sunrise Time (POA&gt;20 W/m2)]])*24,"")</f>
        <v>12.600000000000001</v>
      </c>
      <c r="L1188" s="2" t="s">
        <v>285</v>
      </c>
      <c r="M1188" s="33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14" t="s">
        <v>309</v>
      </c>
      <c r="Q1188" s="113" t="s">
        <v>309</v>
      </c>
      <c r="R1188">
        <v>131</v>
      </c>
      <c r="S1188" s="2">
        <v>39</v>
      </c>
      <c r="T1188" t="s">
        <v>286</v>
      </c>
      <c r="U1188" t="s">
        <v>291</v>
      </c>
      <c r="V1188" t="s">
        <v>289</v>
      </c>
      <c r="W1188" s="32"/>
      <c r="X1188" s="32"/>
      <c r="Y1188" s="26"/>
      <c r="Z1188" s="26"/>
      <c r="AA1188" s="27">
        <f>IF(TA[[#This Row],[Work Start time on Fault]]="NA","",(TA[[#This Row],[Fault Acknowledgement Time ]]-TA[[#This Row],[Fault Time]])*24)</f>
        <v>0</v>
      </c>
      <c r="AB1188" s="27">
        <f>(TA[[#This Row],[Work Start time on Fault]]-TA[[#This Row],[Fault Time]])*24</f>
        <v>0</v>
      </c>
      <c r="AC1188" s="26">
        <f>(TA[[#This Row],[Work Completion time on fault]]-TA[[#This Row],[Fault Time]])*24</f>
        <v>0</v>
      </c>
      <c r="AD1188" s="27">
        <f>IFERROR((TA[[#This Row],[Work Completion time on fault]]-TA[[#This Row],[Fault Time]])*24,"")</f>
        <v>0</v>
      </c>
      <c r="AE1188" t="s">
        <v>319</v>
      </c>
      <c r="AF1188" t="s">
        <v>247</v>
      </c>
      <c r="AG1188" s="2"/>
      <c r="AH1188" s="35">
        <f>1-COS(RADIANS(TA[[#This Row],[Avg. Target Angle during Fault Time (Radians)]]-TA[[#This Row],[Angle of affected equipment ]]))</f>
        <v>0.11705240714107301</v>
      </c>
      <c r="AI1188" s="27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43">
        <f t="shared" si="129"/>
        <v>2026</v>
      </c>
      <c r="C1189" s="116">
        <f t="shared" si="130"/>
        <v>2025</v>
      </c>
      <c r="D1189" s="2" t="s">
        <v>155</v>
      </c>
      <c r="E1189" s="2" t="s">
        <v>155</v>
      </c>
      <c r="F1189" s="30">
        <v>45809</v>
      </c>
      <c r="G1189" s="2">
        <f>DAY(EOMONTH(TA[[#This Row],[Month Year]],0))</f>
        <v>30</v>
      </c>
      <c r="H1189" s="21">
        <v>45828</v>
      </c>
      <c r="I1189" s="32">
        <f>IFERROR(VLOOKUP(TA[[#This Row],[Date]],Raw_Data[[Date]:[Sunset Time (POA&lt;20 W/m2)]],3,0),"")</f>
        <v>0.25138888888888888</v>
      </c>
      <c r="J1189" s="32">
        <f>IFERROR(VLOOKUP(TA[[#This Row],[Date]],Raw_Data[[Date]:[Sunset Time (POA&lt;20 W/m2)]],4,0),"")</f>
        <v>0.77638888888888891</v>
      </c>
      <c r="K1189" s="27">
        <f>IFERROR((TA[[#This Row],[Sunset Time (POA&lt;20 W/m2)]]-TA[[#This Row],[Sunrise Time (POA&gt;20 W/m2)]])*24,"")</f>
        <v>12.600000000000001</v>
      </c>
      <c r="L1189" s="2" t="s">
        <v>287</v>
      </c>
      <c r="M1189" s="33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14" t="s">
        <v>309</v>
      </c>
      <c r="Q1189" s="2" t="s">
        <v>312</v>
      </c>
      <c r="R1189">
        <v>133</v>
      </c>
      <c r="S1189" s="2">
        <v>26</v>
      </c>
      <c r="T1189" t="s">
        <v>288</v>
      </c>
      <c r="U1189" t="s">
        <v>291</v>
      </c>
      <c r="V1189" t="s">
        <v>305</v>
      </c>
      <c r="W1189" s="32">
        <f>IFERROR(VLOOKUP(TA[[#This Row],[Date]],Raw_Data[[Date]:[Sunset Time (POA&lt;20 W/m2)]],3,0),"")</f>
        <v>0.25138888888888888</v>
      </c>
      <c r="X1189" s="32">
        <f>IFERROR(VLOOKUP(TA[[#This Row],[Date]],Raw_Data[[Date]:[Sunset Time (POA&lt;20 W/m2)]],3,0),"")</f>
        <v>0.25138888888888888</v>
      </c>
      <c r="Y1189" s="26"/>
      <c r="Z1189" s="26">
        <v>0.76041666666666663</v>
      </c>
      <c r="AA1189" s="27">
        <f>IF(TA[[#This Row],[Work Start time on Fault]]="NA","",(TA[[#This Row],[Fault Acknowledgement Time ]]-TA[[#This Row],[Fault Time]])*24)</f>
        <v>0</v>
      </c>
      <c r="AB1189" s="27">
        <f>(TA[[#This Row],[Work Start time on Fault]]-TA[[#This Row],[Fault Time]])*24</f>
        <v>-6.0333333333333332</v>
      </c>
      <c r="AC1189" s="26">
        <f>(TA[[#This Row],[Work Completion time on fault]]-TA[[#This Row],[Fault Time]])*24</f>
        <v>12.216666666666665</v>
      </c>
      <c r="AD1189" s="27">
        <f>IFERROR((TA[[#This Row],[Work Completion time on fault]]-TA[[#This Row],[Fault Time]])*24,"")</f>
        <v>12.216666666666665</v>
      </c>
      <c r="AE1189" t="s">
        <v>319</v>
      </c>
      <c r="AF1189" t="s">
        <v>247</v>
      </c>
      <c r="AG1189" s="2"/>
      <c r="AH1189" s="35">
        <f>1-COS(RADIANS(TA[[#This Row],[Avg. Target Angle during Fault Time (Radians)]]-TA[[#This Row],[Angle of affected equipment ]]))</f>
        <v>0.11705240714107301</v>
      </c>
      <c r="AI1189" s="27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43">
        <f t="shared" si="129"/>
        <v>2026</v>
      </c>
      <c r="C1190" s="116">
        <f t="shared" si="130"/>
        <v>2025</v>
      </c>
      <c r="D1190" s="2" t="s">
        <v>155</v>
      </c>
      <c r="E1190" s="2" t="s">
        <v>155</v>
      </c>
      <c r="F1190" s="30">
        <v>45809</v>
      </c>
      <c r="G1190" s="2">
        <f>DAY(EOMONTH(TA[[#This Row],[Month Year]],0))</f>
        <v>30</v>
      </c>
      <c r="H1190" s="21">
        <v>45828</v>
      </c>
      <c r="I1190" s="32">
        <f>IFERROR(VLOOKUP(TA[[#This Row],[Date]],Raw_Data[[Date]:[Sunset Time (POA&lt;20 W/m2)]],3,0),"")</f>
        <v>0.25138888888888888</v>
      </c>
      <c r="J1190" s="32">
        <f>IFERROR(VLOOKUP(TA[[#This Row],[Date]],Raw_Data[[Date]:[Sunset Time (POA&lt;20 W/m2)]],4,0),"")</f>
        <v>0.77638888888888891</v>
      </c>
      <c r="K1190" s="27">
        <f>IFERROR((TA[[#This Row],[Sunset Time (POA&lt;20 W/m2)]]-TA[[#This Row],[Sunrise Time (POA&gt;20 W/m2)]])*24,"")</f>
        <v>12.600000000000001</v>
      </c>
      <c r="L1190" s="2" t="s">
        <v>285</v>
      </c>
      <c r="M1190" s="33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14" t="s">
        <v>307</v>
      </c>
      <c r="Q1190" s="113" t="s">
        <v>308</v>
      </c>
      <c r="R1190">
        <v>7</v>
      </c>
      <c r="S1190" s="2">
        <v>32</v>
      </c>
      <c r="T1190" t="s">
        <v>286</v>
      </c>
      <c r="U1190" t="s">
        <v>291</v>
      </c>
      <c r="V1190" t="s">
        <v>289</v>
      </c>
      <c r="W1190" s="32"/>
      <c r="X1190" s="32"/>
      <c r="Y1190" s="26"/>
      <c r="Z1190" s="26"/>
      <c r="AA1190" s="27">
        <f>IF(TA[[#This Row],[Work Start time on Fault]]="NA","",(TA[[#This Row],[Fault Acknowledgement Time ]]-TA[[#This Row],[Fault Time]])*24)</f>
        <v>0</v>
      </c>
      <c r="AB1190" s="27">
        <f>(TA[[#This Row],[Work Start time on Fault]]-TA[[#This Row],[Fault Time]])*24</f>
        <v>0</v>
      </c>
      <c r="AC1190" s="26">
        <f>(TA[[#This Row],[Work Completion time on fault]]-TA[[#This Row],[Fault Time]])*24</f>
        <v>0</v>
      </c>
      <c r="AD1190" s="27">
        <f>IFERROR((TA[[#This Row],[Work Completion time on fault]]-TA[[#This Row],[Fault Time]])*24,"")</f>
        <v>0</v>
      </c>
      <c r="AE1190" t="s">
        <v>319</v>
      </c>
      <c r="AF1190" t="s">
        <v>247</v>
      </c>
      <c r="AG1190" s="2"/>
      <c r="AH1190" s="35">
        <f>1-COS(RADIANS(TA[[#This Row],[Avg. Target Angle during Fault Time (Radians)]]-TA[[#This Row],[Angle of affected equipment ]]))</f>
        <v>0.11705240714107301</v>
      </c>
      <c r="AI1190" s="27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43">
        <f t="shared" si="129"/>
        <v>2026</v>
      </c>
      <c r="C1191" s="116">
        <f t="shared" si="130"/>
        <v>2025</v>
      </c>
      <c r="D1191" s="2" t="s">
        <v>155</v>
      </c>
      <c r="E1191" s="2" t="s">
        <v>155</v>
      </c>
      <c r="F1191" s="30">
        <v>45809</v>
      </c>
      <c r="G1191" s="2">
        <f>DAY(EOMONTH(TA[[#This Row],[Month Year]],0))</f>
        <v>30</v>
      </c>
      <c r="H1191" s="21">
        <v>45828</v>
      </c>
      <c r="I1191" s="32">
        <f>IFERROR(VLOOKUP(TA[[#This Row],[Date]],Raw_Data[[Date]:[Sunset Time (POA&lt;20 W/m2)]],3,0),"")</f>
        <v>0.25138888888888888</v>
      </c>
      <c r="J1191" s="32">
        <f>IFERROR(VLOOKUP(TA[[#This Row],[Date]],Raw_Data[[Date]:[Sunset Time (POA&lt;20 W/m2)]],4,0),"")</f>
        <v>0.77638888888888891</v>
      </c>
      <c r="K1191" s="27">
        <f>IFERROR((TA[[#This Row],[Sunset Time (POA&lt;20 W/m2)]]-TA[[#This Row],[Sunrise Time (POA&gt;20 W/m2)]])*24,"")</f>
        <v>12.600000000000001</v>
      </c>
      <c r="L1191" s="2" t="s">
        <v>285</v>
      </c>
      <c r="M1191" s="33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14" t="s">
        <v>306</v>
      </c>
      <c r="Q1191" s="113" t="s">
        <v>310</v>
      </c>
      <c r="R1191">
        <v>166</v>
      </c>
      <c r="S1191" s="2">
        <v>91</v>
      </c>
      <c r="T1191" t="s">
        <v>286</v>
      </c>
      <c r="U1191" t="s">
        <v>291</v>
      </c>
      <c r="V1191" t="s">
        <v>289</v>
      </c>
      <c r="W1191" s="32"/>
      <c r="X1191" s="32"/>
      <c r="Y1191" s="26"/>
      <c r="Z1191" s="26"/>
      <c r="AA1191" s="27">
        <f>IF(TA[[#This Row],[Work Start time on Fault]]="NA","",(TA[[#This Row],[Fault Acknowledgement Time ]]-TA[[#This Row],[Fault Time]])*24)</f>
        <v>0</v>
      </c>
      <c r="AB1191" s="27">
        <f>(TA[[#This Row],[Work Start time on Fault]]-TA[[#This Row],[Fault Time]])*24</f>
        <v>0</v>
      </c>
      <c r="AC1191" s="26">
        <f>(TA[[#This Row],[Work Completion time on fault]]-TA[[#This Row],[Fault Time]])*24</f>
        <v>0</v>
      </c>
      <c r="AD1191" s="27">
        <f>IFERROR((TA[[#This Row],[Work Completion time on fault]]-TA[[#This Row],[Fault Time]])*24,"")</f>
        <v>0</v>
      </c>
      <c r="AE1191" t="s">
        <v>319</v>
      </c>
      <c r="AF1191" t="s">
        <v>247</v>
      </c>
      <c r="AG1191" s="2"/>
      <c r="AH1191" s="35">
        <f>1-COS(RADIANS(TA[[#This Row],[Avg. Target Angle during Fault Time (Radians)]]-TA[[#This Row],[Angle of affected equipment ]]))</f>
        <v>0.11705240714107301</v>
      </c>
      <c r="AI1191" s="27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43">
        <f t="shared" si="129"/>
        <v>2026</v>
      </c>
      <c r="C1192" s="116">
        <f t="shared" si="130"/>
        <v>2025</v>
      </c>
      <c r="D1192" s="2" t="s">
        <v>155</v>
      </c>
      <c r="E1192" s="2" t="s">
        <v>155</v>
      </c>
      <c r="F1192" s="30">
        <v>45809</v>
      </c>
      <c r="G1192" s="2">
        <f>DAY(EOMONTH(TA[[#This Row],[Month Year]],0))</f>
        <v>30</v>
      </c>
      <c r="H1192" s="21">
        <v>45828</v>
      </c>
      <c r="I1192" s="32">
        <f>IFERROR(VLOOKUP(TA[[#This Row],[Date]],Raw_Data[[Date]:[Sunset Time (POA&lt;20 W/m2)]],3,0),"")</f>
        <v>0.25138888888888888</v>
      </c>
      <c r="J1192" s="32">
        <f>IFERROR(VLOOKUP(TA[[#This Row],[Date]],Raw_Data[[Date]:[Sunset Time (POA&lt;20 W/m2)]],4,0),"")</f>
        <v>0.77638888888888891</v>
      </c>
      <c r="K1192" s="27">
        <f>IFERROR((TA[[#This Row],[Sunset Time (POA&lt;20 W/m2)]]-TA[[#This Row],[Sunrise Time (POA&gt;20 W/m2)]])*24,"")</f>
        <v>12.600000000000001</v>
      </c>
      <c r="L1192" s="2" t="s">
        <v>285</v>
      </c>
      <c r="M1192" s="33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14" t="s">
        <v>307</v>
      </c>
      <c r="Q1192" s="113" t="s">
        <v>307</v>
      </c>
      <c r="R1192">
        <v>117</v>
      </c>
      <c r="S1192" s="2">
        <v>20</v>
      </c>
      <c r="T1192" t="s">
        <v>286</v>
      </c>
      <c r="U1192" t="s">
        <v>291</v>
      </c>
      <c r="V1192" t="s">
        <v>289</v>
      </c>
      <c r="W1192" s="32"/>
      <c r="X1192" s="32"/>
      <c r="Y1192" s="26"/>
      <c r="Z1192" s="26"/>
      <c r="AA1192" s="27">
        <f>IF(TA[[#This Row],[Work Start time on Fault]]="NA","",(TA[[#This Row],[Fault Acknowledgement Time ]]-TA[[#This Row],[Fault Time]])*24)</f>
        <v>0</v>
      </c>
      <c r="AB1192" s="27">
        <f>(TA[[#This Row],[Work Start time on Fault]]-TA[[#This Row],[Fault Time]])*24</f>
        <v>0</v>
      </c>
      <c r="AC1192" s="26">
        <f>(TA[[#This Row],[Work Completion time on fault]]-TA[[#This Row],[Fault Time]])*24</f>
        <v>0</v>
      </c>
      <c r="AD1192" s="27">
        <f>IFERROR((TA[[#This Row],[Work Completion time on fault]]-TA[[#This Row],[Fault Time]])*24,"")</f>
        <v>0</v>
      </c>
      <c r="AE1192" t="s">
        <v>319</v>
      </c>
      <c r="AF1192" t="s">
        <v>247</v>
      </c>
      <c r="AG1192" s="2"/>
      <c r="AH1192" s="35">
        <f>1-COS(RADIANS(TA[[#This Row],[Avg. Target Angle during Fault Time (Radians)]]-TA[[#This Row],[Angle of affected equipment ]]))</f>
        <v>0.11705240714107301</v>
      </c>
      <c r="AI1192" s="27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43">
        <f t="shared" si="129"/>
        <v>2026</v>
      </c>
      <c r="C1193" s="116">
        <f t="shared" si="130"/>
        <v>2025</v>
      </c>
      <c r="D1193" s="2" t="s">
        <v>155</v>
      </c>
      <c r="E1193" s="2" t="s">
        <v>155</v>
      </c>
      <c r="F1193" s="30">
        <v>45809</v>
      </c>
      <c r="G1193" s="2">
        <f>DAY(EOMONTH(TA[[#This Row],[Month Year]],0))</f>
        <v>30</v>
      </c>
      <c r="H1193" s="21">
        <v>45828</v>
      </c>
      <c r="I1193" s="32">
        <f>IFERROR(VLOOKUP(TA[[#This Row],[Date]],Raw_Data[[Date]:[Sunset Time (POA&lt;20 W/m2)]],3,0),"")</f>
        <v>0.25138888888888888</v>
      </c>
      <c r="J1193" s="32">
        <f>IFERROR(VLOOKUP(TA[[#This Row],[Date]],Raw_Data[[Date]:[Sunset Time (POA&lt;20 W/m2)]],4,0),"")</f>
        <v>0.77638888888888891</v>
      </c>
      <c r="K1193" s="27">
        <f>IFERROR((TA[[#This Row],[Sunset Time (POA&lt;20 W/m2)]]-TA[[#This Row],[Sunrise Time (POA&gt;20 W/m2)]])*24,"")</f>
        <v>12.600000000000001</v>
      </c>
      <c r="L1193" s="2" t="s">
        <v>285</v>
      </c>
      <c r="M1193" s="33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14" t="s">
        <v>307</v>
      </c>
      <c r="Q1193" s="113" t="s">
        <v>307</v>
      </c>
      <c r="R1193">
        <v>118</v>
      </c>
      <c r="S1193" s="2">
        <v>22</v>
      </c>
      <c r="T1193" t="s">
        <v>286</v>
      </c>
      <c r="U1193" t="s">
        <v>291</v>
      </c>
      <c r="V1193" t="s">
        <v>289</v>
      </c>
      <c r="W1193" s="32"/>
      <c r="X1193" s="32"/>
      <c r="Y1193" s="26"/>
      <c r="Z1193" s="26"/>
      <c r="AA1193" s="27">
        <f>IF(TA[[#This Row],[Work Start time on Fault]]="NA","",(TA[[#This Row],[Fault Acknowledgement Time ]]-TA[[#This Row],[Fault Time]])*24)</f>
        <v>0</v>
      </c>
      <c r="AB1193" s="27">
        <f>(TA[[#This Row],[Work Start time on Fault]]-TA[[#This Row],[Fault Time]])*24</f>
        <v>0</v>
      </c>
      <c r="AC1193" s="26">
        <f>(TA[[#This Row],[Work Completion time on fault]]-TA[[#This Row],[Fault Time]])*24</f>
        <v>0</v>
      </c>
      <c r="AD1193" s="27">
        <f>IFERROR((TA[[#This Row],[Work Completion time on fault]]-TA[[#This Row],[Fault Time]])*24,"")</f>
        <v>0</v>
      </c>
      <c r="AE1193" t="s">
        <v>319</v>
      </c>
      <c r="AF1193" t="s">
        <v>247</v>
      </c>
      <c r="AG1193" s="2"/>
      <c r="AH1193" s="35">
        <f>1-COS(RADIANS(TA[[#This Row],[Avg. Target Angle during Fault Time (Radians)]]-TA[[#This Row],[Angle of affected equipment ]]))</f>
        <v>0.11705240714107301</v>
      </c>
      <c r="AI1193" s="27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43">
        <f t="shared" si="129"/>
        <v>2026</v>
      </c>
      <c r="C1194" s="116">
        <f t="shared" si="130"/>
        <v>2025</v>
      </c>
      <c r="D1194" s="2" t="s">
        <v>155</v>
      </c>
      <c r="E1194" s="2" t="s">
        <v>155</v>
      </c>
      <c r="F1194" s="30">
        <v>45809</v>
      </c>
      <c r="G1194" s="2">
        <f>DAY(EOMONTH(TA[[#This Row],[Month Year]],0))</f>
        <v>30</v>
      </c>
      <c r="H1194" s="21">
        <v>45828</v>
      </c>
      <c r="I1194" s="32">
        <f>IFERROR(VLOOKUP(TA[[#This Row],[Date]],Raw_Data[[Date]:[Sunset Time (POA&lt;20 W/m2)]],3,0),"")</f>
        <v>0.25138888888888888</v>
      </c>
      <c r="J1194" s="32">
        <f>IFERROR(VLOOKUP(TA[[#This Row],[Date]],Raw_Data[[Date]:[Sunset Time (POA&lt;20 W/m2)]],4,0),"")</f>
        <v>0.77638888888888891</v>
      </c>
      <c r="K1194" s="27">
        <f>IFERROR((TA[[#This Row],[Sunset Time (POA&lt;20 W/m2)]]-TA[[#This Row],[Sunrise Time (POA&gt;20 W/m2)]])*24,"")</f>
        <v>12.600000000000001</v>
      </c>
      <c r="L1194" s="2" t="s">
        <v>287</v>
      </c>
      <c r="M1194" s="33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314</v>
      </c>
      <c r="Q1194" s="2" t="s">
        <v>320</v>
      </c>
      <c r="R1194">
        <v>45</v>
      </c>
      <c r="S1194" s="2">
        <v>8</v>
      </c>
      <c r="T1194" t="s">
        <v>288</v>
      </c>
      <c r="U1194" t="s">
        <v>291</v>
      </c>
      <c r="V1194" t="s">
        <v>292</v>
      </c>
      <c r="W1194" s="32"/>
      <c r="X1194" s="32"/>
      <c r="Y1194" s="26"/>
      <c r="Z1194" s="26"/>
      <c r="AA1194" s="27">
        <f>IF(TA[[#This Row],[Work Start time on Fault]]="NA","",(TA[[#This Row],[Fault Acknowledgement Time ]]-TA[[#This Row],[Fault Time]])*24)</f>
        <v>0</v>
      </c>
      <c r="AB1194" s="27">
        <f>(TA[[#This Row],[Work Start time on Fault]]-TA[[#This Row],[Fault Time]])*24</f>
        <v>0</v>
      </c>
      <c r="AC1194" s="26">
        <f>(TA[[#This Row],[Work Completion time on fault]]-TA[[#This Row],[Fault Time]])*24</f>
        <v>0</v>
      </c>
      <c r="AD1194" s="27">
        <f>IFERROR((TA[[#This Row],[Work Completion time on fault]]-TA[[#This Row],[Fault Time]])*24,"")</f>
        <v>0</v>
      </c>
      <c r="AE1194" t="s">
        <v>319</v>
      </c>
      <c r="AF1194" t="s">
        <v>247</v>
      </c>
      <c r="AG1194" s="2"/>
      <c r="AH1194" s="35">
        <f>1-COS(RADIANS(TA[[#This Row],[Avg. Target Angle during Fault Time (Radians)]]-TA[[#This Row],[Angle of affected equipment ]]))</f>
        <v>0.11705240714107301</v>
      </c>
      <c r="AI1194" s="27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43">
        <f t="shared" si="129"/>
        <v>2026</v>
      </c>
      <c r="C1195" s="116">
        <f t="shared" si="130"/>
        <v>2025</v>
      </c>
      <c r="D1195" s="2" t="s">
        <v>155</v>
      </c>
      <c r="E1195" s="2" t="s">
        <v>155</v>
      </c>
      <c r="F1195" s="30">
        <v>45809</v>
      </c>
      <c r="G1195" s="2">
        <f>DAY(EOMONTH(TA[[#This Row],[Month Year]],0))</f>
        <v>30</v>
      </c>
      <c r="H1195" s="21">
        <v>45828</v>
      </c>
      <c r="I1195" s="32">
        <f>IFERROR(VLOOKUP(TA[[#This Row],[Date]],Raw_Data[[Date]:[Sunset Time (POA&lt;20 W/m2)]],3,0),"")</f>
        <v>0.25138888888888888</v>
      </c>
      <c r="J1195" s="32">
        <f>IFERROR(VLOOKUP(TA[[#This Row],[Date]],Raw_Data[[Date]:[Sunset Time (POA&lt;20 W/m2)]],4,0),"")</f>
        <v>0.77638888888888891</v>
      </c>
      <c r="K1195" s="27">
        <f>IFERROR((TA[[#This Row],[Sunset Time (POA&lt;20 W/m2)]]-TA[[#This Row],[Sunrise Time (POA&gt;20 W/m2)]])*24,"")</f>
        <v>12.600000000000001</v>
      </c>
      <c r="L1195" s="2" t="s">
        <v>287</v>
      </c>
      <c r="M1195" s="33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314</v>
      </c>
      <c r="Q1195" s="2" t="s">
        <v>320</v>
      </c>
      <c r="R1195">
        <v>47</v>
      </c>
      <c r="S1195" s="2">
        <v>18</v>
      </c>
      <c r="T1195" t="s">
        <v>288</v>
      </c>
      <c r="U1195" t="s">
        <v>291</v>
      </c>
      <c r="V1195" t="s">
        <v>292</v>
      </c>
      <c r="W1195" s="32"/>
      <c r="X1195" s="32"/>
      <c r="Y1195" s="26"/>
      <c r="Z1195" s="26"/>
      <c r="AA1195" s="27">
        <f>IF(TA[[#This Row],[Work Start time on Fault]]="NA","",(TA[[#This Row],[Fault Acknowledgement Time ]]-TA[[#This Row],[Fault Time]])*24)</f>
        <v>0</v>
      </c>
      <c r="AB1195" s="27">
        <f>(TA[[#This Row],[Work Start time on Fault]]-TA[[#This Row],[Fault Time]])*24</f>
        <v>0</v>
      </c>
      <c r="AC1195" s="26">
        <f>(TA[[#This Row],[Work Completion time on fault]]-TA[[#This Row],[Fault Time]])*24</f>
        <v>0</v>
      </c>
      <c r="AD1195" s="27">
        <f>IFERROR((TA[[#This Row],[Work Completion time on fault]]-TA[[#This Row],[Fault Time]])*24,"")</f>
        <v>0</v>
      </c>
      <c r="AE1195" t="s">
        <v>319</v>
      </c>
      <c r="AF1195" t="s">
        <v>247</v>
      </c>
      <c r="AG1195" s="2"/>
      <c r="AH1195" s="35">
        <f>1-COS(RADIANS(TA[[#This Row],[Avg. Target Angle during Fault Time (Radians)]]-TA[[#This Row],[Angle of affected equipment ]]))</f>
        <v>0.11705240714107301</v>
      </c>
      <c r="AI1195" s="27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43">
        <f t="shared" si="129"/>
        <v>2026</v>
      </c>
      <c r="C1196" s="116">
        <f t="shared" si="130"/>
        <v>2025</v>
      </c>
      <c r="D1196" s="2" t="s">
        <v>155</v>
      </c>
      <c r="E1196" s="2" t="s">
        <v>155</v>
      </c>
      <c r="F1196" s="30">
        <v>45809</v>
      </c>
      <c r="G1196" s="2">
        <f>DAY(EOMONTH(TA[[#This Row],[Month Year]],0))</f>
        <v>30</v>
      </c>
      <c r="H1196" s="21">
        <v>45828</v>
      </c>
      <c r="I1196" s="32">
        <f>IFERROR(VLOOKUP(TA[[#This Row],[Date]],Raw_Data[[Date]:[Sunset Time (POA&lt;20 W/m2)]],3,0),"")</f>
        <v>0.25138888888888888</v>
      </c>
      <c r="J1196" s="32">
        <f>IFERROR(VLOOKUP(TA[[#This Row],[Date]],Raw_Data[[Date]:[Sunset Time (POA&lt;20 W/m2)]],4,0),"")</f>
        <v>0.77638888888888891</v>
      </c>
      <c r="K1196" s="27">
        <f>IFERROR((TA[[#This Row],[Sunset Time (POA&lt;20 W/m2)]]-TA[[#This Row],[Sunrise Time (POA&gt;20 W/m2)]])*24,"")</f>
        <v>12.600000000000001</v>
      </c>
      <c r="L1196" s="2" t="s">
        <v>287</v>
      </c>
      <c r="M1196" s="33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321</v>
      </c>
      <c r="Q1196" s="2" t="s">
        <v>314</v>
      </c>
      <c r="R1196">
        <v>30</v>
      </c>
      <c r="S1196" s="2">
        <v>57</v>
      </c>
      <c r="T1196" t="s">
        <v>288</v>
      </c>
      <c r="U1196" t="s">
        <v>291</v>
      </c>
      <c r="V1196" t="s">
        <v>292</v>
      </c>
      <c r="W1196" s="32"/>
      <c r="X1196" s="32"/>
      <c r="Y1196" s="26"/>
      <c r="Z1196" s="26"/>
      <c r="AA1196" s="27">
        <f>IF(TA[[#This Row],[Work Start time on Fault]]="NA","",(TA[[#This Row],[Fault Acknowledgement Time ]]-TA[[#This Row],[Fault Time]])*24)</f>
        <v>0</v>
      </c>
      <c r="AB1196" s="27">
        <f>(TA[[#This Row],[Work Start time on Fault]]-TA[[#This Row],[Fault Time]])*24</f>
        <v>0</v>
      </c>
      <c r="AC1196" s="26">
        <f>(TA[[#This Row],[Work Completion time on fault]]-TA[[#This Row],[Fault Time]])*24</f>
        <v>0</v>
      </c>
      <c r="AD1196" s="27">
        <f>IFERROR((TA[[#This Row],[Work Completion time on fault]]-TA[[#This Row],[Fault Time]])*24,"")</f>
        <v>0</v>
      </c>
      <c r="AE1196" t="s">
        <v>319</v>
      </c>
      <c r="AF1196" t="s">
        <v>247</v>
      </c>
      <c r="AG1196" s="2"/>
      <c r="AH1196" s="35">
        <f>1-COS(RADIANS(TA[[#This Row],[Avg. Target Angle during Fault Time (Radians)]]-TA[[#This Row],[Angle of affected equipment ]]))</f>
        <v>0.11705240714107301</v>
      </c>
      <c r="AI1196" s="27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43">
        <f t="shared" si="129"/>
        <v>2026</v>
      </c>
      <c r="C1197" s="116">
        <f t="shared" si="130"/>
        <v>2025</v>
      </c>
      <c r="D1197" s="2" t="s">
        <v>155</v>
      </c>
      <c r="E1197" s="2" t="s">
        <v>155</v>
      </c>
      <c r="F1197" s="30">
        <v>45809</v>
      </c>
      <c r="G1197" s="2">
        <f>DAY(EOMONTH(TA[[#This Row],[Month Year]],0))</f>
        <v>30</v>
      </c>
      <c r="H1197" s="21">
        <v>45828</v>
      </c>
      <c r="I1197" s="32">
        <f>IFERROR(VLOOKUP(TA[[#This Row],[Date]],Raw_Data[[Date]:[Sunset Time (POA&lt;20 W/m2)]],3,0),"")</f>
        <v>0.25138888888888888</v>
      </c>
      <c r="J1197" s="32">
        <f>IFERROR(VLOOKUP(TA[[#This Row],[Date]],Raw_Data[[Date]:[Sunset Time (POA&lt;20 W/m2)]],4,0),"")</f>
        <v>0.77638888888888891</v>
      </c>
      <c r="K1197" s="27">
        <f>IFERROR((TA[[#This Row],[Sunset Time (POA&lt;20 W/m2)]]-TA[[#This Row],[Sunrise Time (POA&gt;20 W/m2)]])*24,"")</f>
        <v>12.600000000000001</v>
      </c>
      <c r="L1197" s="2" t="s">
        <v>287</v>
      </c>
      <c r="M1197" s="33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321</v>
      </c>
      <c r="Q1197" s="2" t="s">
        <v>314</v>
      </c>
      <c r="R1197">
        <v>31</v>
      </c>
      <c r="S1197" s="2">
        <v>61</v>
      </c>
      <c r="T1197" t="s">
        <v>288</v>
      </c>
      <c r="U1197" t="s">
        <v>291</v>
      </c>
      <c r="V1197" t="s">
        <v>292</v>
      </c>
      <c r="W1197" s="32"/>
      <c r="X1197" s="32"/>
      <c r="Y1197" s="26"/>
      <c r="Z1197" s="26"/>
      <c r="AA1197" s="27">
        <f>IF(TA[[#This Row],[Work Start time on Fault]]="NA","",(TA[[#This Row],[Fault Acknowledgement Time ]]-TA[[#This Row],[Fault Time]])*24)</f>
        <v>0</v>
      </c>
      <c r="AB1197" s="27">
        <f>(TA[[#This Row],[Work Start time on Fault]]-TA[[#This Row],[Fault Time]])*24</f>
        <v>0</v>
      </c>
      <c r="AC1197" s="26">
        <f>(TA[[#This Row],[Work Completion time on fault]]-TA[[#This Row],[Fault Time]])*24</f>
        <v>0</v>
      </c>
      <c r="AD1197" s="27">
        <f>IFERROR((TA[[#This Row],[Work Completion time on fault]]-TA[[#This Row],[Fault Time]])*24,"")</f>
        <v>0</v>
      </c>
      <c r="AE1197" t="s">
        <v>319</v>
      </c>
      <c r="AF1197" t="s">
        <v>247</v>
      </c>
      <c r="AG1197" s="2"/>
      <c r="AH1197" s="35">
        <f>1-COS(RADIANS(TA[[#This Row],[Avg. Target Angle during Fault Time (Radians)]]-TA[[#This Row],[Angle of affected equipment ]]))</f>
        <v>0.11705240714107301</v>
      </c>
      <c r="AI1197" s="27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43">
        <f t="shared" si="129"/>
        <v>2026</v>
      </c>
      <c r="C1198" s="116">
        <f t="shared" si="130"/>
        <v>2025</v>
      </c>
      <c r="D1198" s="2" t="s">
        <v>155</v>
      </c>
      <c r="E1198" s="2" t="s">
        <v>155</v>
      </c>
      <c r="F1198" s="30">
        <v>45809</v>
      </c>
      <c r="G1198" s="2">
        <f>DAY(EOMONTH(TA[[#This Row],[Month Year]],0))</f>
        <v>30</v>
      </c>
      <c r="H1198" s="21">
        <v>45828</v>
      </c>
      <c r="I1198" s="32">
        <f>IFERROR(VLOOKUP(TA[[#This Row],[Date]],Raw_Data[[Date]:[Sunset Time (POA&lt;20 W/m2)]],3,0),"")</f>
        <v>0.25138888888888888</v>
      </c>
      <c r="J1198" s="32">
        <f>IFERROR(VLOOKUP(TA[[#This Row],[Date]],Raw_Data[[Date]:[Sunset Time (POA&lt;20 W/m2)]],4,0),"")</f>
        <v>0.77638888888888891</v>
      </c>
      <c r="K1198" s="27">
        <f>IFERROR((TA[[#This Row],[Sunset Time (POA&lt;20 W/m2)]]-TA[[#This Row],[Sunrise Time (POA&gt;20 W/m2)]])*24,"")</f>
        <v>12.600000000000001</v>
      </c>
      <c r="L1198" s="2" t="s">
        <v>303</v>
      </c>
      <c r="M1198" s="33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321</v>
      </c>
      <c r="Q1198" s="2" t="s">
        <v>314</v>
      </c>
      <c r="R1198">
        <v>26</v>
      </c>
      <c r="S1198" s="2">
        <v>37</v>
      </c>
      <c r="T1198" t="s">
        <v>288</v>
      </c>
      <c r="U1198" t="s">
        <v>291</v>
      </c>
      <c r="V1198" t="s">
        <v>292</v>
      </c>
      <c r="W1198" s="32"/>
      <c r="X1198" s="32"/>
      <c r="Y1198" s="26"/>
      <c r="Z1198" s="26"/>
      <c r="AA1198" s="27">
        <f>IF(TA[[#This Row],[Work Start time on Fault]]="NA","",(TA[[#This Row],[Fault Acknowledgement Time ]]-TA[[#This Row],[Fault Time]])*24)</f>
        <v>0</v>
      </c>
      <c r="AB1198" s="27">
        <f>(TA[[#This Row],[Work Start time on Fault]]-TA[[#This Row],[Fault Time]])*24</f>
        <v>0</v>
      </c>
      <c r="AC1198" s="26">
        <f>(TA[[#This Row],[Work Completion time on fault]]-TA[[#This Row],[Fault Time]])*24</f>
        <v>0</v>
      </c>
      <c r="AD1198" s="27">
        <f>IFERROR((TA[[#This Row],[Work Completion time on fault]]-TA[[#This Row],[Fault Time]])*24,"")</f>
        <v>0</v>
      </c>
      <c r="AE1198" t="s">
        <v>319</v>
      </c>
      <c r="AF1198" t="s">
        <v>247</v>
      </c>
      <c r="AG1198" s="2"/>
      <c r="AH1198" s="35">
        <f>1-COS(RADIANS(TA[[#This Row],[Avg. Target Angle during Fault Time (Radians)]]-TA[[#This Row],[Angle of affected equipment ]]))</f>
        <v>0.11705240714107301</v>
      </c>
      <c r="AI1198" s="27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43">
        <f t="shared" si="129"/>
        <v>2026</v>
      </c>
      <c r="C1199" s="116">
        <f t="shared" si="130"/>
        <v>2025</v>
      </c>
      <c r="D1199" s="2" t="s">
        <v>155</v>
      </c>
      <c r="E1199" s="2" t="s">
        <v>155</v>
      </c>
      <c r="F1199" s="30">
        <v>45809</v>
      </c>
      <c r="G1199" s="2">
        <f>DAY(EOMONTH(TA[[#This Row],[Month Year]],0))</f>
        <v>30</v>
      </c>
      <c r="H1199" s="21">
        <v>45828</v>
      </c>
      <c r="I1199" s="32">
        <f>IFERROR(VLOOKUP(TA[[#This Row],[Date]],Raw_Data[[Date]:[Sunset Time (POA&lt;20 W/m2)]],3,0),"")</f>
        <v>0.25138888888888888</v>
      </c>
      <c r="J1199" s="32">
        <f>IFERROR(VLOOKUP(TA[[#This Row],[Date]],Raw_Data[[Date]:[Sunset Time (POA&lt;20 W/m2)]],4,0),"")</f>
        <v>0.77638888888888891</v>
      </c>
      <c r="K1199" s="27">
        <f>IFERROR((TA[[#This Row],[Sunset Time (POA&lt;20 W/m2)]]-TA[[#This Row],[Sunrise Time (POA&gt;20 W/m2)]])*24,"")</f>
        <v>12.600000000000001</v>
      </c>
      <c r="L1199" s="2" t="s">
        <v>303</v>
      </c>
      <c r="M1199" s="33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321</v>
      </c>
      <c r="Q1199" s="2" t="s">
        <v>314</v>
      </c>
      <c r="R1199">
        <v>27</v>
      </c>
      <c r="S1199" s="2">
        <v>42</v>
      </c>
      <c r="T1199" t="s">
        <v>288</v>
      </c>
      <c r="U1199" t="s">
        <v>291</v>
      </c>
      <c r="V1199" t="s">
        <v>292</v>
      </c>
      <c r="W1199" s="32">
        <f>IFERROR(VLOOKUP(TA[[#This Row],[Date]],Raw_Data[[Date]:[Sunset Time (POA&lt;20 W/m2)]],3,0),"")</f>
        <v>0.25138888888888888</v>
      </c>
      <c r="X1199" s="32">
        <f>IFERROR(VLOOKUP(TA[[#This Row],[Date]],Raw_Data[[Date]:[Sunset Time (POA&lt;20 W/m2)]],3,0),"")</f>
        <v>0.25138888888888888</v>
      </c>
      <c r="Y1199" s="26"/>
      <c r="Z1199" s="26">
        <v>0.76041666666666663</v>
      </c>
      <c r="AA1199" s="27">
        <f>IF(TA[[#This Row],[Work Start time on Fault]]="NA","",(TA[[#This Row],[Fault Acknowledgement Time ]]-TA[[#This Row],[Fault Time]])*24)</f>
        <v>0</v>
      </c>
      <c r="AB1199" s="27">
        <f>(TA[[#This Row],[Work Start time on Fault]]-TA[[#This Row],[Fault Time]])*24</f>
        <v>-6.0333333333333332</v>
      </c>
      <c r="AC1199" s="26">
        <f>(TA[[#This Row],[Work Completion time on fault]]-TA[[#This Row],[Fault Time]])*24</f>
        <v>12.216666666666665</v>
      </c>
      <c r="AD1199" s="27">
        <f>IFERROR((TA[[#This Row],[Work Completion time on fault]]-TA[[#This Row],[Fault Time]])*24,"")</f>
        <v>12.216666666666665</v>
      </c>
      <c r="AE1199" t="s">
        <v>300</v>
      </c>
      <c r="AF1199" t="s">
        <v>247</v>
      </c>
      <c r="AG1199" s="2"/>
      <c r="AH1199" s="35">
        <f>1-COS(RADIANS(TA[[#This Row],[Avg. Target Angle during Fault Time (Radians)]]-TA[[#This Row],[Angle of affected equipment ]]))</f>
        <v>0.11705240714107301</v>
      </c>
      <c r="AI1199" s="27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43">
        <f t="shared" ref="B1200:B1212" si="132">YEAR(H1200)+IF(MONTH(H1200)&gt;=4,1,0)</f>
        <v>2026</v>
      </c>
      <c r="C1200" s="116">
        <f t="shared" ref="C1200:C1212" si="133">YEAR(H1200)</f>
        <v>2025</v>
      </c>
      <c r="D1200" s="2" t="s">
        <v>155</v>
      </c>
      <c r="E1200" s="2" t="s">
        <v>155</v>
      </c>
      <c r="F1200" s="30">
        <v>45809</v>
      </c>
      <c r="G1200" s="2">
        <f>DAY(EOMONTH(TA[[#This Row],[Month Year]],0))</f>
        <v>30</v>
      </c>
      <c r="H1200" s="21">
        <v>45829</v>
      </c>
      <c r="I1200" s="32">
        <f>IFERROR(VLOOKUP(TA[[#This Row],[Date]],Raw_Data[[Date]:[Sunset Time (POA&lt;20 W/m2)]],3,0),"")</f>
        <v>0.25069444444444444</v>
      </c>
      <c r="J1200" s="32">
        <f>IFERROR(VLOOKUP(TA[[#This Row],[Date]],Raw_Data[[Date]:[Sunset Time (POA&lt;20 W/m2)]],4,0),"")</f>
        <v>0.77638888888888891</v>
      </c>
      <c r="K1200" s="27">
        <f>IFERROR((TA[[#This Row],[Sunset Time (POA&lt;20 W/m2)]]-TA[[#This Row],[Sunrise Time (POA&gt;20 W/m2)]])*24,"")</f>
        <v>12.616666666666667</v>
      </c>
      <c r="L1200" s="2" t="s">
        <v>285</v>
      </c>
      <c r="M1200" s="33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14" t="s">
        <v>309</v>
      </c>
      <c r="Q1200" s="113" t="s">
        <v>309</v>
      </c>
      <c r="R1200">
        <v>131</v>
      </c>
      <c r="S1200" s="2">
        <v>38</v>
      </c>
      <c r="T1200" t="s">
        <v>286</v>
      </c>
      <c r="U1200" t="s">
        <v>291</v>
      </c>
      <c r="V1200" t="s">
        <v>289</v>
      </c>
      <c r="W1200" s="32"/>
      <c r="X1200" s="32"/>
      <c r="Y1200" s="26"/>
      <c r="Z1200" s="26"/>
      <c r="AA1200" s="27">
        <f>IF(TA[[#This Row],[Work Start time on Fault]]="NA","",(TA[[#This Row],[Fault Acknowledgement Time ]]-TA[[#This Row],[Fault Time]])*24)</f>
        <v>0</v>
      </c>
      <c r="AB1200" s="27">
        <f>(TA[[#This Row],[Work Start time on Fault]]-TA[[#This Row],[Fault Time]])*24</f>
        <v>0</v>
      </c>
      <c r="AC1200" s="26">
        <f>(TA[[#This Row],[Work Completion time on fault]]-TA[[#This Row],[Fault Time]])*24</f>
        <v>0</v>
      </c>
      <c r="AD1200" s="27">
        <f>IFERROR((TA[[#This Row],[Work Completion time on fault]]-TA[[#This Row],[Fault Time]])*24,"")</f>
        <v>0</v>
      </c>
      <c r="AE1200" t="s">
        <v>319</v>
      </c>
      <c r="AF1200" t="s">
        <v>247</v>
      </c>
      <c r="AG1200" s="2"/>
      <c r="AH1200" s="35">
        <f>1-COS(RADIANS(TA[[#This Row],[Avg. Target Angle during Fault Time (Radians)]]-TA[[#This Row],[Angle of affected equipment ]]))</f>
        <v>0.11705240714107301</v>
      </c>
      <c r="AI1200" s="27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43">
        <f t="shared" si="132"/>
        <v>2026</v>
      </c>
      <c r="C1201" s="116">
        <f t="shared" si="133"/>
        <v>2025</v>
      </c>
      <c r="D1201" s="2" t="s">
        <v>155</v>
      </c>
      <c r="E1201" s="2" t="s">
        <v>155</v>
      </c>
      <c r="F1201" s="30">
        <v>45809</v>
      </c>
      <c r="G1201" s="2">
        <f>DAY(EOMONTH(TA[[#This Row],[Month Year]],0))</f>
        <v>30</v>
      </c>
      <c r="H1201" s="21">
        <v>45829</v>
      </c>
      <c r="I1201" s="32">
        <f>IFERROR(VLOOKUP(TA[[#This Row],[Date]],Raw_Data[[Date]:[Sunset Time (POA&lt;20 W/m2)]],3,0),"")</f>
        <v>0.25069444444444444</v>
      </c>
      <c r="J1201" s="32">
        <f>IFERROR(VLOOKUP(TA[[#This Row],[Date]],Raw_Data[[Date]:[Sunset Time (POA&lt;20 W/m2)]],4,0),"")</f>
        <v>0.77638888888888891</v>
      </c>
      <c r="K1201" s="27">
        <f>IFERROR((TA[[#This Row],[Sunset Time (POA&lt;20 W/m2)]]-TA[[#This Row],[Sunrise Time (POA&gt;20 W/m2)]])*24,"")</f>
        <v>12.616666666666667</v>
      </c>
      <c r="L1201" s="2" t="s">
        <v>285</v>
      </c>
      <c r="M1201" s="33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14" t="s">
        <v>309</v>
      </c>
      <c r="Q1201" s="113" t="s">
        <v>309</v>
      </c>
      <c r="R1201">
        <v>131</v>
      </c>
      <c r="S1201" s="2">
        <v>39</v>
      </c>
      <c r="T1201" t="s">
        <v>286</v>
      </c>
      <c r="U1201" t="s">
        <v>291</v>
      </c>
      <c r="V1201" t="s">
        <v>289</v>
      </c>
      <c r="W1201" s="32"/>
      <c r="X1201" s="32"/>
      <c r="Y1201" s="26"/>
      <c r="Z1201" s="26"/>
      <c r="AA1201" s="27">
        <f>IF(TA[[#This Row],[Work Start time on Fault]]="NA","",(TA[[#This Row],[Fault Acknowledgement Time ]]-TA[[#This Row],[Fault Time]])*24)</f>
        <v>0</v>
      </c>
      <c r="AB1201" s="27">
        <f>(TA[[#This Row],[Work Start time on Fault]]-TA[[#This Row],[Fault Time]])*24</f>
        <v>0</v>
      </c>
      <c r="AC1201" s="26">
        <f>(TA[[#This Row],[Work Completion time on fault]]-TA[[#This Row],[Fault Time]])*24</f>
        <v>0</v>
      </c>
      <c r="AD1201" s="27">
        <f>IFERROR((TA[[#This Row],[Work Completion time on fault]]-TA[[#This Row],[Fault Time]])*24,"")</f>
        <v>0</v>
      </c>
      <c r="AE1201" t="s">
        <v>319</v>
      </c>
      <c r="AF1201" t="s">
        <v>247</v>
      </c>
      <c r="AG1201" s="2"/>
      <c r="AH1201" s="35">
        <f>1-COS(RADIANS(TA[[#This Row],[Avg. Target Angle during Fault Time (Radians)]]-TA[[#This Row],[Angle of affected equipment ]]))</f>
        <v>0.11705240714107301</v>
      </c>
      <c r="AI1201" s="27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43">
        <f t="shared" si="132"/>
        <v>2026</v>
      </c>
      <c r="C1202" s="116">
        <f t="shared" si="133"/>
        <v>2025</v>
      </c>
      <c r="D1202" s="2" t="s">
        <v>155</v>
      </c>
      <c r="E1202" s="2" t="s">
        <v>155</v>
      </c>
      <c r="F1202" s="30">
        <v>45809</v>
      </c>
      <c r="G1202" s="2">
        <f>DAY(EOMONTH(TA[[#This Row],[Month Year]],0))</f>
        <v>30</v>
      </c>
      <c r="H1202" s="21">
        <v>45829</v>
      </c>
      <c r="I1202" s="32">
        <f>IFERROR(VLOOKUP(TA[[#This Row],[Date]],Raw_Data[[Date]:[Sunset Time (POA&lt;20 W/m2)]],3,0),"")</f>
        <v>0.25069444444444444</v>
      </c>
      <c r="J1202" s="32">
        <f>IFERROR(VLOOKUP(TA[[#This Row],[Date]],Raw_Data[[Date]:[Sunset Time (POA&lt;20 W/m2)]],4,0),"")</f>
        <v>0.77638888888888891</v>
      </c>
      <c r="K1202" s="27">
        <f>IFERROR((TA[[#This Row],[Sunset Time (POA&lt;20 W/m2)]]-TA[[#This Row],[Sunrise Time (POA&gt;20 W/m2)]])*24,"")</f>
        <v>12.616666666666667</v>
      </c>
      <c r="L1202" s="2" t="s">
        <v>287</v>
      </c>
      <c r="M1202" s="33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14" t="s">
        <v>309</v>
      </c>
      <c r="Q1202" s="2" t="s">
        <v>312</v>
      </c>
      <c r="R1202">
        <v>133</v>
      </c>
      <c r="S1202" s="2">
        <v>26</v>
      </c>
      <c r="T1202" t="s">
        <v>288</v>
      </c>
      <c r="U1202" t="s">
        <v>291</v>
      </c>
      <c r="V1202" t="s">
        <v>305</v>
      </c>
      <c r="W1202" s="32">
        <f>IFERROR(VLOOKUP(TA[[#This Row],[Date]],Raw_Data[[Date]:[Sunset Time (POA&lt;20 W/m2)]],3,0),"")</f>
        <v>0.25069444444444444</v>
      </c>
      <c r="X1202" s="32">
        <f>IFERROR(VLOOKUP(TA[[#This Row],[Date]],Raw_Data[[Date]:[Sunset Time (POA&lt;20 W/m2)]],3,0),"")</f>
        <v>0.25069444444444444</v>
      </c>
      <c r="Y1202" s="26"/>
      <c r="Z1202" s="26">
        <v>0.76041666666666663</v>
      </c>
      <c r="AA1202" s="27">
        <f>IF(TA[[#This Row],[Work Start time on Fault]]="NA","",(TA[[#This Row],[Fault Acknowledgement Time ]]-TA[[#This Row],[Fault Time]])*24)</f>
        <v>0</v>
      </c>
      <c r="AB1202" s="27">
        <f>(TA[[#This Row],[Work Start time on Fault]]-TA[[#This Row],[Fault Time]])*24</f>
        <v>-6.0166666666666666</v>
      </c>
      <c r="AC1202" s="26">
        <f>(TA[[#This Row],[Work Completion time on fault]]-TA[[#This Row],[Fault Time]])*24</f>
        <v>12.233333333333333</v>
      </c>
      <c r="AD1202" s="27">
        <f>IFERROR((TA[[#This Row],[Work Completion time on fault]]-TA[[#This Row],[Fault Time]])*24,"")</f>
        <v>12.233333333333333</v>
      </c>
      <c r="AE1202" t="s">
        <v>319</v>
      </c>
      <c r="AF1202" t="s">
        <v>247</v>
      </c>
      <c r="AG1202" s="2"/>
      <c r="AH1202" s="35">
        <f>1-COS(RADIANS(TA[[#This Row],[Avg. Target Angle during Fault Time (Radians)]]-TA[[#This Row],[Angle of affected equipment ]]))</f>
        <v>0.11705240714107301</v>
      </c>
      <c r="AI1202" s="27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43">
        <f t="shared" si="132"/>
        <v>2026</v>
      </c>
      <c r="C1203" s="116">
        <f t="shared" si="133"/>
        <v>2025</v>
      </c>
      <c r="D1203" s="2" t="s">
        <v>155</v>
      </c>
      <c r="E1203" s="2" t="s">
        <v>155</v>
      </c>
      <c r="F1203" s="30">
        <v>45809</v>
      </c>
      <c r="G1203" s="2">
        <f>DAY(EOMONTH(TA[[#This Row],[Month Year]],0))</f>
        <v>30</v>
      </c>
      <c r="H1203" s="21">
        <v>45829</v>
      </c>
      <c r="I1203" s="32">
        <f>IFERROR(VLOOKUP(TA[[#This Row],[Date]],Raw_Data[[Date]:[Sunset Time (POA&lt;20 W/m2)]],3,0),"")</f>
        <v>0.25069444444444444</v>
      </c>
      <c r="J1203" s="32">
        <f>IFERROR(VLOOKUP(TA[[#This Row],[Date]],Raw_Data[[Date]:[Sunset Time (POA&lt;20 W/m2)]],4,0),"")</f>
        <v>0.77638888888888891</v>
      </c>
      <c r="K1203" s="27">
        <f>IFERROR((TA[[#This Row],[Sunset Time (POA&lt;20 W/m2)]]-TA[[#This Row],[Sunrise Time (POA&gt;20 W/m2)]])*24,"")</f>
        <v>12.616666666666667</v>
      </c>
      <c r="L1203" s="2" t="s">
        <v>285</v>
      </c>
      <c r="M1203" s="33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14" t="s">
        <v>307</v>
      </c>
      <c r="Q1203" s="113" t="s">
        <v>308</v>
      </c>
      <c r="R1203">
        <v>7</v>
      </c>
      <c r="S1203" s="2">
        <v>32</v>
      </c>
      <c r="T1203" t="s">
        <v>286</v>
      </c>
      <c r="U1203" t="s">
        <v>291</v>
      </c>
      <c r="V1203" t="s">
        <v>289</v>
      </c>
      <c r="W1203" s="32"/>
      <c r="X1203" s="32"/>
      <c r="Y1203" s="26"/>
      <c r="Z1203" s="26"/>
      <c r="AA1203" s="27">
        <f>IF(TA[[#This Row],[Work Start time on Fault]]="NA","",(TA[[#This Row],[Fault Acknowledgement Time ]]-TA[[#This Row],[Fault Time]])*24)</f>
        <v>0</v>
      </c>
      <c r="AB1203" s="27">
        <f>(TA[[#This Row],[Work Start time on Fault]]-TA[[#This Row],[Fault Time]])*24</f>
        <v>0</v>
      </c>
      <c r="AC1203" s="26">
        <f>(TA[[#This Row],[Work Completion time on fault]]-TA[[#This Row],[Fault Time]])*24</f>
        <v>0</v>
      </c>
      <c r="AD1203" s="27">
        <f>IFERROR((TA[[#This Row],[Work Completion time on fault]]-TA[[#This Row],[Fault Time]])*24,"")</f>
        <v>0</v>
      </c>
      <c r="AE1203" t="s">
        <v>319</v>
      </c>
      <c r="AF1203" t="s">
        <v>247</v>
      </c>
      <c r="AG1203" s="2"/>
      <c r="AH1203" s="35">
        <f>1-COS(RADIANS(TA[[#This Row],[Avg. Target Angle during Fault Time (Radians)]]-TA[[#This Row],[Angle of affected equipment ]]))</f>
        <v>0.11705240714107301</v>
      </c>
      <c r="AI1203" s="27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43">
        <f t="shared" si="132"/>
        <v>2026</v>
      </c>
      <c r="C1204" s="116">
        <f t="shared" si="133"/>
        <v>2025</v>
      </c>
      <c r="D1204" s="2" t="s">
        <v>155</v>
      </c>
      <c r="E1204" s="2" t="s">
        <v>155</v>
      </c>
      <c r="F1204" s="30">
        <v>45809</v>
      </c>
      <c r="G1204" s="2">
        <f>DAY(EOMONTH(TA[[#This Row],[Month Year]],0))</f>
        <v>30</v>
      </c>
      <c r="H1204" s="21">
        <v>45829</v>
      </c>
      <c r="I1204" s="32">
        <f>IFERROR(VLOOKUP(TA[[#This Row],[Date]],Raw_Data[[Date]:[Sunset Time (POA&lt;20 W/m2)]],3,0),"")</f>
        <v>0.25069444444444444</v>
      </c>
      <c r="J1204" s="32">
        <f>IFERROR(VLOOKUP(TA[[#This Row],[Date]],Raw_Data[[Date]:[Sunset Time (POA&lt;20 W/m2)]],4,0),"")</f>
        <v>0.77638888888888891</v>
      </c>
      <c r="K1204" s="27">
        <f>IFERROR((TA[[#This Row],[Sunset Time (POA&lt;20 W/m2)]]-TA[[#This Row],[Sunrise Time (POA&gt;20 W/m2)]])*24,"")</f>
        <v>12.616666666666667</v>
      </c>
      <c r="L1204" s="2" t="s">
        <v>285</v>
      </c>
      <c r="M1204" s="33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14" t="s">
        <v>306</v>
      </c>
      <c r="Q1204" s="113" t="s">
        <v>310</v>
      </c>
      <c r="R1204">
        <v>166</v>
      </c>
      <c r="S1204" s="2">
        <v>91</v>
      </c>
      <c r="T1204" t="s">
        <v>286</v>
      </c>
      <c r="U1204" t="s">
        <v>291</v>
      </c>
      <c r="V1204" t="s">
        <v>289</v>
      </c>
      <c r="W1204" s="32"/>
      <c r="X1204" s="32"/>
      <c r="Y1204" s="26"/>
      <c r="Z1204" s="26"/>
      <c r="AA1204" s="27">
        <f>IF(TA[[#This Row],[Work Start time on Fault]]="NA","",(TA[[#This Row],[Fault Acknowledgement Time ]]-TA[[#This Row],[Fault Time]])*24)</f>
        <v>0</v>
      </c>
      <c r="AB1204" s="27">
        <f>(TA[[#This Row],[Work Start time on Fault]]-TA[[#This Row],[Fault Time]])*24</f>
        <v>0</v>
      </c>
      <c r="AC1204" s="26">
        <f>(TA[[#This Row],[Work Completion time on fault]]-TA[[#This Row],[Fault Time]])*24</f>
        <v>0</v>
      </c>
      <c r="AD1204" s="27">
        <f>IFERROR((TA[[#This Row],[Work Completion time on fault]]-TA[[#This Row],[Fault Time]])*24,"")</f>
        <v>0</v>
      </c>
      <c r="AE1204" t="s">
        <v>319</v>
      </c>
      <c r="AF1204" t="s">
        <v>247</v>
      </c>
      <c r="AG1204" s="2"/>
      <c r="AH1204" s="35">
        <f>1-COS(RADIANS(TA[[#This Row],[Avg. Target Angle during Fault Time (Radians)]]-TA[[#This Row],[Angle of affected equipment ]]))</f>
        <v>0.11705240714107301</v>
      </c>
      <c r="AI1204" s="27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43">
        <f t="shared" si="132"/>
        <v>2026</v>
      </c>
      <c r="C1205" s="116">
        <f t="shared" si="133"/>
        <v>2025</v>
      </c>
      <c r="D1205" s="2" t="s">
        <v>155</v>
      </c>
      <c r="E1205" s="2" t="s">
        <v>155</v>
      </c>
      <c r="F1205" s="30">
        <v>45809</v>
      </c>
      <c r="G1205" s="2">
        <f>DAY(EOMONTH(TA[[#This Row],[Month Year]],0))</f>
        <v>30</v>
      </c>
      <c r="H1205" s="21">
        <v>45829</v>
      </c>
      <c r="I1205" s="32">
        <f>IFERROR(VLOOKUP(TA[[#This Row],[Date]],Raw_Data[[Date]:[Sunset Time (POA&lt;20 W/m2)]],3,0),"")</f>
        <v>0.25069444444444444</v>
      </c>
      <c r="J1205" s="32">
        <f>IFERROR(VLOOKUP(TA[[#This Row],[Date]],Raw_Data[[Date]:[Sunset Time (POA&lt;20 W/m2)]],4,0),"")</f>
        <v>0.77638888888888891</v>
      </c>
      <c r="K1205" s="27">
        <f>IFERROR((TA[[#This Row],[Sunset Time (POA&lt;20 W/m2)]]-TA[[#This Row],[Sunrise Time (POA&gt;20 W/m2)]])*24,"")</f>
        <v>12.616666666666667</v>
      </c>
      <c r="L1205" s="2" t="s">
        <v>285</v>
      </c>
      <c r="M1205" s="33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14" t="s">
        <v>307</v>
      </c>
      <c r="Q1205" s="113" t="s">
        <v>307</v>
      </c>
      <c r="R1205">
        <v>117</v>
      </c>
      <c r="S1205" s="2">
        <v>20</v>
      </c>
      <c r="T1205" t="s">
        <v>286</v>
      </c>
      <c r="U1205" t="s">
        <v>291</v>
      </c>
      <c r="V1205" t="s">
        <v>289</v>
      </c>
      <c r="W1205" s="32"/>
      <c r="X1205" s="32"/>
      <c r="Y1205" s="26"/>
      <c r="Z1205" s="26"/>
      <c r="AA1205" s="27">
        <f>IF(TA[[#This Row],[Work Start time on Fault]]="NA","",(TA[[#This Row],[Fault Acknowledgement Time ]]-TA[[#This Row],[Fault Time]])*24)</f>
        <v>0</v>
      </c>
      <c r="AB1205" s="27">
        <f>(TA[[#This Row],[Work Start time on Fault]]-TA[[#This Row],[Fault Time]])*24</f>
        <v>0</v>
      </c>
      <c r="AC1205" s="26">
        <f>(TA[[#This Row],[Work Completion time on fault]]-TA[[#This Row],[Fault Time]])*24</f>
        <v>0</v>
      </c>
      <c r="AD1205" s="27">
        <f>IFERROR((TA[[#This Row],[Work Completion time on fault]]-TA[[#This Row],[Fault Time]])*24,"")</f>
        <v>0</v>
      </c>
      <c r="AE1205" t="s">
        <v>319</v>
      </c>
      <c r="AF1205" t="s">
        <v>247</v>
      </c>
      <c r="AG1205" s="2"/>
      <c r="AH1205" s="35">
        <f>1-COS(RADIANS(TA[[#This Row],[Avg. Target Angle during Fault Time (Radians)]]-TA[[#This Row],[Angle of affected equipment ]]))</f>
        <v>0.11705240714107301</v>
      </c>
      <c r="AI1205" s="27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43">
        <f t="shared" si="132"/>
        <v>2026</v>
      </c>
      <c r="C1206" s="116">
        <f t="shared" si="133"/>
        <v>2025</v>
      </c>
      <c r="D1206" s="2" t="s">
        <v>155</v>
      </c>
      <c r="E1206" s="2" t="s">
        <v>155</v>
      </c>
      <c r="F1206" s="30">
        <v>45809</v>
      </c>
      <c r="G1206" s="2">
        <f>DAY(EOMONTH(TA[[#This Row],[Month Year]],0))</f>
        <v>30</v>
      </c>
      <c r="H1206" s="21">
        <v>45829</v>
      </c>
      <c r="I1206" s="32">
        <f>IFERROR(VLOOKUP(TA[[#This Row],[Date]],Raw_Data[[Date]:[Sunset Time (POA&lt;20 W/m2)]],3,0),"")</f>
        <v>0.25069444444444444</v>
      </c>
      <c r="J1206" s="32">
        <f>IFERROR(VLOOKUP(TA[[#This Row],[Date]],Raw_Data[[Date]:[Sunset Time (POA&lt;20 W/m2)]],4,0),"")</f>
        <v>0.77638888888888891</v>
      </c>
      <c r="K1206" s="27">
        <f>IFERROR((TA[[#This Row],[Sunset Time (POA&lt;20 W/m2)]]-TA[[#This Row],[Sunrise Time (POA&gt;20 W/m2)]])*24,"")</f>
        <v>12.616666666666667</v>
      </c>
      <c r="L1206" s="2" t="s">
        <v>285</v>
      </c>
      <c r="M1206" s="33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14" t="s">
        <v>307</v>
      </c>
      <c r="Q1206" s="113" t="s">
        <v>307</v>
      </c>
      <c r="R1206">
        <v>118</v>
      </c>
      <c r="S1206" s="2">
        <v>22</v>
      </c>
      <c r="T1206" t="s">
        <v>286</v>
      </c>
      <c r="U1206" t="s">
        <v>291</v>
      </c>
      <c r="V1206" t="s">
        <v>289</v>
      </c>
      <c r="W1206" s="32"/>
      <c r="X1206" s="32"/>
      <c r="Y1206" s="26"/>
      <c r="Z1206" s="26"/>
      <c r="AA1206" s="27">
        <f>IF(TA[[#This Row],[Work Start time on Fault]]="NA","",(TA[[#This Row],[Fault Acknowledgement Time ]]-TA[[#This Row],[Fault Time]])*24)</f>
        <v>0</v>
      </c>
      <c r="AB1206" s="27">
        <f>(TA[[#This Row],[Work Start time on Fault]]-TA[[#This Row],[Fault Time]])*24</f>
        <v>0</v>
      </c>
      <c r="AC1206" s="26">
        <f>(TA[[#This Row],[Work Completion time on fault]]-TA[[#This Row],[Fault Time]])*24</f>
        <v>0</v>
      </c>
      <c r="AD1206" s="27">
        <f>IFERROR((TA[[#This Row],[Work Completion time on fault]]-TA[[#This Row],[Fault Time]])*24,"")</f>
        <v>0</v>
      </c>
      <c r="AE1206" t="s">
        <v>319</v>
      </c>
      <c r="AF1206" t="s">
        <v>247</v>
      </c>
      <c r="AG1206" s="2"/>
      <c r="AH1206" s="35">
        <f>1-COS(RADIANS(TA[[#This Row],[Avg. Target Angle during Fault Time (Radians)]]-TA[[#This Row],[Angle of affected equipment ]]))</f>
        <v>0.11705240714107301</v>
      </c>
      <c r="AI1206" s="27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43">
        <f t="shared" si="132"/>
        <v>2026</v>
      </c>
      <c r="C1207" s="116">
        <f t="shared" si="133"/>
        <v>2025</v>
      </c>
      <c r="D1207" s="2" t="s">
        <v>155</v>
      </c>
      <c r="E1207" s="2" t="s">
        <v>155</v>
      </c>
      <c r="F1207" s="30">
        <v>45809</v>
      </c>
      <c r="G1207" s="2">
        <f>DAY(EOMONTH(TA[[#This Row],[Month Year]],0))</f>
        <v>30</v>
      </c>
      <c r="H1207" s="21">
        <v>45829</v>
      </c>
      <c r="I1207" s="32">
        <f>IFERROR(VLOOKUP(TA[[#This Row],[Date]],Raw_Data[[Date]:[Sunset Time (POA&lt;20 W/m2)]],3,0),"")</f>
        <v>0.25069444444444444</v>
      </c>
      <c r="J1207" s="32">
        <f>IFERROR(VLOOKUP(TA[[#This Row],[Date]],Raw_Data[[Date]:[Sunset Time (POA&lt;20 W/m2)]],4,0),"")</f>
        <v>0.77638888888888891</v>
      </c>
      <c r="K1207" s="27">
        <f>IFERROR((TA[[#This Row],[Sunset Time (POA&lt;20 W/m2)]]-TA[[#This Row],[Sunrise Time (POA&gt;20 W/m2)]])*24,"")</f>
        <v>12.616666666666667</v>
      </c>
      <c r="L1207" s="2" t="s">
        <v>287</v>
      </c>
      <c r="M1207" s="33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314</v>
      </c>
      <c r="Q1207" s="2" t="s">
        <v>320</v>
      </c>
      <c r="R1207">
        <v>45</v>
      </c>
      <c r="S1207" s="2">
        <v>8</v>
      </c>
      <c r="T1207" t="s">
        <v>288</v>
      </c>
      <c r="U1207" t="s">
        <v>291</v>
      </c>
      <c r="V1207" t="s">
        <v>292</v>
      </c>
      <c r="W1207" s="32"/>
      <c r="X1207" s="32"/>
      <c r="Y1207" s="26"/>
      <c r="Z1207" s="26"/>
      <c r="AA1207" s="27">
        <f>IF(TA[[#This Row],[Work Start time on Fault]]="NA","",(TA[[#This Row],[Fault Acknowledgement Time ]]-TA[[#This Row],[Fault Time]])*24)</f>
        <v>0</v>
      </c>
      <c r="AB1207" s="27">
        <f>(TA[[#This Row],[Work Start time on Fault]]-TA[[#This Row],[Fault Time]])*24</f>
        <v>0</v>
      </c>
      <c r="AC1207" s="26">
        <f>(TA[[#This Row],[Work Completion time on fault]]-TA[[#This Row],[Fault Time]])*24</f>
        <v>0</v>
      </c>
      <c r="AD1207" s="27">
        <f>IFERROR((TA[[#This Row],[Work Completion time on fault]]-TA[[#This Row],[Fault Time]])*24,"")</f>
        <v>0</v>
      </c>
      <c r="AE1207" t="s">
        <v>319</v>
      </c>
      <c r="AF1207" t="s">
        <v>247</v>
      </c>
      <c r="AG1207" s="2"/>
      <c r="AH1207" s="35">
        <f>1-COS(RADIANS(TA[[#This Row],[Avg. Target Angle during Fault Time (Radians)]]-TA[[#This Row],[Angle of affected equipment ]]))</f>
        <v>0.11705240714107301</v>
      </c>
      <c r="AI1207" s="27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43">
        <f t="shared" si="132"/>
        <v>2026</v>
      </c>
      <c r="C1208" s="116">
        <f t="shared" si="133"/>
        <v>2025</v>
      </c>
      <c r="D1208" s="2" t="s">
        <v>155</v>
      </c>
      <c r="E1208" s="2" t="s">
        <v>155</v>
      </c>
      <c r="F1208" s="30">
        <v>45809</v>
      </c>
      <c r="G1208" s="2">
        <f>DAY(EOMONTH(TA[[#This Row],[Month Year]],0))</f>
        <v>30</v>
      </c>
      <c r="H1208" s="21">
        <v>45829</v>
      </c>
      <c r="I1208" s="32">
        <f>IFERROR(VLOOKUP(TA[[#This Row],[Date]],Raw_Data[[Date]:[Sunset Time (POA&lt;20 W/m2)]],3,0),"")</f>
        <v>0.25069444444444444</v>
      </c>
      <c r="J1208" s="32">
        <f>IFERROR(VLOOKUP(TA[[#This Row],[Date]],Raw_Data[[Date]:[Sunset Time (POA&lt;20 W/m2)]],4,0),"")</f>
        <v>0.77638888888888891</v>
      </c>
      <c r="K1208" s="27">
        <f>IFERROR((TA[[#This Row],[Sunset Time (POA&lt;20 W/m2)]]-TA[[#This Row],[Sunrise Time (POA&gt;20 W/m2)]])*24,"")</f>
        <v>12.616666666666667</v>
      </c>
      <c r="L1208" s="2" t="s">
        <v>287</v>
      </c>
      <c r="M1208" s="33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314</v>
      </c>
      <c r="Q1208" s="2" t="s">
        <v>320</v>
      </c>
      <c r="R1208">
        <v>47</v>
      </c>
      <c r="S1208" s="2">
        <v>18</v>
      </c>
      <c r="T1208" t="s">
        <v>288</v>
      </c>
      <c r="U1208" t="s">
        <v>291</v>
      </c>
      <c r="V1208" t="s">
        <v>292</v>
      </c>
      <c r="W1208" s="32"/>
      <c r="X1208" s="32"/>
      <c r="Y1208" s="26"/>
      <c r="Z1208" s="26"/>
      <c r="AA1208" s="27">
        <f>IF(TA[[#This Row],[Work Start time on Fault]]="NA","",(TA[[#This Row],[Fault Acknowledgement Time ]]-TA[[#This Row],[Fault Time]])*24)</f>
        <v>0</v>
      </c>
      <c r="AB1208" s="27">
        <f>(TA[[#This Row],[Work Start time on Fault]]-TA[[#This Row],[Fault Time]])*24</f>
        <v>0</v>
      </c>
      <c r="AC1208" s="26">
        <f>(TA[[#This Row],[Work Completion time on fault]]-TA[[#This Row],[Fault Time]])*24</f>
        <v>0</v>
      </c>
      <c r="AD1208" s="27">
        <f>IFERROR((TA[[#This Row],[Work Completion time on fault]]-TA[[#This Row],[Fault Time]])*24,"")</f>
        <v>0</v>
      </c>
      <c r="AE1208" t="s">
        <v>319</v>
      </c>
      <c r="AF1208" t="s">
        <v>247</v>
      </c>
      <c r="AG1208" s="2"/>
      <c r="AH1208" s="35">
        <f>1-COS(RADIANS(TA[[#This Row],[Avg. Target Angle during Fault Time (Radians)]]-TA[[#This Row],[Angle of affected equipment ]]))</f>
        <v>0.11705240714107301</v>
      </c>
      <c r="AI1208" s="27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43">
        <f t="shared" si="132"/>
        <v>2026</v>
      </c>
      <c r="C1209" s="116">
        <f t="shared" si="133"/>
        <v>2025</v>
      </c>
      <c r="D1209" s="2" t="s">
        <v>155</v>
      </c>
      <c r="E1209" s="2" t="s">
        <v>155</v>
      </c>
      <c r="F1209" s="30">
        <v>45809</v>
      </c>
      <c r="G1209" s="2">
        <f>DAY(EOMONTH(TA[[#This Row],[Month Year]],0))</f>
        <v>30</v>
      </c>
      <c r="H1209" s="21">
        <v>45829</v>
      </c>
      <c r="I1209" s="32">
        <f>IFERROR(VLOOKUP(TA[[#This Row],[Date]],Raw_Data[[Date]:[Sunset Time (POA&lt;20 W/m2)]],3,0),"")</f>
        <v>0.25069444444444444</v>
      </c>
      <c r="J1209" s="32">
        <f>IFERROR(VLOOKUP(TA[[#This Row],[Date]],Raw_Data[[Date]:[Sunset Time (POA&lt;20 W/m2)]],4,0),"")</f>
        <v>0.77638888888888891</v>
      </c>
      <c r="K1209" s="27">
        <f>IFERROR((TA[[#This Row],[Sunset Time (POA&lt;20 W/m2)]]-TA[[#This Row],[Sunrise Time (POA&gt;20 W/m2)]])*24,"")</f>
        <v>12.616666666666667</v>
      </c>
      <c r="L1209" s="2" t="s">
        <v>287</v>
      </c>
      <c r="M1209" s="33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321</v>
      </c>
      <c r="Q1209" s="2" t="s">
        <v>314</v>
      </c>
      <c r="R1209">
        <v>30</v>
      </c>
      <c r="S1209" s="2">
        <v>57</v>
      </c>
      <c r="T1209" t="s">
        <v>288</v>
      </c>
      <c r="U1209" t="s">
        <v>291</v>
      </c>
      <c r="V1209" t="s">
        <v>292</v>
      </c>
      <c r="W1209" s="32"/>
      <c r="X1209" s="32"/>
      <c r="Y1209" s="26"/>
      <c r="Z1209" s="26"/>
      <c r="AA1209" s="27">
        <f>IF(TA[[#This Row],[Work Start time on Fault]]="NA","",(TA[[#This Row],[Fault Acknowledgement Time ]]-TA[[#This Row],[Fault Time]])*24)</f>
        <v>0</v>
      </c>
      <c r="AB1209" s="27">
        <f>(TA[[#This Row],[Work Start time on Fault]]-TA[[#This Row],[Fault Time]])*24</f>
        <v>0</v>
      </c>
      <c r="AC1209" s="26">
        <f>(TA[[#This Row],[Work Completion time on fault]]-TA[[#This Row],[Fault Time]])*24</f>
        <v>0</v>
      </c>
      <c r="AD1209" s="27">
        <f>IFERROR((TA[[#This Row],[Work Completion time on fault]]-TA[[#This Row],[Fault Time]])*24,"")</f>
        <v>0</v>
      </c>
      <c r="AE1209" t="s">
        <v>319</v>
      </c>
      <c r="AF1209" t="s">
        <v>247</v>
      </c>
      <c r="AG1209" s="2"/>
      <c r="AH1209" s="35">
        <f>1-COS(RADIANS(TA[[#This Row],[Avg. Target Angle during Fault Time (Radians)]]-TA[[#This Row],[Angle of affected equipment ]]))</f>
        <v>0.11705240714107301</v>
      </c>
      <c r="AI1209" s="27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43">
        <f t="shared" si="132"/>
        <v>2026</v>
      </c>
      <c r="C1210" s="116">
        <f t="shared" si="133"/>
        <v>2025</v>
      </c>
      <c r="D1210" s="2" t="s">
        <v>155</v>
      </c>
      <c r="E1210" s="2" t="s">
        <v>155</v>
      </c>
      <c r="F1210" s="30">
        <v>45809</v>
      </c>
      <c r="G1210" s="2">
        <f>DAY(EOMONTH(TA[[#This Row],[Month Year]],0))</f>
        <v>30</v>
      </c>
      <c r="H1210" s="21">
        <v>45829</v>
      </c>
      <c r="I1210" s="32">
        <f>IFERROR(VLOOKUP(TA[[#This Row],[Date]],Raw_Data[[Date]:[Sunset Time (POA&lt;20 W/m2)]],3,0),"")</f>
        <v>0.25069444444444444</v>
      </c>
      <c r="J1210" s="32">
        <f>IFERROR(VLOOKUP(TA[[#This Row],[Date]],Raw_Data[[Date]:[Sunset Time (POA&lt;20 W/m2)]],4,0),"")</f>
        <v>0.77638888888888891</v>
      </c>
      <c r="K1210" s="27">
        <f>IFERROR((TA[[#This Row],[Sunset Time (POA&lt;20 W/m2)]]-TA[[#This Row],[Sunrise Time (POA&gt;20 W/m2)]])*24,"")</f>
        <v>12.616666666666667</v>
      </c>
      <c r="L1210" s="2" t="s">
        <v>287</v>
      </c>
      <c r="M1210" s="33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321</v>
      </c>
      <c r="Q1210" s="2" t="s">
        <v>314</v>
      </c>
      <c r="R1210">
        <v>31</v>
      </c>
      <c r="S1210" s="2">
        <v>61</v>
      </c>
      <c r="T1210" t="s">
        <v>288</v>
      </c>
      <c r="U1210" t="s">
        <v>291</v>
      </c>
      <c r="V1210" t="s">
        <v>292</v>
      </c>
      <c r="W1210" s="32"/>
      <c r="X1210" s="32"/>
      <c r="Y1210" s="26"/>
      <c r="Z1210" s="26"/>
      <c r="AA1210" s="27">
        <f>IF(TA[[#This Row],[Work Start time on Fault]]="NA","",(TA[[#This Row],[Fault Acknowledgement Time ]]-TA[[#This Row],[Fault Time]])*24)</f>
        <v>0</v>
      </c>
      <c r="AB1210" s="27">
        <f>(TA[[#This Row],[Work Start time on Fault]]-TA[[#This Row],[Fault Time]])*24</f>
        <v>0</v>
      </c>
      <c r="AC1210" s="26">
        <f>(TA[[#This Row],[Work Completion time on fault]]-TA[[#This Row],[Fault Time]])*24</f>
        <v>0</v>
      </c>
      <c r="AD1210" s="27">
        <f>IFERROR((TA[[#This Row],[Work Completion time on fault]]-TA[[#This Row],[Fault Time]])*24,"")</f>
        <v>0</v>
      </c>
      <c r="AE1210" t="s">
        <v>319</v>
      </c>
      <c r="AF1210" t="s">
        <v>247</v>
      </c>
      <c r="AG1210" s="2"/>
      <c r="AH1210" s="35">
        <f>1-COS(RADIANS(TA[[#This Row],[Avg. Target Angle during Fault Time (Radians)]]-TA[[#This Row],[Angle of affected equipment ]]))</f>
        <v>0.11705240714107301</v>
      </c>
      <c r="AI1210" s="27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43">
        <f t="shared" si="132"/>
        <v>2026</v>
      </c>
      <c r="C1211" s="116">
        <f t="shared" si="133"/>
        <v>2025</v>
      </c>
      <c r="D1211" s="2" t="s">
        <v>155</v>
      </c>
      <c r="E1211" s="2" t="s">
        <v>155</v>
      </c>
      <c r="F1211" s="30">
        <v>45809</v>
      </c>
      <c r="G1211" s="2">
        <f>DAY(EOMONTH(TA[[#This Row],[Month Year]],0))</f>
        <v>30</v>
      </c>
      <c r="H1211" s="21">
        <v>45829</v>
      </c>
      <c r="I1211" s="32">
        <f>IFERROR(VLOOKUP(TA[[#This Row],[Date]],Raw_Data[[Date]:[Sunset Time (POA&lt;20 W/m2)]],3,0),"")</f>
        <v>0.25069444444444444</v>
      </c>
      <c r="J1211" s="32">
        <f>IFERROR(VLOOKUP(TA[[#This Row],[Date]],Raw_Data[[Date]:[Sunset Time (POA&lt;20 W/m2)]],4,0),"")</f>
        <v>0.77638888888888891</v>
      </c>
      <c r="K1211" s="27">
        <f>IFERROR((TA[[#This Row],[Sunset Time (POA&lt;20 W/m2)]]-TA[[#This Row],[Sunrise Time (POA&gt;20 W/m2)]])*24,"")</f>
        <v>12.616666666666667</v>
      </c>
      <c r="L1211" s="2" t="s">
        <v>303</v>
      </c>
      <c r="M1211" s="33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321</v>
      </c>
      <c r="Q1211" s="2" t="s">
        <v>314</v>
      </c>
      <c r="R1211">
        <v>26</v>
      </c>
      <c r="S1211" s="2">
        <v>37</v>
      </c>
      <c r="T1211" t="s">
        <v>288</v>
      </c>
      <c r="U1211" t="s">
        <v>291</v>
      </c>
      <c r="V1211" t="s">
        <v>292</v>
      </c>
      <c r="W1211" s="32"/>
      <c r="X1211" s="32"/>
      <c r="Y1211" s="26"/>
      <c r="Z1211" s="26"/>
      <c r="AA1211" s="27">
        <f>IF(TA[[#This Row],[Work Start time on Fault]]="NA","",(TA[[#This Row],[Fault Acknowledgement Time ]]-TA[[#This Row],[Fault Time]])*24)</f>
        <v>0</v>
      </c>
      <c r="AB1211" s="27">
        <f>(TA[[#This Row],[Work Start time on Fault]]-TA[[#This Row],[Fault Time]])*24</f>
        <v>0</v>
      </c>
      <c r="AC1211" s="26">
        <f>(TA[[#This Row],[Work Completion time on fault]]-TA[[#This Row],[Fault Time]])*24</f>
        <v>0</v>
      </c>
      <c r="AD1211" s="27">
        <f>IFERROR((TA[[#This Row],[Work Completion time on fault]]-TA[[#This Row],[Fault Time]])*24,"")</f>
        <v>0</v>
      </c>
      <c r="AE1211" t="s">
        <v>319</v>
      </c>
      <c r="AF1211" t="s">
        <v>247</v>
      </c>
      <c r="AG1211" s="2"/>
      <c r="AH1211" s="35">
        <f>1-COS(RADIANS(TA[[#This Row],[Avg. Target Angle during Fault Time (Radians)]]-TA[[#This Row],[Angle of affected equipment ]]))</f>
        <v>0.11705240714107301</v>
      </c>
      <c r="AI1211" s="27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43">
        <f t="shared" si="132"/>
        <v>2026</v>
      </c>
      <c r="C1212" s="116">
        <f t="shared" si="133"/>
        <v>2025</v>
      </c>
      <c r="D1212" s="2" t="s">
        <v>155</v>
      </c>
      <c r="E1212" s="2" t="s">
        <v>155</v>
      </c>
      <c r="F1212" s="30">
        <v>45809</v>
      </c>
      <c r="G1212" s="2">
        <f>DAY(EOMONTH(TA[[#This Row],[Month Year]],0))</f>
        <v>30</v>
      </c>
      <c r="H1212" s="21">
        <v>45829</v>
      </c>
      <c r="I1212" s="32">
        <f>IFERROR(VLOOKUP(TA[[#This Row],[Date]],Raw_Data[[Date]:[Sunset Time (POA&lt;20 W/m2)]],3,0),"")</f>
        <v>0.25069444444444444</v>
      </c>
      <c r="J1212" s="32">
        <f>IFERROR(VLOOKUP(TA[[#This Row],[Date]],Raw_Data[[Date]:[Sunset Time (POA&lt;20 W/m2)]],4,0),"")</f>
        <v>0.77638888888888891</v>
      </c>
      <c r="K1212" s="27">
        <f>IFERROR((TA[[#This Row],[Sunset Time (POA&lt;20 W/m2)]]-TA[[#This Row],[Sunrise Time (POA&gt;20 W/m2)]])*24,"")</f>
        <v>12.616666666666667</v>
      </c>
      <c r="L1212" s="2" t="s">
        <v>303</v>
      </c>
      <c r="M1212" s="33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321</v>
      </c>
      <c r="Q1212" s="2" t="s">
        <v>314</v>
      </c>
      <c r="R1212">
        <v>27</v>
      </c>
      <c r="S1212" s="2">
        <v>42</v>
      </c>
      <c r="T1212" t="s">
        <v>288</v>
      </c>
      <c r="U1212" t="s">
        <v>291</v>
      </c>
      <c r="V1212" t="s">
        <v>292</v>
      </c>
      <c r="W1212" s="32">
        <f>IFERROR(VLOOKUP(TA[[#This Row],[Date]],Raw_Data[[Date]:[Sunset Time (POA&lt;20 W/m2)]],3,0),"")</f>
        <v>0.25069444444444444</v>
      </c>
      <c r="X1212" s="32">
        <f>IFERROR(VLOOKUP(TA[[#This Row],[Date]],Raw_Data[[Date]:[Sunset Time (POA&lt;20 W/m2)]],3,0),"")</f>
        <v>0.25069444444444444</v>
      </c>
      <c r="Y1212" s="26"/>
      <c r="Z1212" s="26">
        <v>0.76041666666666663</v>
      </c>
      <c r="AA1212" s="27">
        <f>IF(TA[[#This Row],[Work Start time on Fault]]="NA","",(TA[[#This Row],[Fault Acknowledgement Time ]]-TA[[#This Row],[Fault Time]])*24)</f>
        <v>0</v>
      </c>
      <c r="AB1212" s="27">
        <f>(TA[[#This Row],[Work Start time on Fault]]-TA[[#This Row],[Fault Time]])*24</f>
        <v>-6.0166666666666666</v>
      </c>
      <c r="AC1212" s="26">
        <f>(TA[[#This Row],[Work Completion time on fault]]-TA[[#This Row],[Fault Time]])*24</f>
        <v>12.233333333333333</v>
      </c>
      <c r="AD1212" s="27">
        <f>IFERROR((TA[[#This Row],[Work Completion time on fault]]-TA[[#This Row],[Fault Time]])*24,"")</f>
        <v>12.233333333333333</v>
      </c>
      <c r="AE1212" t="s">
        <v>300</v>
      </c>
      <c r="AF1212" t="s">
        <v>247</v>
      </c>
      <c r="AG1212" s="2"/>
      <c r="AH1212" s="35">
        <f>1-COS(RADIANS(TA[[#This Row],[Avg. Target Angle during Fault Time (Radians)]]-TA[[#This Row],[Angle of affected equipment ]]))</f>
        <v>0.11705240714107301</v>
      </c>
      <c r="AI1212" s="27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43">
        <f t="shared" ref="B1213:B1225" si="134">YEAR(H1213)+IF(MONTH(H1213)&gt;=4,1,0)</f>
        <v>2026</v>
      </c>
      <c r="C1213" s="116">
        <f t="shared" ref="C1213:C1225" si="135">YEAR(H1213)</f>
        <v>2025</v>
      </c>
      <c r="D1213" s="2" t="s">
        <v>155</v>
      </c>
      <c r="E1213" s="2" t="s">
        <v>155</v>
      </c>
      <c r="F1213" s="30">
        <v>45809</v>
      </c>
      <c r="G1213" s="2">
        <f>DAY(EOMONTH(TA[[#This Row],[Month Year]],0))</f>
        <v>30</v>
      </c>
      <c r="H1213" s="21">
        <v>45830</v>
      </c>
      <c r="I1213" s="32">
        <f>IFERROR(VLOOKUP(TA[[#This Row],[Date]],Raw_Data[[Date]:[Sunset Time (POA&lt;20 W/m2)]],3,0),"")</f>
        <v>0.24652777777777779</v>
      </c>
      <c r="J1213" s="32">
        <f>IFERROR(VLOOKUP(TA[[#This Row],[Date]],Raw_Data[[Date]:[Sunset Time (POA&lt;20 W/m2)]],4,0),"")</f>
        <v>0.77430555555555558</v>
      </c>
      <c r="K1213" s="27">
        <f>IFERROR((TA[[#This Row],[Sunset Time (POA&lt;20 W/m2)]]-TA[[#This Row],[Sunrise Time (POA&gt;20 W/m2)]])*24,"")</f>
        <v>12.666666666666668</v>
      </c>
      <c r="L1213" s="2" t="s">
        <v>285</v>
      </c>
      <c r="M1213" s="33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14" t="s">
        <v>309</v>
      </c>
      <c r="Q1213" s="113" t="s">
        <v>309</v>
      </c>
      <c r="R1213">
        <v>131</v>
      </c>
      <c r="S1213" s="2">
        <v>38</v>
      </c>
      <c r="T1213" t="s">
        <v>286</v>
      </c>
      <c r="U1213" t="s">
        <v>291</v>
      </c>
      <c r="V1213" t="s">
        <v>289</v>
      </c>
      <c r="W1213" s="32"/>
      <c r="X1213" s="32"/>
      <c r="Y1213" s="26"/>
      <c r="Z1213" s="26"/>
      <c r="AA1213" s="27">
        <f>IF(TA[[#This Row],[Work Start time on Fault]]="NA","",(TA[[#This Row],[Fault Acknowledgement Time ]]-TA[[#This Row],[Fault Time]])*24)</f>
        <v>0</v>
      </c>
      <c r="AB1213" s="27">
        <f>(TA[[#This Row],[Work Start time on Fault]]-TA[[#This Row],[Fault Time]])*24</f>
        <v>0</v>
      </c>
      <c r="AC1213" s="26">
        <f>(TA[[#This Row],[Work Completion time on fault]]-TA[[#This Row],[Fault Time]])*24</f>
        <v>0</v>
      </c>
      <c r="AD1213" s="27">
        <f>IFERROR((TA[[#This Row],[Work Completion time on fault]]-TA[[#This Row],[Fault Time]])*24,"")</f>
        <v>0</v>
      </c>
      <c r="AE1213" t="s">
        <v>319</v>
      </c>
      <c r="AF1213" t="s">
        <v>247</v>
      </c>
      <c r="AG1213" s="2"/>
      <c r="AH1213" s="35">
        <f>1-COS(RADIANS(TA[[#This Row],[Avg. Target Angle during Fault Time (Radians)]]-TA[[#This Row],[Angle of affected equipment ]]))</f>
        <v>0.11705240714107301</v>
      </c>
      <c r="AI1213" s="27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43">
        <f t="shared" si="134"/>
        <v>2026</v>
      </c>
      <c r="C1214" s="116">
        <f t="shared" si="135"/>
        <v>2025</v>
      </c>
      <c r="D1214" s="2" t="s">
        <v>155</v>
      </c>
      <c r="E1214" s="2" t="s">
        <v>155</v>
      </c>
      <c r="F1214" s="30">
        <v>45809</v>
      </c>
      <c r="G1214" s="2">
        <f>DAY(EOMONTH(TA[[#This Row],[Month Year]],0))</f>
        <v>30</v>
      </c>
      <c r="H1214" s="21">
        <v>45830</v>
      </c>
      <c r="I1214" s="32">
        <f>IFERROR(VLOOKUP(TA[[#This Row],[Date]],Raw_Data[[Date]:[Sunset Time (POA&lt;20 W/m2)]],3,0),"")</f>
        <v>0.24652777777777779</v>
      </c>
      <c r="J1214" s="32">
        <f>IFERROR(VLOOKUP(TA[[#This Row],[Date]],Raw_Data[[Date]:[Sunset Time (POA&lt;20 W/m2)]],4,0),"")</f>
        <v>0.77430555555555558</v>
      </c>
      <c r="K1214" s="27">
        <f>IFERROR((TA[[#This Row],[Sunset Time (POA&lt;20 W/m2)]]-TA[[#This Row],[Sunrise Time (POA&gt;20 W/m2)]])*24,"")</f>
        <v>12.666666666666668</v>
      </c>
      <c r="L1214" s="2" t="s">
        <v>285</v>
      </c>
      <c r="M1214" s="33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14" t="s">
        <v>309</v>
      </c>
      <c r="Q1214" s="113" t="s">
        <v>309</v>
      </c>
      <c r="R1214">
        <v>131</v>
      </c>
      <c r="S1214" s="2">
        <v>39</v>
      </c>
      <c r="T1214" t="s">
        <v>286</v>
      </c>
      <c r="U1214" t="s">
        <v>291</v>
      </c>
      <c r="V1214" t="s">
        <v>289</v>
      </c>
      <c r="W1214" s="32"/>
      <c r="X1214" s="32"/>
      <c r="Y1214" s="26"/>
      <c r="Z1214" s="26"/>
      <c r="AA1214" s="27">
        <f>IF(TA[[#This Row],[Work Start time on Fault]]="NA","",(TA[[#This Row],[Fault Acknowledgement Time ]]-TA[[#This Row],[Fault Time]])*24)</f>
        <v>0</v>
      </c>
      <c r="AB1214" s="27">
        <f>(TA[[#This Row],[Work Start time on Fault]]-TA[[#This Row],[Fault Time]])*24</f>
        <v>0</v>
      </c>
      <c r="AC1214" s="26">
        <f>(TA[[#This Row],[Work Completion time on fault]]-TA[[#This Row],[Fault Time]])*24</f>
        <v>0</v>
      </c>
      <c r="AD1214" s="27">
        <f>IFERROR((TA[[#This Row],[Work Completion time on fault]]-TA[[#This Row],[Fault Time]])*24,"")</f>
        <v>0</v>
      </c>
      <c r="AE1214" t="s">
        <v>319</v>
      </c>
      <c r="AF1214" t="s">
        <v>247</v>
      </c>
      <c r="AG1214" s="2"/>
      <c r="AH1214" s="35">
        <f>1-COS(RADIANS(TA[[#This Row],[Avg. Target Angle during Fault Time (Radians)]]-TA[[#This Row],[Angle of affected equipment ]]))</f>
        <v>0.11705240714107301</v>
      </c>
      <c r="AI1214" s="27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43">
        <f t="shared" si="134"/>
        <v>2026</v>
      </c>
      <c r="C1215" s="116">
        <f t="shared" si="135"/>
        <v>2025</v>
      </c>
      <c r="D1215" s="2" t="s">
        <v>155</v>
      </c>
      <c r="E1215" s="2" t="s">
        <v>155</v>
      </c>
      <c r="F1215" s="30">
        <v>45809</v>
      </c>
      <c r="G1215" s="2">
        <f>DAY(EOMONTH(TA[[#This Row],[Month Year]],0))</f>
        <v>30</v>
      </c>
      <c r="H1215" s="21">
        <v>45830</v>
      </c>
      <c r="I1215" s="32">
        <f>IFERROR(VLOOKUP(TA[[#This Row],[Date]],Raw_Data[[Date]:[Sunset Time (POA&lt;20 W/m2)]],3,0),"")</f>
        <v>0.24652777777777779</v>
      </c>
      <c r="J1215" s="32">
        <f>IFERROR(VLOOKUP(TA[[#This Row],[Date]],Raw_Data[[Date]:[Sunset Time (POA&lt;20 W/m2)]],4,0),"")</f>
        <v>0.77430555555555558</v>
      </c>
      <c r="K1215" s="27">
        <f>IFERROR((TA[[#This Row],[Sunset Time (POA&lt;20 W/m2)]]-TA[[#This Row],[Sunrise Time (POA&gt;20 W/m2)]])*24,"")</f>
        <v>12.666666666666668</v>
      </c>
      <c r="L1215" s="2" t="s">
        <v>287</v>
      </c>
      <c r="M1215" s="33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14" t="s">
        <v>309</v>
      </c>
      <c r="Q1215" s="2" t="s">
        <v>312</v>
      </c>
      <c r="R1215">
        <v>133</v>
      </c>
      <c r="S1215" s="2">
        <v>26</v>
      </c>
      <c r="T1215" t="s">
        <v>288</v>
      </c>
      <c r="U1215" t="s">
        <v>291</v>
      </c>
      <c r="V1215" t="s">
        <v>305</v>
      </c>
      <c r="W1215" s="32">
        <f>IFERROR(VLOOKUP(TA[[#This Row],[Date]],Raw_Data[[Date]:[Sunset Time (POA&lt;20 W/m2)]],3,0),"")</f>
        <v>0.24652777777777779</v>
      </c>
      <c r="X1215" s="32">
        <f>IFERROR(VLOOKUP(TA[[#This Row],[Date]],Raw_Data[[Date]:[Sunset Time (POA&lt;20 W/m2)]],3,0),"")</f>
        <v>0.24652777777777779</v>
      </c>
      <c r="Y1215" s="26"/>
      <c r="Z1215" s="26">
        <v>0.76041666666666663</v>
      </c>
      <c r="AA1215" s="27">
        <f>IF(TA[[#This Row],[Work Start time on Fault]]="NA","",(TA[[#This Row],[Fault Acknowledgement Time ]]-TA[[#This Row],[Fault Time]])*24)</f>
        <v>0</v>
      </c>
      <c r="AB1215" s="27">
        <f>(TA[[#This Row],[Work Start time on Fault]]-TA[[#This Row],[Fault Time]])*24</f>
        <v>-5.916666666666667</v>
      </c>
      <c r="AC1215" s="26">
        <f>(TA[[#This Row],[Work Completion time on fault]]-TA[[#This Row],[Fault Time]])*24</f>
        <v>12.333333333333332</v>
      </c>
      <c r="AD1215" s="27">
        <f>IFERROR((TA[[#This Row],[Work Completion time on fault]]-TA[[#This Row],[Fault Time]])*24,"")</f>
        <v>12.333333333333332</v>
      </c>
      <c r="AE1215" t="s">
        <v>319</v>
      </c>
      <c r="AF1215" t="s">
        <v>247</v>
      </c>
      <c r="AG1215" s="2"/>
      <c r="AH1215" s="35">
        <f>1-COS(RADIANS(TA[[#This Row],[Avg. Target Angle during Fault Time (Radians)]]-TA[[#This Row],[Angle of affected equipment ]]))</f>
        <v>0.11705240714107301</v>
      </c>
      <c r="AI1215" s="27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43">
        <f t="shared" si="134"/>
        <v>2026</v>
      </c>
      <c r="C1216" s="116">
        <f t="shared" si="135"/>
        <v>2025</v>
      </c>
      <c r="D1216" s="2" t="s">
        <v>155</v>
      </c>
      <c r="E1216" s="2" t="s">
        <v>155</v>
      </c>
      <c r="F1216" s="30">
        <v>45809</v>
      </c>
      <c r="G1216" s="2">
        <f>DAY(EOMONTH(TA[[#This Row],[Month Year]],0))</f>
        <v>30</v>
      </c>
      <c r="H1216" s="21">
        <v>45830</v>
      </c>
      <c r="I1216" s="32">
        <f>IFERROR(VLOOKUP(TA[[#This Row],[Date]],Raw_Data[[Date]:[Sunset Time (POA&lt;20 W/m2)]],3,0),"")</f>
        <v>0.24652777777777779</v>
      </c>
      <c r="J1216" s="32">
        <f>IFERROR(VLOOKUP(TA[[#This Row],[Date]],Raw_Data[[Date]:[Sunset Time (POA&lt;20 W/m2)]],4,0),"")</f>
        <v>0.77430555555555558</v>
      </c>
      <c r="K1216" s="27">
        <f>IFERROR((TA[[#This Row],[Sunset Time (POA&lt;20 W/m2)]]-TA[[#This Row],[Sunrise Time (POA&gt;20 W/m2)]])*24,"")</f>
        <v>12.666666666666668</v>
      </c>
      <c r="L1216" s="2" t="s">
        <v>285</v>
      </c>
      <c r="M1216" s="33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14" t="s">
        <v>307</v>
      </c>
      <c r="Q1216" s="113" t="s">
        <v>308</v>
      </c>
      <c r="R1216">
        <v>7</v>
      </c>
      <c r="S1216" s="2">
        <v>32</v>
      </c>
      <c r="T1216" t="s">
        <v>286</v>
      </c>
      <c r="U1216" t="s">
        <v>291</v>
      </c>
      <c r="V1216" t="s">
        <v>289</v>
      </c>
      <c r="W1216" s="32"/>
      <c r="X1216" s="32"/>
      <c r="Y1216" s="26"/>
      <c r="Z1216" s="26"/>
      <c r="AA1216" s="27">
        <f>IF(TA[[#This Row],[Work Start time on Fault]]="NA","",(TA[[#This Row],[Fault Acknowledgement Time ]]-TA[[#This Row],[Fault Time]])*24)</f>
        <v>0</v>
      </c>
      <c r="AB1216" s="27">
        <f>(TA[[#This Row],[Work Start time on Fault]]-TA[[#This Row],[Fault Time]])*24</f>
        <v>0</v>
      </c>
      <c r="AC1216" s="26">
        <f>(TA[[#This Row],[Work Completion time on fault]]-TA[[#This Row],[Fault Time]])*24</f>
        <v>0</v>
      </c>
      <c r="AD1216" s="27">
        <f>IFERROR((TA[[#This Row],[Work Completion time on fault]]-TA[[#This Row],[Fault Time]])*24,"")</f>
        <v>0</v>
      </c>
      <c r="AE1216" t="s">
        <v>319</v>
      </c>
      <c r="AF1216" t="s">
        <v>247</v>
      </c>
      <c r="AG1216" s="2"/>
      <c r="AH1216" s="35">
        <f>1-COS(RADIANS(TA[[#This Row],[Avg. Target Angle during Fault Time (Radians)]]-TA[[#This Row],[Angle of affected equipment ]]))</f>
        <v>0.11705240714107301</v>
      </c>
      <c r="AI1216" s="27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43">
        <f t="shared" si="134"/>
        <v>2026</v>
      </c>
      <c r="C1217" s="116">
        <f t="shared" si="135"/>
        <v>2025</v>
      </c>
      <c r="D1217" s="2" t="s">
        <v>155</v>
      </c>
      <c r="E1217" s="2" t="s">
        <v>155</v>
      </c>
      <c r="F1217" s="30">
        <v>45809</v>
      </c>
      <c r="G1217" s="2">
        <f>DAY(EOMONTH(TA[[#This Row],[Month Year]],0))</f>
        <v>30</v>
      </c>
      <c r="H1217" s="21">
        <v>45830</v>
      </c>
      <c r="I1217" s="32">
        <f>IFERROR(VLOOKUP(TA[[#This Row],[Date]],Raw_Data[[Date]:[Sunset Time (POA&lt;20 W/m2)]],3,0),"")</f>
        <v>0.24652777777777779</v>
      </c>
      <c r="J1217" s="32">
        <f>IFERROR(VLOOKUP(TA[[#This Row],[Date]],Raw_Data[[Date]:[Sunset Time (POA&lt;20 W/m2)]],4,0),"")</f>
        <v>0.77430555555555558</v>
      </c>
      <c r="K1217" s="27">
        <f>IFERROR((TA[[#This Row],[Sunset Time (POA&lt;20 W/m2)]]-TA[[#This Row],[Sunrise Time (POA&gt;20 W/m2)]])*24,"")</f>
        <v>12.666666666666668</v>
      </c>
      <c r="L1217" s="2" t="s">
        <v>285</v>
      </c>
      <c r="M1217" s="33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14" t="s">
        <v>306</v>
      </c>
      <c r="Q1217" s="113" t="s">
        <v>310</v>
      </c>
      <c r="R1217">
        <v>166</v>
      </c>
      <c r="S1217" s="2">
        <v>91</v>
      </c>
      <c r="T1217" t="s">
        <v>286</v>
      </c>
      <c r="U1217" t="s">
        <v>291</v>
      </c>
      <c r="V1217" t="s">
        <v>289</v>
      </c>
      <c r="W1217" s="32"/>
      <c r="X1217" s="32"/>
      <c r="Y1217" s="26"/>
      <c r="Z1217" s="26"/>
      <c r="AA1217" s="27">
        <f>IF(TA[[#This Row],[Work Start time on Fault]]="NA","",(TA[[#This Row],[Fault Acknowledgement Time ]]-TA[[#This Row],[Fault Time]])*24)</f>
        <v>0</v>
      </c>
      <c r="AB1217" s="27">
        <f>(TA[[#This Row],[Work Start time on Fault]]-TA[[#This Row],[Fault Time]])*24</f>
        <v>0</v>
      </c>
      <c r="AC1217" s="26">
        <f>(TA[[#This Row],[Work Completion time on fault]]-TA[[#This Row],[Fault Time]])*24</f>
        <v>0</v>
      </c>
      <c r="AD1217" s="27">
        <f>IFERROR((TA[[#This Row],[Work Completion time on fault]]-TA[[#This Row],[Fault Time]])*24,"")</f>
        <v>0</v>
      </c>
      <c r="AE1217" t="s">
        <v>319</v>
      </c>
      <c r="AF1217" t="s">
        <v>247</v>
      </c>
      <c r="AG1217" s="2"/>
      <c r="AH1217" s="35">
        <f>1-COS(RADIANS(TA[[#This Row],[Avg. Target Angle during Fault Time (Radians)]]-TA[[#This Row],[Angle of affected equipment ]]))</f>
        <v>0.11705240714107301</v>
      </c>
      <c r="AI1217" s="27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43">
        <f t="shared" si="134"/>
        <v>2026</v>
      </c>
      <c r="C1218" s="116">
        <f t="shared" si="135"/>
        <v>2025</v>
      </c>
      <c r="D1218" s="2" t="s">
        <v>155</v>
      </c>
      <c r="E1218" s="2" t="s">
        <v>155</v>
      </c>
      <c r="F1218" s="30">
        <v>45809</v>
      </c>
      <c r="G1218" s="2">
        <f>DAY(EOMONTH(TA[[#This Row],[Month Year]],0))</f>
        <v>30</v>
      </c>
      <c r="H1218" s="21">
        <v>45830</v>
      </c>
      <c r="I1218" s="32">
        <f>IFERROR(VLOOKUP(TA[[#This Row],[Date]],Raw_Data[[Date]:[Sunset Time (POA&lt;20 W/m2)]],3,0),"")</f>
        <v>0.24652777777777779</v>
      </c>
      <c r="J1218" s="32">
        <f>IFERROR(VLOOKUP(TA[[#This Row],[Date]],Raw_Data[[Date]:[Sunset Time (POA&lt;20 W/m2)]],4,0),"")</f>
        <v>0.77430555555555558</v>
      </c>
      <c r="K1218" s="27">
        <f>IFERROR((TA[[#This Row],[Sunset Time (POA&lt;20 W/m2)]]-TA[[#This Row],[Sunrise Time (POA&gt;20 W/m2)]])*24,"")</f>
        <v>12.666666666666668</v>
      </c>
      <c r="L1218" s="2" t="s">
        <v>285</v>
      </c>
      <c r="M1218" s="33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14" t="s">
        <v>307</v>
      </c>
      <c r="Q1218" s="113" t="s">
        <v>307</v>
      </c>
      <c r="R1218">
        <v>117</v>
      </c>
      <c r="S1218" s="2">
        <v>20</v>
      </c>
      <c r="T1218" t="s">
        <v>286</v>
      </c>
      <c r="U1218" t="s">
        <v>291</v>
      </c>
      <c r="V1218" t="s">
        <v>289</v>
      </c>
      <c r="W1218" s="32"/>
      <c r="X1218" s="32"/>
      <c r="Y1218" s="26"/>
      <c r="Z1218" s="26"/>
      <c r="AA1218" s="27">
        <f>IF(TA[[#This Row],[Work Start time on Fault]]="NA","",(TA[[#This Row],[Fault Acknowledgement Time ]]-TA[[#This Row],[Fault Time]])*24)</f>
        <v>0</v>
      </c>
      <c r="AB1218" s="27">
        <f>(TA[[#This Row],[Work Start time on Fault]]-TA[[#This Row],[Fault Time]])*24</f>
        <v>0</v>
      </c>
      <c r="AC1218" s="26">
        <f>(TA[[#This Row],[Work Completion time on fault]]-TA[[#This Row],[Fault Time]])*24</f>
        <v>0</v>
      </c>
      <c r="AD1218" s="27">
        <f>IFERROR((TA[[#This Row],[Work Completion time on fault]]-TA[[#This Row],[Fault Time]])*24,"")</f>
        <v>0</v>
      </c>
      <c r="AE1218" t="s">
        <v>319</v>
      </c>
      <c r="AF1218" t="s">
        <v>247</v>
      </c>
      <c r="AG1218" s="2"/>
      <c r="AH1218" s="35">
        <f>1-COS(RADIANS(TA[[#This Row],[Avg. Target Angle during Fault Time (Radians)]]-TA[[#This Row],[Angle of affected equipment ]]))</f>
        <v>0.11705240714107301</v>
      </c>
      <c r="AI1218" s="27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43">
        <f t="shared" si="134"/>
        <v>2026</v>
      </c>
      <c r="C1219" s="116">
        <f t="shared" si="135"/>
        <v>2025</v>
      </c>
      <c r="D1219" s="2" t="s">
        <v>155</v>
      </c>
      <c r="E1219" s="2" t="s">
        <v>155</v>
      </c>
      <c r="F1219" s="30">
        <v>45809</v>
      </c>
      <c r="G1219" s="2">
        <f>DAY(EOMONTH(TA[[#This Row],[Month Year]],0))</f>
        <v>30</v>
      </c>
      <c r="H1219" s="21">
        <v>45830</v>
      </c>
      <c r="I1219" s="32">
        <f>IFERROR(VLOOKUP(TA[[#This Row],[Date]],Raw_Data[[Date]:[Sunset Time (POA&lt;20 W/m2)]],3,0),"")</f>
        <v>0.24652777777777779</v>
      </c>
      <c r="J1219" s="32">
        <f>IFERROR(VLOOKUP(TA[[#This Row],[Date]],Raw_Data[[Date]:[Sunset Time (POA&lt;20 W/m2)]],4,0),"")</f>
        <v>0.77430555555555558</v>
      </c>
      <c r="K1219" s="27">
        <f>IFERROR((TA[[#This Row],[Sunset Time (POA&lt;20 W/m2)]]-TA[[#This Row],[Sunrise Time (POA&gt;20 W/m2)]])*24,"")</f>
        <v>12.666666666666668</v>
      </c>
      <c r="L1219" s="2" t="s">
        <v>285</v>
      </c>
      <c r="M1219" s="33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14" t="s">
        <v>307</v>
      </c>
      <c r="Q1219" s="113" t="s">
        <v>307</v>
      </c>
      <c r="R1219">
        <v>118</v>
      </c>
      <c r="S1219" s="2">
        <v>22</v>
      </c>
      <c r="T1219" t="s">
        <v>286</v>
      </c>
      <c r="U1219" t="s">
        <v>291</v>
      </c>
      <c r="V1219" t="s">
        <v>289</v>
      </c>
      <c r="W1219" s="32"/>
      <c r="X1219" s="32"/>
      <c r="Y1219" s="26"/>
      <c r="Z1219" s="26"/>
      <c r="AA1219" s="27">
        <f>IF(TA[[#This Row],[Work Start time on Fault]]="NA","",(TA[[#This Row],[Fault Acknowledgement Time ]]-TA[[#This Row],[Fault Time]])*24)</f>
        <v>0</v>
      </c>
      <c r="AB1219" s="27">
        <f>(TA[[#This Row],[Work Start time on Fault]]-TA[[#This Row],[Fault Time]])*24</f>
        <v>0</v>
      </c>
      <c r="AC1219" s="26">
        <f>(TA[[#This Row],[Work Completion time on fault]]-TA[[#This Row],[Fault Time]])*24</f>
        <v>0</v>
      </c>
      <c r="AD1219" s="27">
        <f>IFERROR((TA[[#This Row],[Work Completion time on fault]]-TA[[#This Row],[Fault Time]])*24,"")</f>
        <v>0</v>
      </c>
      <c r="AE1219" t="s">
        <v>319</v>
      </c>
      <c r="AF1219" t="s">
        <v>247</v>
      </c>
      <c r="AG1219" s="2"/>
      <c r="AH1219" s="35">
        <f>1-COS(RADIANS(TA[[#This Row],[Avg. Target Angle during Fault Time (Radians)]]-TA[[#This Row],[Angle of affected equipment ]]))</f>
        <v>0.11705240714107301</v>
      </c>
      <c r="AI1219" s="27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43">
        <f t="shared" si="134"/>
        <v>2026</v>
      </c>
      <c r="C1220" s="116">
        <f t="shared" si="135"/>
        <v>2025</v>
      </c>
      <c r="D1220" s="2" t="s">
        <v>155</v>
      </c>
      <c r="E1220" s="2" t="s">
        <v>155</v>
      </c>
      <c r="F1220" s="30">
        <v>45809</v>
      </c>
      <c r="G1220" s="2">
        <f>DAY(EOMONTH(TA[[#This Row],[Month Year]],0))</f>
        <v>30</v>
      </c>
      <c r="H1220" s="21">
        <v>45830</v>
      </c>
      <c r="I1220" s="32">
        <f>IFERROR(VLOOKUP(TA[[#This Row],[Date]],Raw_Data[[Date]:[Sunset Time (POA&lt;20 W/m2)]],3,0),"")</f>
        <v>0.24652777777777779</v>
      </c>
      <c r="J1220" s="32">
        <f>IFERROR(VLOOKUP(TA[[#This Row],[Date]],Raw_Data[[Date]:[Sunset Time (POA&lt;20 W/m2)]],4,0),"")</f>
        <v>0.77430555555555558</v>
      </c>
      <c r="K1220" s="27">
        <f>IFERROR((TA[[#This Row],[Sunset Time (POA&lt;20 W/m2)]]-TA[[#This Row],[Sunrise Time (POA&gt;20 W/m2)]])*24,"")</f>
        <v>12.666666666666668</v>
      </c>
      <c r="L1220" s="2" t="s">
        <v>287</v>
      </c>
      <c r="M1220" s="33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314</v>
      </c>
      <c r="Q1220" s="2" t="s">
        <v>320</v>
      </c>
      <c r="R1220">
        <v>45</v>
      </c>
      <c r="S1220" s="2">
        <v>8</v>
      </c>
      <c r="T1220" t="s">
        <v>288</v>
      </c>
      <c r="U1220" t="s">
        <v>291</v>
      </c>
      <c r="V1220" t="s">
        <v>292</v>
      </c>
      <c r="W1220" s="32"/>
      <c r="X1220" s="32"/>
      <c r="Y1220" s="26"/>
      <c r="Z1220" s="26"/>
      <c r="AA1220" s="27">
        <f>IF(TA[[#This Row],[Work Start time on Fault]]="NA","",(TA[[#This Row],[Fault Acknowledgement Time ]]-TA[[#This Row],[Fault Time]])*24)</f>
        <v>0</v>
      </c>
      <c r="AB1220" s="27">
        <f>(TA[[#This Row],[Work Start time on Fault]]-TA[[#This Row],[Fault Time]])*24</f>
        <v>0</v>
      </c>
      <c r="AC1220" s="26">
        <f>(TA[[#This Row],[Work Completion time on fault]]-TA[[#This Row],[Fault Time]])*24</f>
        <v>0</v>
      </c>
      <c r="AD1220" s="27">
        <f>IFERROR((TA[[#This Row],[Work Completion time on fault]]-TA[[#This Row],[Fault Time]])*24,"")</f>
        <v>0</v>
      </c>
      <c r="AE1220" t="s">
        <v>319</v>
      </c>
      <c r="AF1220" t="s">
        <v>247</v>
      </c>
      <c r="AG1220" s="2"/>
      <c r="AH1220" s="35">
        <f>1-COS(RADIANS(TA[[#This Row],[Avg. Target Angle during Fault Time (Radians)]]-TA[[#This Row],[Angle of affected equipment ]]))</f>
        <v>0.11705240714107301</v>
      </c>
      <c r="AI1220" s="27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43">
        <f t="shared" si="134"/>
        <v>2026</v>
      </c>
      <c r="C1221" s="116">
        <f t="shared" si="135"/>
        <v>2025</v>
      </c>
      <c r="D1221" s="2" t="s">
        <v>155</v>
      </c>
      <c r="E1221" s="2" t="s">
        <v>155</v>
      </c>
      <c r="F1221" s="30">
        <v>45809</v>
      </c>
      <c r="G1221" s="2">
        <f>DAY(EOMONTH(TA[[#This Row],[Month Year]],0))</f>
        <v>30</v>
      </c>
      <c r="H1221" s="21">
        <v>45830</v>
      </c>
      <c r="I1221" s="32">
        <f>IFERROR(VLOOKUP(TA[[#This Row],[Date]],Raw_Data[[Date]:[Sunset Time (POA&lt;20 W/m2)]],3,0),"")</f>
        <v>0.24652777777777779</v>
      </c>
      <c r="J1221" s="32">
        <f>IFERROR(VLOOKUP(TA[[#This Row],[Date]],Raw_Data[[Date]:[Sunset Time (POA&lt;20 W/m2)]],4,0),"")</f>
        <v>0.77430555555555558</v>
      </c>
      <c r="K1221" s="27">
        <f>IFERROR((TA[[#This Row],[Sunset Time (POA&lt;20 W/m2)]]-TA[[#This Row],[Sunrise Time (POA&gt;20 W/m2)]])*24,"")</f>
        <v>12.666666666666668</v>
      </c>
      <c r="L1221" s="2" t="s">
        <v>287</v>
      </c>
      <c r="M1221" s="33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314</v>
      </c>
      <c r="Q1221" s="2" t="s">
        <v>320</v>
      </c>
      <c r="R1221">
        <v>47</v>
      </c>
      <c r="S1221" s="2">
        <v>18</v>
      </c>
      <c r="T1221" t="s">
        <v>288</v>
      </c>
      <c r="U1221" t="s">
        <v>291</v>
      </c>
      <c r="V1221" t="s">
        <v>292</v>
      </c>
      <c r="W1221" s="32"/>
      <c r="X1221" s="32"/>
      <c r="Y1221" s="26"/>
      <c r="Z1221" s="26"/>
      <c r="AA1221" s="27">
        <f>IF(TA[[#This Row],[Work Start time on Fault]]="NA","",(TA[[#This Row],[Fault Acknowledgement Time ]]-TA[[#This Row],[Fault Time]])*24)</f>
        <v>0</v>
      </c>
      <c r="AB1221" s="27">
        <f>(TA[[#This Row],[Work Start time on Fault]]-TA[[#This Row],[Fault Time]])*24</f>
        <v>0</v>
      </c>
      <c r="AC1221" s="26">
        <f>(TA[[#This Row],[Work Completion time on fault]]-TA[[#This Row],[Fault Time]])*24</f>
        <v>0</v>
      </c>
      <c r="AD1221" s="27">
        <f>IFERROR((TA[[#This Row],[Work Completion time on fault]]-TA[[#This Row],[Fault Time]])*24,"")</f>
        <v>0</v>
      </c>
      <c r="AE1221" t="s">
        <v>319</v>
      </c>
      <c r="AF1221" t="s">
        <v>247</v>
      </c>
      <c r="AG1221" s="2"/>
      <c r="AH1221" s="35">
        <f>1-COS(RADIANS(TA[[#This Row],[Avg. Target Angle during Fault Time (Radians)]]-TA[[#This Row],[Angle of affected equipment ]]))</f>
        <v>0.11705240714107301</v>
      </c>
      <c r="AI1221" s="27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43">
        <f t="shared" si="134"/>
        <v>2026</v>
      </c>
      <c r="C1222" s="116">
        <f t="shared" si="135"/>
        <v>2025</v>
      </c>
      <c r="D1222" s="2" t="s">
        <v>155</v>
      </c>
      <c r="E1222" s="2" t="s">
        <v>155</v>
      </c>
      <c r="F1222" s="30">
        <v>45809</v>
      </c>
      <c r="G1222" s="2">
        <f>DAY(EOMONTH(TA[[#This Row],[Month Year]],0))</f>
        <v>30</v>
      </c>
      <c r="H1222" s="21">
        <v>45830</v>
      </c>
      <c r="I1222" s="32">
        <f>IFERROR(VLOOKUP(TA[[#This Row],[Date]],Raw_Data[[Date]:[Sunset Time (POA&lt;20 W/m2)]],3,0),"")</f>
        <v>0.24652777777777779</v>
      </c>
      <c r="J1222" s="32">
        <f>IFERROR(VLOOKUP(TA[[#This Row],[Date]],Raw_Data[[Date]:[Sunset Time (POA&lt;20 W/m2)]],4,0),"")</f>
        <v>0.77430555555555558</v>
      </c>
      <c r="K1222" s="27">
        <f>IFERROR((TA[[#This Row],[Sunset Time (POA&lt;20 W/m2)]]-TA[[#This Row],[Sunrise Time (POA&gt;20 W/m2)]])*24,"")</f>
        <v>12.666666666666668</v>
      </c>
      <c r="L1222" s="2" t="s">
        <v>287</v>
      </c>
      <c r="M1222" s="33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321</v>
      </c>
      <c r="Q1222" s="2" t="s">
        <v>314</v>
      </c>
      <c r="R1222">
        <v>30</v>
      </c>
      <c r="S1222" s="2">
        <v>57</v>
      </c>
      <c r="T1222" t="s">
        <v>288</v>
      </c>
      <c r="U1222" t="s">
        <v>291</v>
      </c>
      <c r="V1222" t="s">
        <v>292</v>
      </c>
      <c r="W1222" s="32"/>
      <c r="X1222" s="32"/>
      <c r="Y1222" s="26"/>
      <c r="Z1222" s="26"/>
      <c r="AA1222" s="27">
        <f>IF(TA[[#This Row],[Work Start time on Fault]]="NA","",(TA[[#This Row],[Fault Acknowledgement Time ]]-TA[[#This Row],[Fault Time]])*24)</f>
        <v>0</v>
      </c>
      <c r="AB1222" s="27">
        <f>(TA[[#This Row],[Work Start time on Fault]]-TA[[#This Row],[Fault Time]])*24</f>
        <v>0</v>
      </c>
      <c r="AC1222" s="26">
        <f>(TA[[#This Row],[Work Completion time on fault]]-TA[[#This Row],[Fault Time]])*24</f>
        <v>0</v>
      </c>
      <c r="AD1222" s="27">
        <f>IFERROR((TA[[#This Row],[Work Completion time on fault]]-TA[[#This Row],[Fault Time]])*24,"")</f>
        <v>0</v>
      </c>
      <c r="AE1222" t="s">
        <v>319</v>
      </c>
      <c r="AF1222" t="s">
        <v>247</v>
      </c>
      <c r="AG1222" s="2"/>
      <c r="AH1222" s="35">
        <f>1-COS(RADIANS(TA[[#This Row],[Avg. Target Angle during Fault Time (Radians)]]-TA[[#This Row],[Angle of affected equipment ]]))</f>
        <v>0.11705240714107301</v>
      </c>
      <c r="AI1222" s="27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43">
        <f t="shared" si="134"/>
        <v>2026</v>
      </c>
      <c r="C1223" s="116">
        <f t="shared" si="135"/>
        <v>2025</v>
      </c>
      <c r="D1223" s="2" t="s">
        <v>155</v>
      </c>
      <c r="E1223" s="2" t="s">
        <v>155</v>
      </c>
      <c r="F1223" s="30">
        <v>45809</v>
      </c>
      <c r="G1223" s="2">
        <f>DAY(EOMONTH(TA[[#This Row],[Month Year]],0))</f>
        <v>30</v>
      </c>
      <c r="H1223" s="21">
        <v>45830</v>
      </c>
      <c r="I1223" s="32">
        <f>IFERROR(VLOOKUP(TA[[#This Row],[Date]],Raw_Data[[Date]:[Sunset Time (POA&lt;20 W/m2)]],3,0),"")</f>
        <v>0.24652777777777779</v>
      </c>
      <c r="J1223" s="32">
        <f>IFERROR(VLOOKUP(TA[[#This Row],[Date]],Raw_Data[[Date]:[Sunset Time (POA&lt;20 W/m2)]],4,0),"")</f>
        <v>0.77430555555555558</v>
      </c>
      <c r="K1223" s="27">
        <f>IFERROR((TA[[#This Row],[Sunset Time (POA&lt;20 W/m2)]]-TA[[#This Row],[Sunrise Time (POA&gt;20 W/m2)]])*24,"")</f>
        <v>12.666666666666668</v>
      </c>
      <c r="L1223" s="2" t="s">
        <v>287</v>
      </c>
      <c r="M1223" s="33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321</v>
      </c>
      <c r="Q1223" s="2" t="s">
        <v>314</v>
      </c>
      <c r="R1223">
        <v>31</v>
      </c>
      <c r="S1223" s="2">
        <v>61</v>
      </c>
      <c r="T1223" t="s">
        <v>288</v>
      </c>
      <c r="U1223" t="s">
        <v>291</v>
      </c>
      <c r="V1223" t="s">
        <v>292</v>
      </c>
      <c r="W1223" s="32"/>
      <c r="X1223" s="32"/>
      <c r="Y1223" s="26"/>
      <c r="Z1223" s="26"/>
      <c r="AA1223" s="27">
        <f>IF(TA[[#This Row],[Work Start time on Fault]]="NA","",(TA[[#This Row],[Fault Acknowledgement Time ]]-TA[[#This Row],[Fault Time]])*24)</f>
        <v>0</v>
      </c>
      <c r="AB1223" s="27">
        <f>(TA[[#This Row],[Work Start time on Fault]]-TA[[#This Row],[Fault Time]])*24</f>
        <v>0</v>
      </c>
      <c r="AC1223" s="26">
        <f>(TA[[#This Row],[Work Completion time on fault]]-TA[[#This Row],[Fault Time]])*24</f>
        <v>0</v>
      </c>
      <c r="AD1223" s="27">
        <f>IFERROR((TA[[#This Row],[Work Completion time on fault]]-TA[[#This Row],[Fault Time]])*24,"")</f>
        <v>0</v>
      </c>
      <c r="AE1223" t="s">
        <v>319</v>
      </c>
      <c r="AF1223" t="s">
        <v>247</v>
      </c>
      <c r="AG1223" s="2"/>
      <c r="AH1223" s="35">
        <f>1-COS(RADIANS(TA[[#This Row],[Avg. Target Angle during Fault Time (Radians)]]-TA[[#This Row],[Angle of affected equipment ]]))</f>
        <v>0.11705240714107301</v>
      </c>
      <c r="AI1223" s="27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43">
        <f t="shared" si="134"/>
        <v>2026</v>
      </c>
      <c r="C1224" s="116">
        <f t="shared" si="135"/>
        <v>2025</v>
      </c>
      <c r="D1224" s="2" t="s">
        <v>155</v>
      </c>
      <c r="E1224" s="2" t="s">
        <v>155</v>
      </c>
      <c r="F1224" s="30">
        <v>45809</v>
      </c>
      <c r="G1224" s="2">
        <f>DAY(EOMONTH(TA[[#This Row],[Month Year]],0))</f>
        <v>30</v>
      </c>
      <c r="H1224" s="21">
        <v>45830</v>
      </c>
      <c r="I1224" s="32">
        <f>IFERROR(VLOOKUP(TA[[#This Row],[Date]],Raw_Data[[Date]:[Sunset Time (POA&lt;20 W/m2)]],3,0),"")</f>
        <v>0.24652777777777779</v>
      </c>
      <c r="J1224" s="32">
        <f>IFERROR(VLOOKUP(TA[[#This Row],[Date]],Raw_Data[[Date]:[Sunset Time (POA&lt;20 W/m2)]],4,0),"")</f>
        <v>0.77430555555555558</v>
      </c>
      <c r="K1224" s="27">
        <f>IFERROR((TA[[#This Row],[Sunset Time (POA&lt;20 W/m2)]]-TA[[#This Row],[Sunrise Time (POA&gt;20 W/m2)]])*24,"")</f>
        <v>12.666666666666668</v>
      </c>
      <c r="L1224" s="2" t="s">
        <v>303</v>
      </c>
      <c r="M1224" s="33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321</v>
      </c>
      <c r="Q1224" s="2" t="s">
        <v>314</v>
      </c>
      <c r="R1224">
        <v>26</v>
      </c>
      <c r="S1224" s="2">
        <v>37</v>
      </c>
      <c r="T1224" t="s">
        <v>288</v>
      </c>
      <c r="U1224" t="s">
        <v>291</v>
      </c>
      <c r="V1224" t="s">
        <v>292</v>
      </c>
      <c r="W1224" s="32"/>
      <c r="X1224" s="32"/>
      <c r="Y1224" s="26"/>
      <c r="Z1224" s="26"/>
      <c r="AA1224" s="27">
        <f>IF(TA[[#This Row],[Work Start time on Fault]]="NA","",(TA[[#This Row],[Fault Acknowledgement Time ]]-TA[[#This Row],[Fault Time]])*24)</f>
        <v>0</v>
      </c>
      <c r="AB1224" s="27">
        <f>(TA[[#This Row],[Work Start time on Fault]]-TA[[#This Row],[Fault Time]])*24</f>
        <v>0</v>
      </c>
      <c r="AC1224" s="26">
        <f>(TA[[#This Row],[Work Completion time on fault]]-TA[[#This Row],[Fault Time]])*24</f>
        <v>0</v>
      </c>
      <c r="AD1224" s="27">
        <f>IFERROR((TA[[#This Row],[Work Completion time on fault]]-TA[[#This Row],[Fault Time]])*24,"")</f>
        <v>0</v>
      </c>
      <c r="AE1224" t="s">
        <v>319</v>
      </c>
      <c r="AF1224" t="s">
        <v>247</v>
      </c>
      <c r="AG1224" s="2"/>
      <c r="AH1224" s="35">
        <f>1-COS(RADIANS(TA[[#This Row],[Avg. Target Angle during Fault Time (Radians)]]-TA[[#This Row],[Angle of affected equipment ]]))</f>
        <v>0.11705240714107301</v>
      </c>
      <c r="AI1224" s="27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43">
        <f t="shared" si="134"/>
        <v>2026</v>
      </c>
      <c r="C1225" s="116">
        <f t="shared" si="135"/>
        <v>2025</v>
      </c>
      <c r="D1225" s="2" t="s">
        <v>155</v>
      </c>
      <c r="E1225" s="2" t="s">
        <v>155</v>
      </c>
      <c r="F1225" s="30">
        <v>45809</v>
      </c>
      <c r="G1225" s="2">
        <f>DAY(EOMONTH(TA[[#This Row],[Month Year]],0))</f>
        <v>30</v>
      </c>
      <c r="H1225" s="21">
        <v>45830</v>
      </c>
      <c r="I1225" s="32">
        <f>IFERROR(VLOOKUP(TA[[#This Row],[Date]],Raw_Data[[Date]:[Sunset Time (POA&lt;20 W/m2)]],3,0),"")</f>
        <v>0.24652777777777779</v>
      </c>
      <c r="J1225" s="32">
        <f>IFERROR(VLOOKUP(TA[[#This Row],[Date]],Raw_Data[[Date]:[Sunset Time (POA&lt;20 W/m2)]],4,0),"")</f>
        <v>0.77430555555555558</v>
      </c>
      <c r="K1225" s="27">
        <f>IFERROR((TA[[#This Row],[Sunset Time (POA&lt;20 W/m2)]]-TA[[#This Row],[Sunrise Time (POA&gt;20 W/m2)]])*24,"")</f>
        <v>12.666666666666668</v>
      </c>
      <c r="L1225" s="2" t="s">
        <v>303</v>
      </c>
      <c r="M1225" s="33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321</v>
      </c>
      <c r="Q1225" s="2" t="s">
        <v>314</v>
      </c>
      <c r="R1225">
        <v>27</v>
      </c>
      <c r="S1225" s="2">
        <v>42</v>
      </c>
      <c r="T1225" t="s">
        <v>288</v>
      </c>
      <c r="U1225" t="s">
        <v>291</v>
      </c>
      <c r="V1225" t="s">
        <v>292</v>
      </c>
      <c r="W1225" s="32">
        <f>IFERROR(VLOOKUP(TA[[#This Row],[Date]],Raw_Data[[Date]:[Sunset Time (POA&lt;20 W/m2)]],3,0),"")</f>
        <v>0.24652777777777779</v>
      </c>
      <c r="X1225" s="32">
        <f>IFERROR(VLOOKUP(TA[[#This Row],[Date]],Raw_Data[[Date]:[Sunset Time (POA&lt;20 W/m2)]],3,0),"")</f>
        <v>0.24652777777777779</v>
      </c>
      <c r="Y1225" s="26"/>
      <c r="Z1225" s="26">
        <v>0.76041666666666663</v>
      </c>
      <c r="AA1225" s="27">
        <f>IF(TA[[#This Row],[Work Start time on Fault]]="NA","",(TA[[#This Row],[Fault Acknowledgement Time ]]-TA[[#This Row],[Fault Time]])*24)</f>
        <v>0</v>
      </c>
      <c r="AB1225" s="27">
        <f>(TA[[#This Row],[Work Start time on Fault]]-TA[[#This Row],[Fault Time]])*24</f>
        <v>-5.916666666666667</v>
      </c>
      <c r="AC1225" s="26">
        <f>(TA[[#This Row],[Work Completion time on fault]]-TA[[#This Row],[Fault Time]])*24</f>
        <v>12.333333333333332</v>
      </c>
      <c r="AD1225" s="27">
        <f>IFERROR((TA[[#This Row],[Work Completion time on fault]]-TA[[#This Row],[Fault Time]])*24,"")</f>
        <v>12.333333333333332</v>
      </c>
      <c r="AE1225" t="s">
        <v>300</v>
      </c>
      <c r="AF1225" t="s">
        <v>247</v>
      </c>
      <c r="AG1225" s="2"/>
      <c r="AH1225" s="35">
        <f>1-COS(RADIANS(TA[[#This Row],[Avg. Target Angle during Fault Time (Radians)]]-TA[[#This Row],[Angle of affected equipment ]]))</f>
        <v>0.11705240714107301</v>
      </c>
      <c r="AI1225" s="27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43">
        <f t="shared" ref="B1226:B1238" si="136">YEAR(H1226)+IF(MONTH(H1226)&gt;=4,1,0)</f>
        <v>2026</v>
      </c>
      <c r="C1226" s="116">
        <f t="shared" ref="C1226:C1238" si="137">YEAR(H1226)</f>
        <v>2025</v>
      </c>
      <c r="D1226" s="2" t="s">
        <v>155</v>
      </c>
      <c r="E1226" s="2" t="s">
        <v>155</v>
      </c>
      <c r="F1226" s="30">
        <v>45809</v>
      </c>
      <c r="G1226" s="2">
        <f>DAY(EOMONTH(TA[[#This Row],[Month Year]],0))</f>
        <v>30</v>
      </c>
      <c r="H1226" s="21">
        <v>45831</v>
      </c>
      <c r="I1226" s="32">
        <f>IFERROR(VLOOKUP(TA[[#This Row],[Date]],Raw_Data[[Date]:[Sunset Time (POA&lt;20 W/m2)]],3,0),"")</f>
        <v>0.24791666666666667</v>
      </c>
      <c r="J1226" s="32">
        <f>IFERROR(VLOOKUP(TA[[#This Row],[Date]],Raw_Data[[Date]:[Sunset Time (POA&lt;20 W/m2)]],4,0),"")</f>
        <v>0.77083333333333337</v>
      </c>
      <c r="K1226" s="27">
        <f>IFERROR((TA[[#This Row],[Sunset Time (POA&lt;20 W/m2)]]-TA[[#This Row],[Sunrise Time (POA&gt;20 W/m2)]])*24,"")</f>
        <v>12.55</v>
      </c>
      <c r="L1226" s="2" t="s">
        <v>285</v>
      </c>
      <c r="M1226" s="33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14" t="s">
        <v>309</v>
      </c>
      <c r="Q1226" s="113" t="s">
        <v>309</v>
      </c>
      <c r="R1226">
        <v>131</v>
      </c>
      <c r="S1226" s="2">
        <v>38</v>
      </c>
      <c r="T1226" t="s">
        <v>286</v>
      </c>
      <c r="U1226" t="s">
        <v>291</v>
      </c>
      <c r="V1226" t="s">
        <v>289</v>
      </c>
      <c r="W1226" s="32"/>
      <c r="X1226" s="32"/>
      <c r="Y1226" s="26"/>
      <c r="Z1226" s="26"/>
      <c r="AA1226" s="27">
        <f>IF(TA[[#This Row],[Work Start time on Fault]]="NA","",(TA[[#This Row],[Fault Acknowledgement Time ]]-TA[[#This Row],[Fault Time]])*24)</f>
        <v>0</v>
      </c>
      <c r="AB1226" s="27">
        <f>(TA[[#This Row],[Work Start time on Fault]]-TA[[#This Row],[Fault Time]])*24</f>
        <v>0</v>
      </c>
      <c r="AC1226" s="26">
        <f>(TA[[#This Row],[Work Completion time on fault]]-TA[[#This Row],[Fault Time]])*24</f>
        <v>0</v>
      </c>
      <c r="AD1226" s="27">
        <f>IFERROR((TA[[#This Row],[Work Completion time on fault]]-TA[[#This Row],[Fault Time]])*24,"")</f>
        <v>0</v>
      </c>
      <c r="AE1226" t="s">
        <v>319</v>
      </c>
      <c r="AF1226" t="s">
        <v>247</v>
      </c>
      <c r="AG1226" s="2"/>
      <c r="AH1226" s="35">
        <f>1-COS(RADIANS(TA[[#This Row],[Avg. Target Angle during Fault Time (Radians)]]-TA[[#This Row],[Angle of affected equipment ]]))</f>
        <v>0.11705240714107301</v>
      </c>
      <c r="AI1226" s="27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43">
        <f t="shared" si="136"/>
        <v>2026</v>
      </c>
      <c r="C1227" s="116">
        <f t="shared" si="137"/>
        <v>2025</v>
      </c>
      <c r="D1227" s="2" t="s">
        <v>155</v>
      </c>
      <c r="E1227" s="2" t="s">
        <v>155</v>
      </c>
      <c r="F1227" s="30">
        <v>45809</v>
      </c>
      <c r="G1227" s="2">
        <f>DAY(EOMONTH(TA[[#This Row],[Month Year]],0))</f>
        <v>30</v>
      </c>
      <c r="H1227" s="21">
        <v>45831</v>
      </c>
      <c r="I1227" s="32">
        <f>IFERROR(VLOOKUP(TA[[#This Row],[Date]],Raw_Data[[Date]:[Sunset Time (POA&lt;20 W/m2)]],3,0),"")</f>
        <v>0.24791666666666667</v>
      </c>
      <c r="J1227" s="32">
        <f>IFERROR(VLOOKUP(TA[[#This Row],[Date]],Raw_Data[[Date]:[Sunset Time (POA&lt;20 W/m2)]],4,0),"")</f>
        <v>0.77083333333333337</v>
      </c>
      <c r="K1227" s="27">
        <f>IFERROR((TA[[#This Row],[Sunset Time (POA&lt;20 W/m2)]]-TA[[#This Row],[Sunrise Time (POA&gt;20 W/m2)]])*24,"")</f>
        <v>12.55</v>
      </c>
      <c r="L1227" s="2" t="s">
        <v>285</v>
      </c>
      <c r="M1227" s="33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14" t="s">
        <v>309</v>
      </c>
      <c r="Q1227" s="113" t="s">
        <v>309</v>
      </c>
      <c r="R1227">
        <v>131</v>
      </c>
      <c r="S1227" s="2">
        <v>39</v>
      </c>
      <c r="T1227" t="s">
        <v>286</v>
      </c>
      <c r="U1227" t="s">
        <v>291</v>
      </c>
      <c r="V1227" t="s">
        <v>289</v>
      </c>
      <c r="W1227" s="32"/>
      <c r="X1227" s="32"/>
      <c r="Y1227" s="26"/>
      <c r="Z1227" s="26"/>
      <c r="AA1227" s="27">
        <f>IF(TA[[#This Row],[Work Start time on Fault]]="NA","",(TA[[#This Row],[Fault Acknowledgement Time ]]-TA[[#This Row],[Fault Time]])*24)</f>
        <v>0</v>
      </c>
      <c r="AB1227" s="27">
        <f>(TA[[#This Row],[Work Start time on Fault]]-TA[[#This Row],[Fault Time]])*24</f>
        <v>0</v>
      </c>
      <c r="AC1227" s="26">
        <f>(TA[[#This Row],[Work Completion time on fault]]-TA[[#This Row],[Fault Time]])*24</f>
        <v>0</v>
      </c>
      <c r="AD1227" s="27">
        <f>IFERROR((TA[[#This Row],[Work Completion time on fault]]-TA[[#This Row],[Fault Time]])*24,"")</f>
        <v>0</v>
      </c>
      <c r="AE1227" t="s">
        <v>319</v>
      </c>
      <c r="AF1227" t="s">
        <v>247</v>
      </c>
      <c r="AG1227" s="2"/>
      <c r="AH1227" s="35">
        <f>1-COS(RADIANS(TA[[#This Row],[Avg. Target Angle during Fault Time (Radians)]]-TA[[#This Row],[Angle of affected equipment ]]))</f>
        <v>0.11705240714107301</v>
      </c>
      <c r="AI1227" s="27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43">
        <f t="shared" si="136"/>
        <v>2026</v>
      </c>
      <c r="C1228" s="116">
        <f t="shared" si="137"/>
        <v>2025</v>
      </c>
      <c r="D1228" s="2" t="s">
        <v>155</v>
      </c>
      <c r="E1228" s="2" t="s">
        <v>155</v>
      </c>
      <c r="F1228" s="30">
        <v>45809</v>
      </c>
      <c r="G1228" s="2">
        <f>DAY(EOMONTH(TA[[#This Row],[Month Year]],0))</f>
        <v>30</v>
      </c>
      <c r="H1228" s="21">
        <v>45831</v>
      </c>
      <c r="I1228" s="32">
        <f>IFERROR(VLOOKUP(TA[[#This Row],[Date]],Raw_Data[[Date]:[Sunset Time (POA&lt;20 W/m2)]],3,0),"")</f>
        <v>0.24791666666666667</v>
      </c>
      <c r="J1228" s="32">
        <f>IFERROR(VLOOKUP(TA[[#This Row],[Date]],Raw_Data[[Date]:[Sunset Time (POA&lt;20 W/m2)]],4,0),"")</f>
        <v>0.77083333333333337</v>
      </c>
      <c r="K1228" s="27">
        <f>IFERROR((TA[[#This Row],[Sunset Time (POA&lt;20 W/m2)]]-TA[[#This Row],[Sunrise Time (POA&gt;20 W/m2)]])*24,"")</f>
        <v>12.55</v>
      </c>
      <c r="L1228" s="2" t="s">
        <v>287</v>
      </c>
      <c r="M1228" s="33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14" t="s">
        <v>309</v>
      </c>
      <c r="Q1228" s="2" t="s">
        <v>312</v>
      </c>
      <c r="R1228">
        <v>133</v>
      </c>
      <c r="S1228" s="2">
        <v>26</v>
      </c>
      <c r="T1228" t="s">
        <v>288</v>
      </c>
      <c r="U1228" t="s">
        <v>291</v>
      </c>
      <c r="V1228" t="s">
        <v>305</v>
      </c>
      <c r="W1228" s="32">
        <f>IFERROR(VLOOKUP(TA[[#This Row],[Date]],Raw_Data[[Date]:[Sunset Time (POA&lt;20 W/m2)]],3,0),"")</f>
        <v>0.24791666666666667</v>
      </c>
      <c r="X1228" s="32">
        <f>IFERROR(VLOOKUP(TA[[#This Row],[Date]],Raw_Data[[Date]:[Sunset Time (POA&lt;20 W/m2)]],3,0),"")</f>
        <v>0.24791666666666667</v>
      </c>
      <c r="Y1228" s="26"/>
      <c r="Z1228" s="26">
        <v>0.76041666666666663</v>
      </c>
      <c r="AA1228" s="27">
        <f>IF(TA[[#This Row],[Work Start time on Fault]]="NA","",(TA[[#This Row],[Fault Acknowledgement Time ]]-TA[[#This Row],[Fault Time]])*24)</f>
        <v>0</v>
      </c>
      <c r="AB1228" s="27">
        <f>(TA[[#This Row],[Work Start time on Fault]]-TA[[#This Row],[Fault Time]])*24</f>
        <v>-5.95</v>
      </c>
      <c r="AC1228" s="26">
        <f>(TA[[#This Row],[Work Completion time on fault]]-TA[[#This Row],[Fault Time]])*24</f>
        <v>12.299999999999999</v>
      </c>
      <c r="AD1228" s="27">
        <f>IFERROR((TA[[#This Row],[Work Completion time on fault]]-TA[[#This Row],[Fault Time]])*24,"")</f>
        <v>12.299999999999999</v>
      </c>
      <c r="AE1228" t="s">
        <v>319</v>
      </c>
      <c r="AF1228" t="s">
        <v>247</v>
      </c>
      <c r="AG1228" s="2"/>
      <c r="AH1228" s="35">
        <f>1-COS(RADIANS(TA[[#This Row],[Avg. Target Angle during Fault Time (Radians)]]-TA[[#This Row],[Angle of affected equipment ]]))</f>
        <v>0.11705240714107301</v>
      </c>
      <c r="AI1228" s="27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43">
        <f t="shared" si="136"/>
        <v>2026</v>
      </c>
      <c r="C1229" s="116">
        <f t="shared" si="137"/>
        <v>2025</v>
      </c>
      <c r="D1229" s="2" t="s">
        <v>155</v>
      </c>
      <c r="E1229" s="2" t="s">
        <v>155</v>
      </c>
      <c r="F1229" s="30">
        <v>45809</v>
      </c>
      <c r="G1229" s="2">
        <f>DAY(EOMONTH(TA[[#This Row],[Month Year]],0))</f>
        <v>30</v>
      </c>
      <c r="H1229" s="21">
        <v>45831</v>
      </c>
      <c r="I1229" s="32">
        <f>IFERROR(VLOOKUP(TA[[#This Row],[Date]],Raw_Data[[Date]:[Sunset Time (POA&lt;20 W/m2)]],3,0),"")</f>
        <v>0.24791666666666667</v>
      </c>
      <c r="J1229" s="32">
        <f>IFERROR(VLOOKUP(TA[[#This Row],[Date]],Raw_Data[[Date]:[Sunset Time (POA&lt;20 W/m2)]],4,0),"")</f>
        <v>0.77083333333333337</v>
      </c>
      <c r="K1229" s="27">
        <f>IFERROR((TA[[#This Row],[Sunset Time (POA&lt;20 W/m2)]]-TA[[#This Row],[Sunrise Time (POA&gt;20 W/m2)]])*24,"")</f>
        <v>12.55</v>
      </c>
      <c r="L1229" s="2" t="s">
        <v>285</v>
      </c>
      <c r="M1229" s="33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14" t="s">
        <v>307</v>
      </c>
      <c r="Q1229" s="113" t="s">
        <v>308</v>
      </c>
      <c r="R1229">
        <v>7</v>
      </c>
      <c r="S1229" s="2">
        <v>32</v>
      </c>
      <c r="T1229" t="s">
        <v>286</v>
      </c>
      <c r="U1229" t="s">
        <v>291</v>
      </c>
      <c r="V1229" t="s">
        <v>289</v>
      </c>
      <c r="W1229" s="32"/>
      <c r="X1229" s="32"/>
      <c r="Y1229" s="26"/>
      <c r="Z1229" s="26"/>
      <c r="AA1229" s="27">
        <f>IF(TA[[#This Row],[Work Start time on Fault]]="NA","",(TA[[#This Row],[Fault Acknowledgement Time ]]-TA[[#This Row],[Fault Time]])*24)</f>
        <v>0</v>
      </c>
      <c r="AB1229" s="27">
        <f>(TA[[#This Row],[Work Start time on Fault]]-TA[[#This Row],[Fault Time]])*24</f>
        <v>0</v>
      </c>
      <c r="AC1229" s="26">
        <f>(TA[[#This Row],[Work Completion time on fault]]-TA[[#This Row],[Fault Time]])*24</f>
        <v>0</v>
      </c>
      <c r="AD1229" s="27">
        <f>IFERROR((TA[[#This Row],[Work Completion time on fault]]-TA[[#This Row],[Fault Time]])*24,"")</f>
        <v>0</v>
      </c>
      <c r="AE1229" t="s">
        <v>319</v>
      </c>
      <c r="AF1229" t="s">
        <v>247</v>
      </c>
      <c r="AG1229" s="2"/>
      <c r="AH1229" s="35">
        <f>1-COS(RADIANS(TA[[#This Row],[Avg. Target Angle during Fault Time (Radians)]]-TA[[#This Row],[Angle of affected equipment ]]))</f>
        <v>0.11705240714107301</v>
      </c>
      <c r="AI1229" s="27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43">
        <f t="shared" si="136"/>
        <v>2026</v>
      </c>
      <c r="C1230" s="116">
        <f t="shared" si="137"/>
        <v>2025</v>
      </c>
      <c r="D1230" s="2" t="s">
        <v>155</v>
      </c>
      <c r="E1230" s="2" t="s">
        <v>155</v>
      </c>
      <c r="F1230" s="30">
        <v>45809</v>
      </c>
      <c r="G1230" s="2">
        <f>DAY(EOMONTH(TA[[#This Row],[Month Year]],0))</f>
        <v>30</v>
      </c>
      <c r="H1230" s="21">
        <v>45831</v>
      </c>
      <c r="I1230" s="32">
        <f>IFERROR(VLOOKUP(TA[[#This Row],[Date]],Raw_Data[[Date]:[Sunset Time (POA&lt;20 W/m2)]],3,0),"")</f>
        <v>0.24791666666666667</v>
      </c>
      <c r="J1230" s="32">
        <f>IFERROR(VLOOKUP(TA[[#This Row],[Date]],Raw_Data[[Date]:[Sunset Time (POA&lt;20 W/m2)]],4,0),"")</f>
        <v>0.77083333333333337</v>
      </c>
      <c r="K1230" s="27">
        <f>IFERROR((TA[[#This Row],[Sunset Time (POA&lt;20 W/m2)]]-TA[[#This Row],[Sunrise Time (POA&gt;20 W/m2)]])*24,"")</f>
        <v>12.55</v>
      </c>
      <c r="L1230" s="2" t="s">
        <v>285</v>
      </c>
      <c r="M1230" s="33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14" t="s">
        <v>306</v>
      </c>
      <c r="Q1230" s="113" t="s">
        <v>310</v>
      </c>
      <c r="R1230">
        <v>166</v>
      </c>
      <c r="S1230" s="2">
        <v>91</v>
      </c>
      <c r="T1230" t="s">
        <v>286</v>
      </c>
      <c r="U1230" t="s">
        <v>291</v>
      </c>
      <c r="V1230" t="s">
        <v>289</v>
      </c>
      <c r="W1230" s="32"/>
      <c r="X1230" s="32"/>
      <c r="Y1230" s="26"/>
      <c r="Z1230" s="26"/>
      <c r="AA1230" s="27">
        <f>IF(TA[[#This Row],[Work Start time on Fault]]="NA","",(TA[[#This Row],[Fault Acknowledgement Time ]]-TA[[#This Row],[Fault Time]])*24)</f>
        <v>0</v>
      </c>
      <c r="AB1230" s="27">
        <f>(TA[[#This Row],[Work Start time on Fault]]-TA[[#This Row],[Fault Time]])*24</f>
        <v>0</v>
      </c>
      <c r="AC1230" s="26">
        <f>(TA[[#This Row],[Work Completion time on fault]]-TA[[#This Row],[Fault Time]])*24</f>
        <v>0</v>
      </c>
      <c r="AD1230" s="27">
        <f>IFERROR((TA[[#This Row],[Work Completion time on fault]]-TA[[#This Row],[Fault Time]])*24,"")</f>
        <v>0</v>
      </c>
      <c r="AE1230" t="s">
        <v>319</v>
      </c>
      <c r="AF1230" t="s">
        <v>247</v>
      </c>
      <c r="AG1230" s="2"/>
      <c r="AH1230" s="35">
        <f>1-COS(RADIANS(TA[[#This Row],[Avg. Target Angle during Fault Time (Radians)]]-TA[[#This Row],[Angle of affected equipment ]]))</f>
        <v>0.11705240714107301</v>
      </c>
      <c r="AI1230" s="27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43">
        <f t="shared" si="136"/>
        <v>2026</v>
      </c>
      <c r="C1231" s="116">
        <f t="shared" si="137"/>
        <v>2025</v>
      </c>
      <c r="D1231" s="2" t="s">
        <v>155</v>
      </c>
      <c r="E1231" s="2" t="s">
        <v>155</v>
      </c>
      <c r="F1231" s="30">
        <v>45809</v>
      </c>
      <c r="G1231" s="2">
        <f>DAY(EOMONTH(TA[[#This Row],[Month Year]],0))</f>
        <v>30</v>
      </c>
      <c r="H1231" s="21">
        <v>45831</v>
      </c>
      <c r="I1231" s="32">
        <f>IFERROR(VLOOKUP(TA[[#This Row],[Date]],Raw_Data[[Date]:[Sunset Time (POA&lt;20 W/m2)]],3,0),"")</f>
        <v>0.24791666666666667</v>
      </c>
      <c r="J1231" s="32">
        <f>IFERROR(VLOOKUP(TA[[#This Row],[Date]],Raw_Data[[Date]:[Sunset Time (POA&lt;20 W/m2)]],4,0),"")</f>
        <v>0.77083333333333337</v>
      </c>
      <c r="K1231" s="27">
        <f>IFERROR((TA[[#This Row],[Sunset Time (POA&lt;20 W/m2)]]-TA[[#This Row],[Sunrise Time (POA&gt;20 W/m2)]])*24,"")</f>
        <v>12.55</v>
      </c>
      <c r="L1231" s="2" t="s">
        <v>285</v>
      </c>
      <c r="M1231" s="33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14" t="s">
        <v>307</v>
      </c>
      <c r="Q1231" s="113" t="s">
        <v>307</v>
      </c>
      <c r="R1231">
        <v>117</v>
      </c>
      <c r="S1231" s="2">
        <v>20</v>
      </c>
      <c r="T1231" t="s">
        <v>286</v>
      </c>
      <c r="U1231" t="s">
        <v>291</v>
      </c>
      <c r="V1231" t="s">
        <v>289</v>
      </c>
      <c r="W1231" s="32"/>
      <c r="X1231" s="32"/>
      <c r="Y1231" s="26"/>
      <c r="Z1231" s="26"/>
      <c r="AA1231" s="27">
        <f>IF(TA[[#This Row],[Work Start time on Fault]]="NA","",(TA[[#This Row],[Fault Acknowledgement Time ]]-TA[[#This Row],[Fault Time]])*24)</f>
        <v>0</v>
      </c>
      <c r="AB1231" s="27">
        <f>(TA[[#This Row],[Work Start time on Fault]]-TA[[#This Row],[Fault Time]])*24</f>
        <v>0</v>
      </c>
      <c r="AC1231" s="26">
        <f>(TA[[#This Row],[Work Completion time on fault]]-TA[[#This Row],[Fault Time]])*24</f>
        <v>0</v>
      </c>
      <c r="AD1231" s="27">
        <f>IFERROR((TA[[#This Row],[Work Completion time on fault]]-TA[[#This Row],[Fault Time]])*24,"")</f>
        <v>0</v>
      </c>
      <c r="AE1231" t="s">
        <v>319</v>
      </c>
      <c r="AF1231" t="s">
        <v>247</v>
      </c>
      <c r="AG1231" s="2"/>
      <c r="AH1231" s="35">
        <f>1-COS(RADIANS(TA[[#This Row],[Avg. Target Angle during Fault Time (Radians)]]-TA[[#This Row],[Angle of affected equipment ]]))</f>
        <v>0.11705240714107301</v>
      </c>
      <c r="AI1231" s="27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43">
        <f t="shared" si="136"/>
        <v>2026</v>
      </c>
      <c r="C1232" s="116">
        <f t="shared" si="137"/>
        <v>2025</v>
      </c>
      <c r="D1232" s="2" t="s">
        <v>155</v>
      </c>
      <c r="E1232" s="2" t="s">
        <v>155</v>
      </c>
      <c r="F1232" s="30">
        <v>45809</v>
      </c>
      <c r="G1232" s="2">
        <f>DAY(EOMONTH(TA[[#This Row],[Month Year]],0))</f>
        <v>30</v>
      </c>
      <c r="H1232" s="21">
        <v>45831</v>
      </c>
      <c r="I1232" s="32">
        <f>IFERROR(VLOOKUP(TA[[#This Row],[Date]],Raw_Data[[Date]:[Sunset Time (POA&lt;20 W/m2)]],3,0),"")</f>
        <v>0.24791666666666667</v>
      </c>
      <c r="J1232" s="32">
        <f>IFERROR(VLOOKUP(TA[[#This Row],[Date]],Raw_Data[[Date]:[Sunset Time (POA&lt;20 W/m2)]],4,0),"")</f>
        <v>0.77083333333333337</v>
      </c>
      <c r="K1232" s="27">
        <f>IFERROR((TA[[#This Row],[Sunset Time (POA&lt;20 W/m2)]]-TA[[#This Row],[Sunrise Time (POA&gt;20 W/m2)]])*24,"")</f>
        <v>12.55</v>
      </c>
      <c r="L1232" s="2" t="s">
        <v>285</v>
      </c>
      <c r="M1232" s="33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14" t="s">
        <v>307</v>
      </c>
      <c r="Q1232" s="113" t="s">
        <v>307</v>
      </c>
      <c r="R1232">
        <v>118</v>
      </c>
      <c r="S1232" s="2">
        <v>22</v>
      </c>
      <c r="T1232" t="s">
        <v>286</v>
      </c>
      <c r="U1232" t="s">
        <v>291</v>
      </c>
      <c r="V1232" t="s">
        <v>289</v>
      </c>
      <c r="W1232" s="32"/>
      <c r="X1232" s="32"/>
      <c r="Y1232" s="26"/>
      <c r="Z1232" s="26"/>
      <c r="AA1232" s="27">
        <f>IF(TA[[#This Row],[Work Start time on Fault]]="NA","",(TA[[#This Row],[Fault Acknowledgement Time ]]-TA[[#This Row],[Fault Time]])*24)</f>
        <v>0</v>
      </c>
      <c r="AB1232" s="27">
        <f>(TA[[#This Row],[Work Start time on Fault]]-TA[[#This Row],[Fault Time]])*24</f>
        <v>0</v>
      </c>
      <c r="AC1232" s="26">
        <f>(TA[[#This Row],[Work Completion time on fault]]-TA[[#This Row],[Fault Time]])*24</f>
        <v>0</v>
      </c>
      <c r="AD1232" s="27">
        <f>IFERROR((TA[[#This Row],[Work Completion time on fault]]-TA[[#This Row],[Fault Time]])*24,"")</f>
        <v>0</v>
      </c>
      <c r="AE1232" t="s">
        <v>319</v>
      </c>
      <c r="AF1232" t="s">
        <v>247</v>
      </c>
      <c r="AG1232" s="2"/>
      <c r="AH1232" s="35">
        <f>1-COS(RADIANS(TA[[#This Row],[Avg. Target Angle during Fault Time (Radians)]]-TA[[#This Row],[Angle of affected equipment ]]))</f>
        <v>0.11705240714107301</v>
      </c>
      <c r="AI1232" s="27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43">
        <f t="shared" si="136"/>
        <v>2026</v>
      </c>
      <c r="C1233" s="116">
        <f t="shared" si="137"/>
        <v>2025</v>
      </c>
      <c r="D1233" s="2" t="s">
        <v>155</v>
      </c>
      <c r="E1233" s="2" t="s">
        <v>155</v>
      </c>
      <c r="F1233" s="30">
        <v>45809</v>
      </c>
      <c r="G1233" s="2">
        <f>DAY(EOMONTH(TA[[#This Row],[Month Year]],0))</f>
        <v>30</v>
      </c>
      <c r="H1233" s="21">
        <v>45831</v>
      </c>
      <c r="I1233" s="32">
        <f>IFERROR(VLOOKUP(TA[[#This Row],[Date]],Raw_Data[[Date]:[Sunset Time (POA&lt;20 W/m2)]],3,0),"")</f>
        <v>0.24791666666666667</v>
      </c>
      <c r="J1233" s="32">
        <f>IFERROR(VLOOKUP(TA[[#This Row],[Date]],Raw_Data[[Date]:[Sunset Time (POA&lt;20 W/m2)]],4,0),"")</f>
        <v>0.77083333333333337</v>
      </c>
      <c r="K1233" s="27">
        <f>IFERROR((TA[[#This Row],[Sunset Time (POA&lt;20 W/m2)]]-TA[[#This Row],[Sunrise Time (POA&gt;20 W/m2)]])*24,"")</f>
        <v>12.55</v>
      </c>
      <c r="L1233" s="2" t="s">
        <v>287</v>
      </c>
      <c r="M1233" s="33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314</v>
      </c>
      <c r="Q1233" s="2" t="s">
        <v>320</v>
      </c>
      <c r="R1233">
        <v>45</v>
      </c>
      <c r="S1233" s="2">
        <v>8</v>
      </c>
      <c r="T1233" t="s">
        <v>288</v>
      </c>
      <c r="U1233" t="s">
        <v>291</v>
      </c>
      <c r="V1233" t="s">
        <v>292</v>
      </c>
      <c r="W1233" s="32"/>
      <c r="X1233" s="32"/>
      <c r="Y1233" s="26"/>
      <c r="Z1233" s="26"/>
      <c r="AA1233" s="27">
        <f>IF(TA[[#This Row],[Work Start time on Fault]]="NA","",(TA[[#This Row],[Fault Acknowledgement Time ]]-TA[[#This Row],[Fault Time]])*24)</f>
        <v>0</v>
      </c>
      <c r="AB1233" s="27">
        <f>(TA[[#This Row],[Work Start time on Fault]]-TA[[#This Row],[Fault Time]])*24</f>
        <v>0</v>
      </c>
      <c r="AC1233" s="26">
        <f>(TA[[#This Row],[Work Completion time on fault]]-TA[[#This Row],[Fault Time]])*24</f>
        <v>0</v>
      </c>
      <c r="AD1233" s="27">
        <f>IFERROR((TA[[#This Row],[Work Completion time on fault]]-TA[[#This Row],[Fault Time]])*24,"")</f>
        <v>0</v>
      </c>
      <c r="AE1233" t="s">
        <v>319</v>
      </c>
      <c r="AF1233" t="s">
        <v>247</v>
      </c>
      <c r="AG1233" s="2"/>
      <c r="AH1233" s="35">
        <f>1-COS(RADIANS(TA[[#This Row],[Avg. Target Angle during Fault Time (Radians)]]-TA[[#This Row],[Angle of affected equipment ]]))</f>
        <v>0.11705240714107301</v>
      </c>
      <c r="AI1233" s="27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43">
        <f t="shared" si="136"/>
        <v>2026</v>
      </c>
      <c r="C1234" s="116">
        <f t="shared" si="137"/>
        <v>2025</v>
      </c>
      <c r="D1234" s="2" t="s">
        <v>155</v>
      </c>
      <c r="E1234" s="2" t="s">
        <v>155</v>
      </c>
      <c r="F1234" s="30">
        <v>45809</v>
      </c>
      <c r="G1234" s="2">
        <f>DAY(EOMONTH(TA[[#This Row],[Month Year]],0))</f>
        <v>30</v>
      </c>
      <c r="H1234" s="21">
        <v>45831</v>
      </c>
      <c r="I1234" s="32">
        <f>IFERROR(VLOOKUP(TA[[#This Row],[Date]],Raw_Data[[Date]:[Sunset Time (POA&lt;20 W/m2)]],3,0),"")</f>
        <v>0.24791666666666667</v>
      </c>
      <c r="J1234" s="32">
        <f>IFERROR(VLOOKUP(TA[[#This Row],[Date]],Raw_Data[[Date]:[Sunset Time (POA&lt;20 W/m2)]],4,0),"")</f>
        <v>0.77083333333333337</v>
      </c>
      <c r="K1234" s="27">
        <f>IFERROR((TA[[#This Row],[Sunset Time (POA&lt;20 W/m2)]]-TA[[#This Row],[Sunrise Time (POA&gt;20 W/m2)]])*24,"")</f>
        <v>12.55</v>
      </c>
      <c r="L1234" s="2" t="s">
        <v>287</v>
      </c>
      <c r="M1234" s="33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314</v>
      </c>
      <c r="Q1234" s="2" t="s">
        <v>320</v>
      </c>
      <c r="R1234">
        <v>47</v>
      </c>
      <c r="S1234" s="2">
        <v>18</v>
      </c>
      <c r="T1234" t="s">
        <v>288</v>
      </c>
      <c r="U1234" t="s">
        <v>291</v>
      </c>
      <c r="V1234" t="s">
        <v>292</v>
      </c>
      <c r="W1234" s="32"/>
      <c r="X1234" s="32"/>
      <c r="Y1234" s="26"/>
      <c r="Z1234" s="26"/>
      <c r="AA1234" s="27">
        <f>IF(TA[[#This Row],[Work Start time on Fault]]="NA","",(TA[[#This Row],[Fault Acknowledgement Time ]]-TA[[#This Row],[Fault Time]])*24)</f>
        <v>0</v>
      </c>
      <c r="AB1234" s="27">
        <f>(TA[[#This Row],[Work Start time on Fault]]-TA[[#This Row],[Fault Time]])*24</f>
        <v>0</v>
      </c>
      <c r="AC1234" s="26">
        <f>(TA[[#This Row],[Work Completion time on fault]]-TA[[#This Row],[Fault Time]])*24</f>
        <v>0</v>
      </c>
      <c r="AD1234" s="27">
        <f>IFERROR((TA[[#This Row],[Work Completion time on fault]]-TA[[#This Row],[Fault Time]])*24,"")</f>
        <v>0</v>
      </c>
      <c r="AE1234" t="s">
        <v>319</v>
      </c>
      <c r="AF1234" t="s">
        <v>247</v>
      </c>
      <c r="AG1234" s="2"/>
      <c r="AH1234" s="35">
        <f>1-COS(RADIANS(TA[[#This Row],[Avg. Target Angle during Fault Time (Radians)]]-TA[[#This Row],[Angle of affected equipment ]]))</f>
        <v>0.11705240714107301</v>
      </c>
      <c r="AI1234" s="27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43">
        <f t="shared" si="136"/>
        <v>2026</v>
      </c>
      <c r="C1235" s="116">
        <f t="shared" si="137"/>
        <v>2025</v>
      </c>
      <c r="D1235" s="2" t="s">
        <v>155</v>
      </c>
      <c r="E1235" s="2" t="s">
        <v>155</v>
      </c>
      <c r="F1235" s="30">
        <v>45809</v>
      </c>
      <c r="G1235" s="2">
        <f>DAY(EOMONTH(TA[[#This Row],[Month Year]],0))</f>
        <v>30</v>
      </c>
      <c r="H1235" s="21">
        <v>45831</v>
      </c>
      <c r="I1235" s="32">
        <f>IFERROR(VLOOKUP(TA[[#This Row],[Date]],Raw_Data[[Date]:[Sunset Time (POA&lt;20 W/m2)]],3,0),"")</f>
        <v>0.24791666666666667</v>
      </c>
      <c r="J1235" s="32">
        <f>IFERROR(VLOOKUP(TA[[#This Row],[Date]],Raw_Data[[Date]:[Sunset Time (POA&lt;20 W/m2)]],4,0),"")</f>
        <v>0.77083333333333337</v>
      </c>
      <c r="K1235" s="27">
        <f>IFERROR((TA[[#This Row],[Sunset Time (POA&lt;20 W/m2)]]-TA[[#This Row],[Sunrise Time (POA&gt;20 W/m2)]])*24,"")</f>
        <v>12.55</v>
      </c>
      <c r="L1235" s="2" t="s">
        <v>287</v>
      </c>
      <c r="M1235" s="33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321</v>
      </c>
      <c r="Q1235" s="2" t="s">
        <v>314</v>
      </c>
      <c r="R1235">
        <v>30</v>
      </c>
      <c r="S1235" s="2">
        <v>57</v>
      </c>
      <c r="T1235" t="s">
        <v>288</v>
      </c>
      <c r="U1235" t="s">
        <v>291</v>
      </c>
      <c r="V1235" t="s">
        <v>292</v>
      </c>
      <c r="W1235" s="32"/>
      <c r="X1235" s="32"/>
      <c r="Y1235" s="26"/>
      <c r="Z1235" s="26"/>
      <c r="AA1235" s="27">
        <f>IF(TA[[#This Row],[Work Start time on Fault]]="NA","",(TA[[#This Row],[Fault Acknowledgement Time ]]-TA[[#This Row],[Fault Time]])*24)</f>
        <v>0</v>
      </c>
      <c r="AB1235" s="27">
        <f>(TA[[#This Row],[Work Start time on Fault]]-TA[[#This Row],[Fault Time]])*24</f>
        <v>0</v>
      </c>
      <c r="AC1235" s="26">
        <f>(TA[[#This Row],[Work Completion time on fault]]-TA[[#This Row],[Fault Time]])*24</f>
        <v>0</v>
      </c>
      <c r="AD1235" s="27">
        <f>IFERROR((TA[[#This Row],[Work Completion time on fault]]-TA[[#This Row],[Fault Time]])*24,"")</f>
        <v>0</v>
      </c>
      <c r="AE1235" t="s">
        <v>319</v>
      </c>
      <c r="AF1235" t="s">
        <v>247</v>
      </c>
      <c r="AG1235" s="2"/>
      <c r="AH1235" s="35">
        <f>1-COS(RADIANS(TA[[#This Row],[Avg. Target Angle during Fault Time (Radians)]]-TA[[#This Row],[Angle of affected equipment ]]))</f>
        <v>0.11705240714107301</v>
      </c>
      <c r="AI1235" s="27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43">
        <f t="shared" si="136"/>
        <v>2026</v>
      </c>
      <c r="C1236" s="116">
        <f t="shared" si="137"/>
        <v>2025</v>
      </c>
      <c r="D1236" s="2" t="s">
        <v>155</v>
      </c>
      <c r="E1236" s="2" t="s">
        <v>155</v>
      </c>
      <c r="F1236" s="30">
        <v>45809</v>
      </c>
      <c r="G1236" s="2">
        <f>DAY(EOMONTH(TA[[#This Row],[Month Year]],0))</f>
        <v>30</v>
      </c>
      <c r="H1236" s="21">
        <v>45831</v>
      </c>
      <c r="I1236" s="32">
        <f>IFERROR(VLOOKUP(TA[[#This Row],[Date]],Raw_Data[[Date]:[Sunset Time (POA&lt;20 W/m2)]],3,0),"")</f>
        <v>0.24791666666666667</v>
      </c>
      <c r="J1236" s="32">
        <f>IFERROR(VLOOKUP(TA[[#This Row],[Date]],Raw_Data[[Date]:[Sunset Time (POA&lt;20 W/m2)]],4,0),"")</f>
        <v>0.77083333333333337</v>
      </c>
      <c r="K1236" s="27">
        <f>IFERROR((TA[[#This Row],[Sunset Time (POA&lt;20 W/m2)]]-TA[[#This Row],[Sunrise Time (POA&gt;20 W/m2)]])*24,"")</f>
        <v>12.55</v>
      </c>
      <c r="L1236" s="2" t="s">
        <v>287</v>
      </c>
      <c r="M1236" s="33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321</v>
      </c>
      <c r="Q1236" s="2" t="s">
        <v>314</v>
      </c>
      <c r="R1236">
        <v>31</v>
      </c>
      <c r="S1236" s="2">
        <v>61</v>
      </c>
      <c r="T1236" t="s">
        <v>288</v>
      </c>
      <c r="U1236" t="s">
        <v>291</v>
      </c>
      <c r="V1236" t="s">
        <v>292</v>
      </c>
      <c r="W1236" s="32"/>
      <c r="X1236" s="32"/>
      <c r="Y1236" s="26"/>
      <c r="Z1236" s="26"/>
      <c r="AA1236" s="27">
        <f>IF(TA[[#This Row],[Work Start time on Fault]]="NA","",(TA[[#This Row],[Fault Acknowledgement Time ]]-TA[[#This Row],[Fault Time]])*24)</f>
        <v>0</v>
      </c>
      <c r="AB1236" s="27">
        <f>(TA[[#This Row],[Work Start time on Fault]]-TA[[#This Row],[Fault Time]])*24</f>
        <v>0</v>
      </c>
      <c r="AC1236" s="26">
        <f>(TA[[#This Row],[Work Completion time on fault]]-TA[[#This Row],[Fault Time]])*24</f>
        <v>0</v>
      </c>
      <c r="AD1236" s="27">
        <f>IFERROR((TA[[#This Row],[Work Completion time on fault]]-TA[[#This Row],[Fault Time]])*24,"")</f>
        <v>0</v>
      </c>
      <c r="AE1236" t="s">
        <v>319</v>
      </c>
      <c r="AF1236" t="s">
        <v>247</v>
      </c>
      <c r="AG1236" s="2"/>
      <c r="AH1236" s="35">
        <f>1-COS(RADIANS(TA[[#This Row],[Avg. Target Angle during Fault Time (Radians)]]-TA[[#This Row],[Angle of affected equipment ]]))</f>
        <v>0.11705240714107301</v>
      </c>
      <c r="AI1236" s="27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43">
        <f t="shared" si="136"/>
        <v>2026</v>
      </c>
      <c r="C1237" s="116">
        <f t="shared" si="137"/>
        <v>2025</v>
      </c>
      <c r="D1237" s="2" t="s">
        <v>155</v>
      </c>
      <c r="E1237" s="2" t="s">
        <v>155</v>
      </c>
      <c r="F1237" s="30">
        <v>45809</v>
      </c>
      <c r="G1237" s="2">
        <f>DAY(EOMONTH(TA[[#This Row],[Month Year]],0))</f>
        <v>30</v>
      </c>
      <c r="H1237" s="21">
        <v>45831</v>
      </c>
      <c r="I1237" s="32">
        <f>IFERROR(VLOOKUP(TA[[#This Row],[Date]],Raw_Data[[Date]:[Sunset Time (POA&lt;20 W/m2)]],3,0),"")</f>
        <v>0.24791666666666667</v>
      </c>
      <c r="J1237" s="32">
        <f>IFERROR(VLOOKUP(TA[[#This Row],[Date]],Raw_Data[[Date]:[Sunset Time (POA&lt;20 W/m2)]],4,0),"")</f>
        <v>0.77083333333333337</v>
      </c>
      <c r="K1237" s="27">
        <f>IFERROR((TA[[#This Row],[Sunset Time (POA&lt;20 W/m2)]]-TA[[#This Row],[Sunrise Time (POA&gt;20 W/m2)]])*24,"")</f>
        <v>12.55</v>
      </c>
      <c r="L1237" s="2" t="s">
        <v>303</v>
      </c>
      <c r="M1237" s="33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321</v>
      </c>
      <c r="Q1237" s="2" t="s">
        <v>314</v>
      </c>
      <c r="R1237">
        <v>26</v>
      </c>
      <c r="S1237" s="2">
        <v>37</v>
      </c>
      <c r="T1237" t="s">
        <v>288</v>
      </c>
      <c r="U1237" t="s">
        <v>291</v>
      </c>
      <c r="V1237" t="s">
        <v>292</v>
      </c>
      <c r="W1237" s="32"/>
      <c r="X1237" s="32"/>
      <c r="Y1237" s="26"/>
      <c r="Z1237" s="26"/>
      <c r="AA1237" s="27">
        <f>IF(TA[[#This Row],[Work Start time on Fault]]="NA","",(TA[[#This Row],[Fault Acknowledgement Time ]]-TA[[#This Row],[Fault Time]])*24)</f>
        <v>0</v>
      </c>
      <c r="AB1237" s="27">
        <f>(TA[[#This Row],[Work Start time on Fault]]-TA[[#This Row],[Fault Time]])*24</f>
        <v>0</v>
      </c>
      <c r="AC1237" s="26">
        <f>(TA[[#This Row],[Work Completion time on fault]]-TA[[#This Row],[Fault Time]])*24</f>
        <v>0</v>
      </c>
      <c r="AD1237" s="27">
        <f>IFERROR((TA[[#This Row],[Work Completion time on fault]]-TA[[#This Row],[Fault Time]])*24,"")</f>
        <v>0</v>
      </c>
      <c r="AE1237" t="s">
        <v>319</v>
      </c>
      <c r="AF1237" t="s">
        <v>247</v>
      </c>
      <c r="AG1237" s="2"/>
      <c r="AH1237" s="35">
        <f>1-COS(RADIANS(TA[[#This Row],[Avg. Target Angle during Fault Time (Radians)]]-TA[[#This Row],[Angle of affected equipment ]]))</f>
        <v>0.11705240714107301</v>
      </c>
      <c r="AI1237" s="27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43">
        <f t="shared" si="136"/>
        <v>2026</v>
      </c>
      <c r="C1238" s="116">
        <f t="shared" si="137"/>
        <v>2025</v>
      </c>
      <c r="D1238" s="2" t="s">
        <v>155</v>
      </c>
      <c r="E1238" s="2" t="s">
        <v>155</v>
      </c>
      <c r="F1238" s="30">
        <v>45809</v>
      </c>
      <c r="G1238" s="2">
        <f>DAY(EOMONTH(TA[[#This Row],[Month Year]],0))</f>
        <v>30</v>
      </c>
      <c r="H1238" s="21">
        <v>45831</v>
      </c>
      <c r="I1238" s="32">
        <f>IFERROR(VLOOKUP(TA[[#This Row],[Date]],Raw_Data[[Date]:[Sunset Time (POA&lt;20 W/m2)]],3,0),"")</f>
        <v>0.24791666666666667</v>
      </c>
      <c r="J1238" s="32">
        <f>IFERROR(VLOOKUP(TA[[#This Row],[Date]],Raw_Data[[Date]:[Sunset Time (POA&lt;20 W/m2)]],4,0),"")</f>
        <v>0.77083333333333337</v>
      </c>
      <c r="K1238" s="27">
        <f>IFERROR((TA[[#This Row],[Sunset Time (POA&lt;20 W/m2)]]-TA[[#This Row],[Sunrise Time (POA&gt;20 W/m2)]])*24,"")</f>
        <v>12.55</v>
      </c>
      <c r="L1238" s="2" t="s">
        <v>303</v>
      </c>
      <c r="M1238" s="33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321</v>
      </c>
      <c r="Q1238" s="2" t="s">
        <v>314</v>
      </c>
      <c r="R1238">
        <v>27</v>
      </c>
      <c r="S1238" s="2">
        <v>42</v>
      </c>
      <c r="T1238" t="s">
        <v>288</v>
      </c>
      <c r="U1238" t="s">
        <v>291</v>
      </c>
      <c r="V1238" t="s">
        <v>292</v>
      </c>
      <c r="W1238" s="32">
        <f>IFERROR(VLOOKUP(TA[[#This Row],[Date]],Raw_Data[[Date]:[Sunset Time (POA&lt;20 W/m2)]],3,0),"")</f>
        <v>0.24791666666666667</v>
      </c>
      <c r="X1238" s="32">
        <f>IFERROR(VLOOKUP(TA[[#This Row],[Date]],Raw_Data[[Date]:[Sunset Time (POA&lt;20 W/m2)]],3,0),"")</f>
        <v>0.24791666666666667</v>
      </c>
      <c r="Y1238" s="26"/>
      <c r="Z1238" s="26">
        <v>0.76041666666666663</v>
      </c>
      <c r="AA1238" s="27">
        <f>IF(TA[[#This Row],[Work Start time on Fault]]="NA","",(TA[[#This Row],[Fault Acknowledgement Time ]]-TA[[#This Row],[Fault Time]])*24)</f>
        <v>0</v>
      </c>
      <c r="AB1238" s="27">
        <f>(TA[[#This Row],[Work Start time on Fault]]-TA[[#This Row],[Fault Time]])*24</f>
        <v>-5.95</v>
      </c>
      <c r="AC1238" s="26">
        <f>(TA[[#This Row],[Work Completion time on fault]]-TA[[#This Row],[Fault Time]])*24</f>
        <v>12.299999999999999</v>
      </c>
      <c r="AD1238" s="27">
        <f>IFERROR((TA[[#This Row],[Work Completion time on fault]]-TA[[#This Row],[Fault Time]])*24,"")</f>
        <v>12.299999999999999</v>
      </c>
      <c r="AE1238" t="s">
        <v>300</v>
      </c>
      <c r="AF1238" t="s">
        <v>247</v>
      </c>
      <c r="AG1238" s="2"/>
      <c r="AH1238" s="35">
        <f>1-COS(RADIANS(TA[[#This Row],[Avg. Target Angle during Fault Time (Radians)]]-TA[[#This Row],[Angle of affected equipment ]]))</f>
        <v>0.11705240714107301</v>
      </c>
      <c r="AI1238" s="27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43">
        <f t="shared" ref="B1239:B1251" si="138">YEAR(H1239)+IF(MONTH(H1239)&gt;=4,1,0)</f>
        <v>2026</v>
      </c>
      <c r="C1239" s="116">
        <f t="shared" ref="C1239:C1251" si="139">YEAR(H1239)</f>
        <v>2025</v>
      </c>
      <c r="D1239" s="2" t="s">
        <v>155</v>
      </c>
      <c r="E1239" s="2" t="s">
        <v>155</v>
      </c>
      <c r="F1239" s="30">
        <v>45809</v>
      </c>
      <c r="G1239" s="2">
        <f>DAY(EOMONTH(TA[[#This Row],[Month Year]],0))</f>
        <v>30</v>
      </c>
      <c r="H1239" s="21">
        <v>45832</v>
      </c>
      <c r="I1239" s="32">
        <f>IFERROR(VLOOKUP(TA[[#This Row],[Date]],Raw_Data[[Date]:[Sunset Time (POA&lt;20 W/m2)]],3,0),"")</f>
        <v>0.25347222222222221</v>
      </c>
      <c r="J1239" s="32">
        <f>IFERROR(VLOOKUP(TA[[#This Row],[Date]],Raw_Data[[Date]:[Sunset Time (POA&lt;20 W/m2)]],4,0),"")</f>
        <v>0.77083333333333337</v>
      </c>
      <c r="K1239" s="27">
        <f>IFERROR((TA[[#This Row],[Sunset Time (POA&lt;20 W/m2)]]-TA[[#This Row],[Sunrise Time (POA&gt;20 W/m2)]])*24,"")</f>
        <v>12.416666666666668</v>
      </c>
      <c r="L1239" s="2" t="s">
        <v>285</v>
      </c>
      <c r="M1239" s="33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14" t="s">
        <v>309</v>
      </c>
      <c r="Q1239" s="113" t="s">
        <v>309</v>
      </c>
      <c r="R1239">
        <v>131</v>
      </c>
      <c r="S1239" s="2">
        <v>38</v>
      </c>
      <c r="T1239" t="s">
        <v>286</v>
      </c>
      <c r="U1239" t="s">
        <v>291</v>
      </c>
      <c r="V1239" t="s">
        <v>289</v>
      </c>
      <c r="W1239" s="32"/>
      <c r="X1239" s="32"/>
      <c r="Y1239" s="26"/>
      <c r="Z1239" s="26"/>
      <c r="AA1239" s="27">
        <f>IF(TA[[#This Row],[Work Start time on Fault]]="NA","",(TA[[#This Row],[Fault Acknowledgement Time ]]-TA[[#This Row],[Fault Time]])*24)</f>
        <v>0</v>
      </c>
      <c r="AB1239" s="27">
        <f>(TA[[#This Row],[Work Start time on Fault]]-TA[[#This Row],[Fault Time]])*24</f>
        <v>0</v>
      </c>
      <c r="AC1239" s="26">
        <f>(TA[[#This Row],[Work Completion time on fault]]-TA[[#This Row],[Fault Time]])*24</f>
        <v>0</v>
      </c>
      <c r="AD1239" s="27">
        <f>IFERROR((TA[[#This Row],[Work Completion time on fault]]-TA[[#This Row],[Fault Time]])*24,"")</f>
        <v>0</v>
      </c>
      <c r="AE1239" t="s">
        <v>319</v>
      </c>
      <c r="AF1239" t="s">
        <v>247</v>
      </c>
      <c r="AG1239" s="2"/>
      <c r="AH1239" s="35">
        <f>1-COS(RADIANS(TA[[#This Row],[Avg. Target Angle during Fault Time (Radians)]]-TA[[#This Row],[Angle of affected equipment ]]))</f>
        <v>0.11705240714107301</v>
      </c>
      <c r="AI1239" s="27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43">
        <f t="shared" si="138"/>
        <v>2026</v>
      </c>
      <c r="C1240" s="116">
        <f t="shared" si="139"/>
        <v>2025</v>
      </c>
      <c r="D1240" s="2" t="s">
        <v>155</v>
      </c>
      <c r="E1240" s="2" t="s">
        <v>155</v>
      </c>
      <c r="F1240" s="30">
        <v>45809</v>
      </c>
      <c r="G1240" s="2">
        <f>DAY(EOMONTH(TA[[#This Row],[Month Year]],0))</f>
        <v>30</v>
      </c>
      <c r="H1240" s="21">
        <v>45832</v>
      </c>
      <c r="I1240" s="32">
        <f>IFERROR(VLOOKUP(TA[[#This Row],[Date]],Raw_Data[[Date]:[Sunset Time (POA&lt;20 W/m2)]],3,0),"")</f>
        <v>0.25347222222222221</v>
      </c>
      <c r="J1240" s="32">
        <f>IFERROR(VLOOKUP(TA[[#This Row],[Date]],Raw_Data[[Date]:[Sunset Time (POA&lt;20 W/m2)]],4,0),"")</f>
        <v>0.77083333333333337</v>
      </c>
      <c r="K1240" s="27">
        <f>IFERROR((TA[[#This Row],[Sunset Time (POA&lt;20 W/m2)]]-TA[[#This Row],[Sunrise Time (POA&gt;20 W/m2)]])*24,"")</f>
        <v>12.416666666666668</v>
      </c>
      <c r="L1240" s="2" t="s">
        <v>285</v>
      </c>
      <c r="M1240" s="33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14" t="s">
        <v>309</v>
      </c>
      <c r="Q1240" s="113" t="s">
        <v>309</v>
      </c>
      <c r="R1240">
        <v>131</v>
      </c>
      <c r="S1240" s="2">
        <v>39</v>
      </c>
      <c r="T1240" t="s">
        <v>286</v>
      </c>
      <c r="U1240" t="s">
        <v>291</v>
      </c>
      <c r="V1240" t="s">
        <v>289</v>
      </c>
      <c r="W1240" s="32"/>
      <c r="X1240" s="32"/>
      <c r="Y1240" s="26"/>
      <c r="Z1240" s="26"/>
      <c r="AA1240" s="27">
        <f>IF(TA[[#This Row],[Work Start time on Fault]]="NA","",(TA[[#This Row],[Fault Acknowledgement Time ]]-TA[[#This Row],[Fault Time]])*24)</f>
        <v>0</v>
      </c>
      <c r="AB1240" s="27">
        <f>(TA[[#This Row],[Work Start time on Fault]]-TA[[#This Row],[Fault Time]])*24</f>
        <v>0</v>
      </c>
      <c r="AC1240" s="26">
        <f>(TA[[#This Row],[Work Completion time on fault]]-TA[[#This Row],[Fault Time]])*24</f>
        <v>0</v>
      </c>
      <c r="AD1240" s="27">
        <f>IFERROR((TA[[#This Row],[Work Completion time on fault]]-TA[[#This Row],[Fault Time]])*24,"")</f>
        <v>0</v>
      </c>
      <c r="AE1240" t="s">
        <v>319</v>
      </c>
      <c r="AF1240" t="s">
        <v>247</v>
      </c>
      <c r="AG1240" s="2"/>
      <c r="AH1240" s="35">
        <f>1-COS(RADIANS(TA[[#This Row],[Avg. Target Angle during Fault Time (Radians)]]-TA[[#This Row],[Angle of affected equipment ]]))</f>
        <v>0.11705240714107301</v>
      </c>
      <c r="AI1240" s="27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43">
        <f t="shared" si="138"/>
        <v>2026</v>
      </c>
      <c r="C1241" s="116">
        <f t="shared" si="139"/>
        <v>2025</v>
      </c>
      <c r="D1241" s="2" t="s">
        <v>155</v>
      </c>
      <c r="E1241" s="2" t="s">
        <v>155</v>
      </c>
      <c r="F1241" s="30">
        <v>45809</v>
      </c>
      <c r="G1241" s="2">
        <f>DAY(EOMONTH(TA[[#This Row],[Month Year]],0))</f>
        <v>30</v>
      </c>
      <c r="H1241" s="21">
        <v>45832</v>
      </c>
      <c r="I1241" s="32">
        <f>IFERROR(VLOOKUP(TA[[#This Row],[Date]],Raw_Data[[Date]:[Sunset Time (POA&lt;20 W/m2)]],3,0),"")</f>
        <v>0.25347222222222221</v>
      </c>
      <c r="J1241" s="32">
        <f>IFERROR(VLOOKUP(TA[[#This Row],[Date]],Raw_Data[[Date]:[Sunset Time (POA&lt;20 W/m2)]],4,0),"")</f>
        <v>0.77083333333333337</v>
      </c>
      <c r="K1241" s="27">
        <f>IFERROR((TA[[#This Row],[Sunset Time (POA&lt;20 W/m2)]]-TA[[#This Row],[Sunrise Time (POA&gt;20 W/m2)]])*24,"")</f>
        <v>12.416666666666668</v>
      </c>
      <c r="L1241" s="2" t="s">
        <v>287</v>
      </c>
      <c r="M1241" s="33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14" t="s">
        <v>309</v>
      </c>
      <c r="Q1241" s="2" t="s">
        <v>312</v>
      </c>
      <c r="R1241">
        <v>133</v>
      </c>
      <c r="S1241" s="2">
        <v>26</v>
      </c>
      <c r="T1241" t="s">
        <v>288</v>
      </c>
      <c r="U1241" t="s">
        <v>291</v>
      </c>
      <c r="V1241" t="s">
        <v>305</v>
      </c>
      <c r="W1241" s="32">
        <f>IFERROR(VLOOKUP(TA[[#This Row],[Date]],Raw_Data[[Date]:[Sunset Time (POA&lt;20 W/m2)]],3,0),"")</f>
        <v>0.25347222222222221</v>
      </c>
      <c r="X1241" s="32">
        <f>IFERROR(VLOOKUP(TA[[#This Row],[Date]],Raw_Data[[Date]:[Sunset Time (POA&lt;20 W/m2)]],3,0),"")</f>
        <v>0.25347222222222221</v>
      </c>
      <c r="Y1241" s="26"/>
      <c r="Z1241" s="26">
        <v>0.76041666666666663</v>
      </c>
      <c r="AA1241" s="27">
        <f>IF(TA[[#This Row],[Work Start time on Fault]]="NA","",(TA[[#This Row],[Fault Acknowledgement Time ]]-TA[[#This Row],[Fault Time]])*24)</f>
        <v>0</v>
      </c>
      <c r="AB1241" s="27">
        <f>(TA[[#This Row],[Work Start time on Fault]]-TA[[#This Row],[Fault Time]])*24</f>
        <v>-6.083333333333333</v>
      </c>
      <c r="AC1241" s="26">
        <f>(TA[[#This Row],[Work Completion time on fault]]-TA[[#This Row],[Fault Time]])*24</f>
        <v>12.166666666666666</v>
      </c>
      <c r="AD1241" s="27">
        <f>IFERROR((TA[[#This Row],[Work Completion time on fault]]-TA[[#This Row],[Fault Time]])*24,"")</f>
        <v>12.166666666666666</v>
      </c>
      <c r="AE1241" t="s">
        <v>319</v>
      </c>
      <c r="AF1241" t="s">
        <v>247</v>
      </c>
      <c r="AG1241" s="2"/>
      <c r="AH1241" s="35">
        <f>1-COS(RADIANS(TA[[#This Row],[Avg. Target Angle during Fault Time (Radians)]]-TA[[#This Row],[Angle of affected equipment ]]))</f>
        <v>0.11705240714107301</v>
      </c>
      <c r="AI1241" s="27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43">
        <f t="shared" si="138"/>
        <v>2026</v>
      </c>
      <c r="C1242" s="116">
        <f t="shared" si="139"/>
        <v>2025</v>
      </c>
      <c r="D1242" s="2" t="s">
        <v>155</v>
      </c>
      <c r="E1242" s="2" t="s">
        <v>155</v>
      </c>
      <c r="F1242" s="30">
        <v>45809</v>
      </c>
      <c r="G1242" s="2">
        <f>DAY(EOMONTH(TA[[#This Row],[Month Year]],0))</f>
        <v>30</v>
      </c>
      <c r="H1242" s="21">
        <v>45832</v>
      </c>
      <c r="I1242" s="32">
        <f>IFERROR(VLOOKUP(TA[[#This Row],[Date]],Raw_Data[[Date]:[Sunset Time (POA&lt;20 W/m2)]],3,0),"")</f>
        <v>0.25347222222222221</v>
      </c>
      <c r="J1242" s="32">
        <f>IFERROR(VLOOKUP(TA[[#This Row],[Date]],Raw_Data[[Date]:[Sunset Time (POA&lt;20 W/m2)]],4,0),"")</f>
        <v>0.77083333333333337</v>
      </c>
      <c r="K1242" s="27">
        <f>IFERROR((TA[[#This Row],[Sunset Time (POA&lt;20 W/m2)]]-TA[[#This Row],[Sunrise Time (POA&gt;20 W/m2)]])*24,"")</f>
        <v>12.416666666666668</v>
      </c>
      <c r="L1242" s="2" t="s">
        <v>285</v>
      </c>
      <c r="M1242" s="33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14" t="s">
        <v>307</v>
      </c>
      <c r="Q1242" s="113" t="s">
        <v>308</v>
      </c>
      <c r="R1242">
        <v>7</v>
      </c>
      <c r="S1242" s="2">
        <v>32</v>
      </c>
      <c r="T1242" t="s">
        <v>286</v>
      </c>
      <c r="U1242" t="s">
        <v>291</v>
      </c>
      <c r="V1242" t="s">
        <v>289</v>
      </c>
      <c r="W1242" s="32"/>
      <c r="X1242" s="32"/>
      <c r="Y1242" s="26"/>
      <c r="Z1242" s="26"/>
      <c r="AA1242" s="27">
        <f>IF(TA[[#This Row],[Work Start time on Fault]]="NA","",(TA[[#This Row],[Fault Acknowledgement Time ]]-TA[[#This Row],[Fault Time]])*24)</f>
        <v>0</v>
      </c>
      <c r="AB1242" s="27">
        <f>(TA[[#This Row],[Work Start time on Fault]]-TA[[#This Row],[Fault Time]])*24</f>
        <v>0</v>
      </c>
      <c r="AC1242" s="26">
        <f>(TA[[#This Row],[Work Completion time on fault]]-TA[[#This Row],[Fault Time]])*24</f>
        <v>0</v>
      </c>
      <c r="AD1242" s="27">
        <f>IFERROR((TA[[#This Row],[Work Completion time on fault]]-TA[[#This Row],[Fault Time]])*24,"")</f>
        <v>0</v>
      </c>
      <c r="AE1242" t="s">
        <v>319</v>
      </c>
      <c r="AF1242" t="s">
        <v>247</v>
      </c>
      <c r="AG1242" s="2"/>
      <c r="AH1242" s="35">
        <f>1-COS(RADIANS(TA[[#This Row],[Avg. Target Angle during Fault Time (Radians)]]-TA[[#This Row],[Angle of affected equipment ]]))</f>
        <v>0.11705240714107301</v>
      </c>
      <c r="AI1242" s="27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43">
        <f t="shared" si="138"/>
        <v>2026</v>
      </c>
      <c r="C1243" s="116">
        <f t="shared" si="139"/>
        <v>2025</v>
      </c>
      <c r="D1243" s="2" t="s">
        <v>155</v>
      </c>
      <c r="E1243" s="2" t="s">
        <v>155</v>
      </c>
      <c r="F1243" s="30">
        <v>45809</v>
      </c>
      <c r="G1243" s="2">
        <f>DAY(EOMONTH(TA[[#This Row],[Month Year]],0))</f>
        <v>30</v>
      </c>
      <c r="H1243" s="21">
        <v>45832</v>
      </c>
      <c r="I1243" s="32">
        <f>IFERROR(VLOOKUP(TA[[#This Row],[Date]],Raw_Data[[Date]:[Sunset Time (POA&lt;20 W/m2)]],3,0),"")</f>
        <v>0.25347222222222221</v>
      </c>
      <c r="J1243" s="32">
        <f>IFERROR(VLOOKUP(TA[[#This Row],[Date]],Raw_Data[[Date]:[Sunset Time (POA&lt;20 W/m2)]],4,0),"")</f>
        <v>0.77083333333333337</v>
      </c>
      <c r="K1243" s="27">
        <f>IFERROR((TA[[#This Row],[Sunset Time (POA&lt;20 W/m2)]]-TA[[#This Row],[Sunrise Time (POA&gt;20 W/m2)]])*24,"")</f>
        <v>12.416666666666668</v>
      </c>
      <c r="L1243" s="2" t="s">
        <v>285</v>
      </c>
      <c r="M1243" s="33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14" t="s">
        <v>306</v>
      </c>
      <c r="Q1243" s="113" t="s">
        <v>310</v>
      </c>
      <c r="R1243">
        <v>166</v>
      </c>
      <c r="S1243" s="2">
        <v>91</v>
      </c>
      <c r="T1243" t="s">
        <v>286</v>
      </c>
      <c r="U1243" t="s">
        <v>291</v>
      </c>
      <c r="V1243" t="s">
        <v>289</v>
      </c>
      <c r="W1243" s="32"/>
      <c r="X1243" s="32"/>
      <c r="Y1243" s="26"/>
      <c r="Z1243" s="26"/>
      <c r="AA1243" s="27">
        <f>IF(TA[[#This Row],[Work Start time on Fault]]="NA","",(TA[[#This Row],[Fault Acknowledgement Time ]]-TA[[#This Row],[Fault Time]])*24)</f>
        <v>0</v>
      </c>
      <c r="AB1243" s="27">
        <f>(TA[[#This Row],[Work Start time on Fault]]-TA[[#This Row],[Fault Time]])*24</f>
        <v>0</v>
      </c>
      <c r="AC1243" s="26">
        <f>(TA[[#This Row],[Work Completion time on fault]]-TA[[#This Row],[Fault Time]])*24</f>
        <v>0</v>
      </c>
      <c r="AD1243" s="27">
        <f>IFERROR((TA[[#This Row],[Work Completion time on fault]]-TA[[#This Row],[Fault Time]])*24,"")</f>
        <v>0</v>
      </c>
      <c r="AE1243" t="s">
        <v>319</v>
      </c>
      <c r="AF1243" t="s">
        <v>247</v>
      </c>
      <c r="AG1243" s="2"/>
      <c r="AH1243" s="35">
        <f>1-COS(RADIANS(TA[[#This Row],[Avg. Target Angle during Fault Time (Radians)]]-TA[[#This Row],[Angle of affected equipment ]]))</f>
        <v>0.11705240714107301</v>
      </c>
      <c r="AI1243" s="27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43">
        <f t="shared" si="138"/>
        <v>2026</v>
      </c>
      <c r="C1244" s="116">
        <f t="shared" si="139"/>
        <v>2025</v>
      </c>
      <c r="D1244" s="2" t="s">
        <v>155</v>
      </c>
      <c r="E1244" s="2" t="s">
        <v>155</v>
      </c>
      <c r="F1244" s="30">
        <v>45809</v>
      </c>
      <c r="G1244" s="2">
        <f>DAY(EOMONTH(TA[[#This Row],[Month Year]],0))</f>
        <v>30</v>
      </c>
      <c r="H1244" s="21">
        <v>45832</v>
      </c>
      <c r="I1244" s="32">
        <f>IFERROR(VLOOKUP(TA[[#This Row],[Date]],Raw_Data[[Date]:[Sunset Time (POA&lt;20 W/m2)]],3,0),"")</f>
        <v>0.25347222222222221</v>
      </c>
      <c r="J1244" s="32">
        <f>IFERROR(VLOOKUP(TA[[#This Row],[Date]],Raw_Data[[Date]:[Sunset Time (POA&lt;20 W/m2)]],4,0),"")</f>
        <v>0.77083333333333337</v>
      </c>
      <c r="K1244" s="27">
        <f>IFERROR((TA[[#This Row],[Sunset Time (POA&lt;20 W/m2)]]-TA[[#This Row],[Sunrise Time (POA&gt;20 W/m2)]])*24,"")</f>
        <v>12.416666666666668</v>
      </c>
      <c r="L1244" s="2" t="s">
        <v>285</v>
      </c>
      <c r="M1244" s="33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14" t="s">
        <v>307</v>
      </c>
      <c r="Q1244" s="113" t="s">
        <v>307</v>
      </c>
      <c r="R1244">
        <v>117</v>
      </c>
      <c r="S1244" s="2">
        <v>20</v>
      </c>
      <c r="T1244" t="s">
        <v>286</v>
      </c>
      <c r="U1244" t="s">
        <v>291</v>
      </c>
      <c r="V1244" t="s">
        <v>289</v>
      </c>
      <c r="W1244" s="32"/>
      <c r="X1244" s="32"/>
      <c r="Y1244" s="26"/>
      <c r="Z1244" s="26"/>
      <c r="AA1244" s="27">
        <f>IF(TA[[#This Row],[Work Start time on Fault]]="NA","",(TA[[#This Row],[Fault Acknowledgement Time ]]-TA[[#This Row],[Fault Time]])*24)</f>
        <v>0</v>
      </c>
      <c r="AB1244" s="27">
        <f>(TA[[#This Row],[Work Start time on Fault]]-TA[[#This Row],[Fault Time]])*24</f>
        <v>0</v>
      </c>
      <c r="AC1244" s="26">
        <f>(TA[[#This Row],[Work Completion time on fault]]-TA[[#This Row],[Fault Time]])*24</f>
        <v>0</v>
      </c>
      <c r="AD1244" s="27">
        <f>IFERROR((TA[[#This Row],[Work Completion time on fault]]-TA[[#This Row],[Fault Time]])*24,"")</f>
        <v>0</v>
      </c>
      <c r="AE1244" t="s">
        <v>319</v>
      </c>
      <c r="AF1244" t="s">
        <v>247</v>
      </c>
      <c r="AG1244" s="2"/>
      <c r="AH1244" s="35">
        <f>1-COS(RADIANS(TA[[#This Row],[Avg. Target Angle during Fault Time (Radians)]]-TA[[#This Row],[Angle of affected equipment ]]))</f>
        <v>0.11705240714107301</v>
      </c>
      <c r="AI1244" s="27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43">
        <f t="shared" si="138"/>
        <v>2026</v>
      </c>
      <c r="C1245" s="116">
        <f t="shared" si="139"/>
        <v>2025</v>
      </c>
      <c r="D1245" s="2" t="s">
        <v>155</v>
      </c>
      <c r="E1245" s="2" t="s">
        <v>155</v>
      </c>
      <c r="F1245" s="30">
        <v>45809</v>
      </c>
      <c r="G1245" s="2">
        <f>DAY(EOMONTH(TA[[#This Row],[Month Year]],0))</f>
        <v>30</v>
      </c>
      <c r="H1245" s="21">
        <v>45832</v>
      </c>
      <c r="I1245" s="32">
        <f>IFERROR(VLOOKUP(TA[[#This Row],[Date]],Raw_Data[[Date]:[Sunset Time (POA&lt;20 W/m2)]],3,0),"")</f>
        <v>0.25347222222222221</v>
      </c>
      <c r="J1245" s="32">
        <f>IFERROR(VLOOKUP(TA[[#This Row],[Date]],Raw_Data[[Date]:[Sunset Time (POA&lt;20 W/m2)]],4,0),"")</f>
        <v>0.77083333333333337</v>
      </c>
      <c r="K1245" s="27">
        <f>IFERROR((TA[[#This Row],[Sunset Time (POA&lt;20 W/m2)]]-TA[[#This Row],[Sunrise Time (POA&gt;20 W/m2)]])*24,"")</f>
        <v>12.416666666666668</v>
      </c>
      <c r="L1245" s="2" t="s">
        <v>285</v>
      </c>
      <c r="M1245" s="33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14" t="s">
        <v>307</v>
      </c>
      <c r="Q1245" s="113" t="s">
        <v>307</v>
      </c>
      <c r="R1245">
        <v>118</v>
      </c>
      <c r="S1245" s="2">
        <v>22</v>
      </c>
      <c r="T1245" t="s">
        <v>286</v>
      </c>
      <c r="U1245" t="s">
        <v>291</v>
      </c>
      <c r="V1245" t="s">
        <v>289</v>
      </c>
      <c r="W1245" s="32"/>
      <c r="X1245" s="32"/>
      <c r="Y1245" s="26"/>
      <c r="Z1245" s="26"/>
      <c r="AA1245" s="27">
        <f>IF(TA[[#This Row],[Work Start time on Fault]]="NA","",(TA[[#This Row],[Fault Acknowledgement Time ]]-TA[[#This Row],[Fault Time]])*24)</f>
        <v>0</v>
      </c>
      <c r="AB1245" s="27">
        <f>(TA[[#This Row],[Work Start time on Fault]]-TA[[#This Row],[Fault Time]])*24</f>
        <v>0</v>
      </c>
      <c r="AC1245" s="26">
        <f>(TA[[#This Row],[Work Completion time on fault]]-TA[[#This Row],[Fault Time]])*24</f>
        <v>0</v>
      </c>
      <c r="AD1245" s="27">
        <f>IFERROR((TA[[#This Row],[Work Completion time on fault]]-TA[[#This Row],[Fault Time]])*24,"")</f>
        <v>0</v>
      </c>
      <c r="AE1245" t="s">
        <v>319</v>
      </c>
      <c r="AF1245" t="s">
        <v>247</v>
      </c>
      <c r="AG1245" s="2"/>
      <c r="AH1245" s="35">
        <f>1-COS(RADIANS(TA[[#This Row],[Avg. Target Angle during Fault Time (Radians)]]-TA[[#This Row],[Angle of affected equipment ]]))</f>
        <v>0.11705240714107301</v>
      </c>
      <c r="AI1245" s="27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43">
        <f t="shared" si="138"/>
        <v>2026</v>
      </c>
      <c r="C1246" s="116">
        <f t="shared" si="139"/>
        <v>2025</v>
      </c>
      <c r="D1246" s="2" t="s">
        <v>155</v>
      </c>
      <c r="E1246" s="2" t="s">
        <v>155</v>
      </c>
      <c r="F1246" s="30">
        <v>45809</v>
      </c>
      <c r="G1246" s="2">
        <f>DAY(EOMONTH(TA[[#This Row],[Month Year]],0))</f>
        <v>30</v>
      </c>
      <c r="H1246" s="21">
        <v>45832</v>
      </c>
      <c r="I1246" s="32">
        <f>IFERROR(VLOOKUP(TA[[#This Row],[Date]],Raw_Data[[Date]:[Sunset Time (POA&lt;20 W/m2)]],3,0),"")</f>
        <v>0.25347222222222221</v>
      </c>
      <c r="J1246" s="32">
        <f>IFERROR(VLOOKUP(TA[[#This Row],[Date]],Raw_Data[[Date]:[Sunset Time (POA&lt;20 W/m2)]],4,0),"")</f>
        <v>0.77083333333333337</v>
      </c>
      <c r="K1246" s="27">
        <f>IFERROR((TA[[#This Row],[Sunset Time (POA&lt;20 W/m2)]]-TA[[#This Row],[Sunrise Time (POA&gt;20 W/m2)]])*24,"")</f>
        <v>12.416666666666668</v>
      </c>
      <c r="L1246" s="2" t="s">
        <v>287</v>
      </c>
      <c r="M1246" s="33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314</v>
      </c>
      <c r="Q1246" s="2" t="s">
        <v>320</v>
      </c>
      <c r="R1246">
        <v>45</v>
      </c>
      <c r="S1246" s="2">
        <v>8</v>
      </c>
      <c r="T1246" t="s">
        <v>288</v>
      </c>
      <c r="U1246" t="s">
        <v>291</v>
      </c>
      <c r="V1246" t="s">
        <v>292</v>
      </c>
      <c r="W1246" s="32"/>
      <c r="X1246" s="32"/>
      <c r="Y1246" s="26"/>
      <c r="Z1246" s="26"/>
      <c r="AA1246" s="27">
        <f>IF(TA[[#This Row],[Work Start time on Fault]]="NA","",(TA[[#This Row],[Fault Acknowledgement Time ]]-TA[[#This Row],[Fault Time]])*24)</f>
        <v>0</v>
      </c>
      <c r="AB1246" s="27">
        <f>(TA[[#This Row],[Work Start time on Fault]]-TA[[#This Row],[Fault Time]])*24</f>
        <v>0</v>
      </c>
      <c r="AC1246" s="26">
        <f>(TA[[#This Row],[Work Completion time on fault]]-TA[[#This Row],[Fault Time]])*24</f>
        <v>0</v>
      </c>
      <c r="AD1246" s="27">
        <f>IFERROR((TA[[#This Row],[Work Completion time on fault]]-TA[[#This Row],[Fault Time]])*24,"")</f>
        <v>0</v>
      </c>
      <c r="AE1246" t="s">
        <v>319</v>
      </c>
      <c r="AF1246" t="s">
        <v>247</v>
      </c>
      <c r="AG1246" s="2"/>
      <c r="AH1246" s="35">
        <f>1-COS(RADIANS(TA[[#This Row],[Avg. Target Angle during Fault Time (Radians)]]-TA[[#This Row],[Angle of affected equipment ]]))</f>
        <v>0.11705240714107301</v>
      </c>
      <c r="AI1246" s="27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43">
        <f t="shared" si="138"/>
        <v>2026</v>
      </c>
      <c r="C1247" s="116">
        <f t="shared" si="139"/>
        <v>2025</v>
      </c>
      <c r="D1247" s="2" t="s">
        <v>155</v>
      </c>
      <c r="E1247" s="2" t="s">
        <v>155</v>
      </c>
      <c r="F1247" s="30">
        <v>45809</v>
      </c>
      <c r="G1247" s="2">
        <f>DAY(EOMONTH(TA[[#This Row],[Month Year]],0))</f>
        <v>30</v>
      </c>
      <c r="H1247" s="21">
        <v>45832</v>
      </c>
      <c r="I1247" s="32">
        <f>IFERROR(VLOOKUP(TA[[#This Row],[Date]],Raw_Data[[Date]:[Sunset Time (POA&lt;20 W/m2)]],3,0),"")</f>
        <v>0.25347222222222221</v>
      </c>
      <c r="J1247" s="32">
        <f>IFERROR(VLOOKUP(TA[[#This Row],[Date]],Raw_Data[[Date]:[Sunset Time (POA&lt;20 W/m2)]],4,0),"")</f>
        <v>0.77083333333333337</v>
      </c>
      <c r="K1247" s="27">
        <f>IFERROR((TA[[#This Row],[Sunset Time (POA&lt;20 W/m2)]]-TA[[#This Row],[Sunrise Time (POA&gt;20 W/m2)]])*24,"")</f>
        <v>12.416666666666668</v>
      </c>
      <c r="L1247" s="2" t="s">
        <v>287</v>
      </c>
      <c r="M1247" s="33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314</v>
      </c>
      <c r="Q1247" s="2" t="s">
        <v>320</v>
      </c>
      <c r="R1247">
        <v>47</v>
      </c>
      <c r="S1247" s="2">
        <v>18</v>
      </c>
      <c r="T1247" t="s">
        <v>288</v>
      </c>
      <c r="U1247" t="s">
        <v>291</v>
      </c>
      <c r="V1247" t="s">
        <v>292</v>
      </c>
      <c r="W1247" s="32"/>
      <c r="X1247" s="32"/>
      <c r="Y1247" s="26"/>
      <c r="Z1247" s="26"/>
      <c r="AA1247" s="27">
        <f>IF(TA[[#This Row],[Work Start time on Fault]]="NA","",(TA[[#This Row],[Fault Acknowledgement Time ]]-TA[[#This Row],[Fault Time]])*24)</f>
        <v>0</v>
      </c>
      <c r="AB1247" s="27">
        <f>(TA[[#This Row],[Work Start time on Fault]]-TA[[#This Row],[Fault Time]])*24</f>
        <v>0</v>
      </c>
      <c r="AC1247" s="26">
        <f>(TA[[#This Row],[Work Completion time on fault]]-TA[[#This Row],[Fault Time]])*24</f>
        <v>0</v>
      </c>
      <c r="AD1247" s="27">
        <f>IFERROR((TA[[#This Row],[Work Completion time on fault]]-TA[[#This Row],[Fault Time]])*24,"")</f>
        <v>0</v>
      </c>
      <c r="AE1247" t="s">
        <v>319</v>
      </c>
      <c r="AF1247" t="s">
        <v>247</v>
      </c>
      <c r="AG1247" s="2"/>
      <c r="AH1247" s="35">
        <f>1-COS(RADIANS(TA[[#This Row],[Avg. Target Angle during Fault Time (Radians)]]-TA[[#This Row],[Angle of affected equipment ]]))</f>
        <v>0.11705240714107301</v>
      </c>
      <c r="AI1247" s="27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43">
        <f t="shared" si="138"/>
        <v>2026</v>
      </c>
      <c r="C1248" s="116">
        <f t="shared" si="139"/>
        <v>2025</v>
      </c>
      <c r="D1248" s="2" t="s">
        <v>155</v>
      </c>
      <c r="E1248" s="2" t="s">
        <v>155</v>
      </c>
      <c r="F1248" s="30">
        <v>45809</v>
      </c>
      <c r="G1248" s="2">
        <f>DAY(EOMONTH(TA[[#This Row],[Month Year]],0))</f>
        <v>30</v>
      </c>
      <c r="H1248" s="21">
        <v>45832</v>
      </c>
      <c r="I1248" s="32">
        <f>IFERROR(VLOOKUP(TA[[#This Row],[Date]],Raw_Data[[Date]:[Sunset Time (POA&lt;20 W/m2)]],3,0),"")</f>
        <v>0.25347222222222221</v>
      </c>
      <c r="J1248" s="32">
        <f>IFERROR(VLOOKUP(TA[[#This Row],[Date]],Raw_Data[[Date]:[Sunset Time (POA&lt;20 W/m2)]],4,0),"")</f>
        <v>0.77083333333333337</v>
      </c>
      <c r="K1248" s="27">
        <f>IFERROR((TA[[#This Row],[Sunset Time (POA&lt;20 W/m2)]]-TA[[#This Row],[Sunrise Time (POA&gt;20 W/m2)]])*24,"")</f>
        <v>12.416666666666668</v>
      </c>
      <c r="L1248" s="2" t="s">
        <v>287</v>
      </c>
      <c r="M1248" s="33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321</v>
      </c>
      <c r="Q1248" s="2" t="s">
        <v>314</v>
      </c>
      <c r="R1248">
        <v>30</v>
      </c>
      <c r="S1248" s="2">
        <v>57</v>
      </c>
      <c r="T1248" t="s">
        <v>288</v>
      </c>
      <c r="U1248" t="s">
        <v>291</v>
      </c>
      <c r="V1248" t="s">
        <v>292</v>
      </c>
      <c r="W1248" s="32"/>
      <c r="X1248" s="32"/>
      <c r="Y1248" s="26"/>
      <c r="Z1248" s="26"/>
      <c r="AA1248" s="27">
        <f>IF(TA[[#This Row],[Work Start time on Fault]]="NA","",(TA[[#This Row],[Fault Acknowledgement Time ]]-TA[[#This Row],[Fault Time]])*24)</f>
        <v>0</v>
      </c>
      <c r="AB1248" s="27">
        <f>(TA[[#This Row],[Work Start time on Fault]]-TA[[#This Row],[Fault Time]])*24</f>
        <v>0</v>
      </c>
      <c r="AC1248" s="26">
        <f>(TA[[#This Row],[Work Completion time on fault]]-TA[[#This Row],[Fault Time]])*24</f>
        <v>0</v>
      </c>
      <c r="AD1248" s="27">
        <f>IFERROR((TA[[#This Row],[Work Completion time on fault]]-TA[[#This Row],[Fault Time]])*24,"")</f>
        <v>0</v>
      </c>
      <c r="AE1248" t="s">
        <v>319</v>
      </c>
      <c r="AF1248" t="s">
        <v>247</v>
      </c>
      <c r="AG1248" s="2"/>
      <c r="AH1248" s="35">
        <f>1-COS(RADIANS(TA[[#This Row],[Avg. Target Angle during Fault Time (Radians)]]-TA[[#This Row],[Angle of affected equipment ]]))</f>
        <v>0.11705240714107301</v>
      </c>
      <c r="AI1248" s="27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43">
        <f t="shared" si="138"/>
        <v>2026</v>
      </c>
      <c r="C1249" s="116">
        <f t="shared" si="139"/>
        <v>2025</v>
      </c>
      <c r="D1249" s="2" t="s">
        <v>155</v>
      </c>
      <c r="E1249" s="2" t="s">
        <v>155</v>
      </c>
      <c r="F1249" s="30">
        <v>45809</v>
      </c>
      <c r="G1249" s="2">
        <f>DAY(EOMONTH(TA[[#This Row],[Month Year]],0))</f>
        <v>30</v>
      </c>
      <c r="H1249" s="21">
        <v>45832</v>
      </c>
      <c r="I1249" s="32">
        <f>IFERROR(VLOOKUP(TA[[#This Row],[Date]],Raw_Data[[Date]:[Sunset Time (POA&lt;20 W/m2)]],3,0),"")</f>
        <v>0.25347222222222221</v>
      </c>
      <c r="J1249" s="32">
        <f>IFERROR(VLOOKUP(TA[[#This Row],[Date]],Raw_Data[[Date]:[Sunset Time (POA&lt;20 W/m2)]],4,0),"")</f>
        <v>0.77083333333333337</v>
      </c>
      <c r="K1249" s="27">
        <f>IFERROR((TA[[#This Row],[Sunset Time (POA&lt;20 W/m2)]]-TA[[#This Row],[Sunrise Time (POA&gt;20 W/m2)]])*24,"")</f>
        <v>12.416666666666668</v>
      </c>
      <c r="L1249" s="2" t="s">
        <v>287</v>
      </c>
      <c r="M1249" s="33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321</v>
      </c>
      <c r="Q1249" s="2" t="s">
        <v>314</v>
      </c>
      <c r="R1249">
        <v>31</v>
      </c>
      <c r="S1249" s="2">
        <v>61</v>
      </c>
      <c r="T1249" t="s">
        <v>288</v>
      </c>
      <c r="U1249" t="s">
        <v>291</v>
      </c>
      <c r="V1249" t="s">
        <v>292</v>
      </c>
      <c r="W1249" s="32"/>
      <c r="X1249" s="32"/>
      <c r="Y1249" s="26"/>
      <c r="Z1249" s="26"/>
      <c r="AA1249" s="27">
        <f>IF(TA[[#This Row],[Work Start time on Fault]]="NA","",(TA[[#This Row],[Fault Acknowledgement Time ]]-TA[[#This Row],[Fault Time]])*24)</f>
        <v>0</v>
      </c>
      <c r="AB1249" s="27">
        <f>(TA[[#This Row],[Work Start time on Fault]]-TA[[#This Row],[Fault Time]])*24</f>
        <v>0</v>
      </c>
      <c r="AC1249" s="26">
        <f>(TA[[#This Row],[Work Completion time on fault]]-TA[[#This Row],[Fault Time]])*24</f>
        <v>0</v>
      </c>
      <c r="AD1249" s="27">
        <f>IFERROR((TA[[#This Row],[Work Completion time on fault]]-TA[[#This Row],[Fault Time]])*24,"")</f>
        <v>0</v>
      </c>
      <c r="AE1249" t="s">
        <v>319</v>
      </c>
      <c r="AF1249" t="s">
        <v>247</v>
      </c>
      <c r="AG1249" s="2"/>
      <c r="AH1249" s="35">
        <f>1-COS(RADIANS(TA[[#This Row],[Avg. Target Angle during Fault Time (Radians)]]-TA[[#This Row],[Angle of affected equipment ]]))</f>
        <v>0.11705240714107301</v>
      </c>
      <c r="AI1249" s="27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43">
        <f t="shared" si="138"/>
        <v>2026</v>
      </c>
      <c r="C1250" s="116">
        <f t="shared" si="139"/>
        <v>2025</v>
      </c>
      <c r="D1250" s="2" t="s">
        <v>155</v>
      </c>
      <c r="E1250" s="2" t="s">
        <v>155</v>
      </c>
      <c r="F1250" s="30">
        <v>45809</v>
      </c>
      <c r="G1250" s="2">
        <f>DAY(EOMONTH(TA[[#This Row],[Month Year]],0))</f>
        <v>30</v>
      </c>
      <c r="H1250" s="21">
        <v>45832</v>
      </c>
      <c r="I1250" s="32">
        <f>IFERROR(VLOOKUP(TA[[#This Row],[Date]],Raw_Data[[Date]:[Sunset Time (POA&lt;20 W/m2)]],3,0),"")</f>
        <v>0.25347222222222221</v>
      </c>
      <c r="J1250" s="32">
        <f>IFERROR(VLOOKUP(TA[[#This Row],[Date]],Raw_Data[[Date]:[Sunset Time (POA&lt;20 W/m2)]],4,0),"")</f>
        <v>0.77083333333333337</v>
      </c>
      <c r="K1250" s="27">
        <f>IFERROR((TA[[#This Row],[Sunset Time (POA&lt;20 W/m2)]]-TA[[#This Row],[Sunrise Time (POA&gt;20 W/m2)]])*24,"")</f>
        <v>12.416666666666668</v>
      </c>
      <c r="L1250" s="2" t="s">
        <v>303</v>
      </c>
      <c r="M1250" s="33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321</v>
      </c>
      <c r="Q1250" s="2" t="s">
        <v>314</v>
      </c>
      <c r="R1250">
        <v>26</v>
      </c>
      <c r="S1250" s="2">
        <v>37</v>
      </c>
      <c r="T1250" t="s">
        <v>288</v>
      </c>
      <c r="U1250" t="s">
        <v>291</v>
      </c>
      <c r="V1250" t="s">
        <v>292</v>
      </c>
      <c r="W1250" s="32"/>
      <c r="X1250" s="32"/>
      <c r="Y1250" s="26"/>
      <c r="Z1250" s="26"/>
      <c r="AA1250" s="27">
        <f>IF(TA[[#This Row],[Work Start time on Fault]]="NA","",(TA[[#This Row],[Fault Acknowledgement Time ]]-TA[[#This Row],[Fault Time]])*24)</f>
        <v>0</v>
      </c>
      <c r="AB1250" s="27">
        <f>(TA[[#This Row],[Work Start time on Fault]]-TA[[#This Row],[Fault Time]])*24</f>
        <v>0</v>
      </c>
      <c r="AC1250" s="26">
        <f>(TA[[#This Row],[Work Completion time on fault]]-TA[[#This Row],[Fault Time]])*24</f>
        <v>0</v>
      </c>
      <c r="AD1250" s="27">
        <f>IFERROR((TA[[#This Row],[Work Completion time on fault]]-TA[[#This Row],[Fault Time]])*24,"")</f>
        <v>0</v>
      </c>
      <c r="AE1250" t="s">
        <v>319</v>
      </c>
      <c r="AF1250" t="s">
        <v>247</v>
      </c>
      <c r="AG1250" s="2"/>
      <c r="AH1250" s="35">
        <f>1-COS(RADIANS(TA[[#This Row],[Avg. Target Angle during Fault Time (Radians)]]-TA[[#This Row],[Angle of affected equipment ]]))</f>
        <v>0.11705240714107301</v>
      </c>
      <c r="AI1250" s="27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43">
        <f t="shared" si="138"/>
        <v>2026</v>
      </c>
      <c r="C1251" s="116">
        <f t="shared" si="139"/>
        <v>2025</v>
      </c>
      <c r="D1251" s="2" t="s">
        <v>155</v>
      </c>
      <c r="E1251" s="2" t="s">
        <v>155</v>
      </c>
      <c r="F1251" s="30">
        <v>45809</v>
      </c>
      <c r="G1251" s="2">
        <f>DAY(EOMONTH(TA[[#This Row],[Month Year]],0))</f>
        <v>30</v>
      </c>
      <c r="H1251" s="21">
        <v>45832</v>
      </c>
      <c r="I1251" s="32">
        <f>IFERROR(VLOOKUP(TA[[#This Row],[Date]],Raw_Data[[Date]:[Sunset Time (POA&lt;20 W/m2)]],3,0),"")</f>
        <v>0.25347222222222221</v>
      </c>
      <c r="J1251" s="32">
        <f>IFERROR(VLOOKUP(TA[[#This Row],[Date]],Raw_Data[[Date]:[Sunset Time (POA&lt;20 W/m2)]],4,0),"")</f>
        <v>0.77083333333333337</v>
      </c>
      <c r="K1251" s="27">
        <f>IFERROR((TA[[#This Row],[Sunset Time (POA&lt;20 W/m2)]]-TA[[#This Row],[Sunrise Time (POA&gt;20 W/m2)]])*24,"")</f>
        <v>12.416666666666668</v>
      </c>
      <c r="L1251" s="2" t="s">
        <v>303</v>
      </c>
      <c r="M1251" s="33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321</v>
      </c>
      <c r="Q1251" s="2" t="s">
        <v>314</v>
      </c>
      <c r="R1251">
        <v>27</v>
      </c>
      <c r="S1251" s="2">
        <v>42</v>
      </c>
      <c r="T1251" t="s">
        <v>288</v>
      </c>
      <c r="U1251" t="s">
        <v>291</v>
      </c>
      <c r="V1251" t="s">
        <v>292</v>
      </c>
      <c r="W1251" s="32">
        <f>IFERROR(VLOOKUP(TA[[#This Row],[Date]],Raw_Data[[Date]:[Sunset Time (POA&lt;20 W/m2)]],3,0),"")</f>
        <v>0.25347222222222221</v>
      </c>
      <c r="X1251" s="32">
        <f>IFERROR(VLOOKUP(TA[[#This Row],[Date]],Raw_Data[[Date]:[Sunset Time (POA&lt;20 W/m2)]],3,0),"")</f>
        <v>0.25347222222222221</v>
      </c>
      <c r="Y1251" s="26"/>
      <c r="Z1251" s="26">
        <v>0.76041666666666663</v>
      </c>
      <c r="AA1251" s="27">
        <f>IF(TA[[#This Row],[Work Start time on Fault]]="NA","",(TA[[#This Row],[Fault Acknowledgement Time ]]-TA[[#This Row],[Fault Time]])*24)</f>
        <v>0</v>
      </c>
      <c r="AB1251" s="27">
        <f>(TA[[#This Row],[Work Start time on Fault]]-TA[[#This Row],[Fault Time]])*24</f>
        <v>-6.083333333333333</v>
      </c>
      <c r="AC1251" s="26">
        <f>(TA[[#This Row],[Work Completion time on fault]]-TA[[#This Row],[Fault Time]])*24</f>
        <v>12.166666666666666</v>
      </c>
      <c r="AD1251" s="27">
        <f>IFERROR((TA[[#This Row],[Work Completion time on fault]]-TA[[#This Row],[Fault Time]])*24,"")</f>
        <v>12.166666666666666</v>
      </c>
      <c r="AE1251" t="s">
        <v>300</v>
      </c>
      <c r="AF1251" t="s">
        <v>247</v>
      </c>
      <c r="AG1251" s="2"/>
      <c r="AH1251" s="35">
        <f>1-COS(RADIANS(TA[[#This Row],[Avg. Target Angle during Fault Time (Radians)]]-TA[[#This Row],[Angle of affected equipment ]]))</f>
        <v>0.11705240714107301</v>
      </c>
      <c r="AI1251" s="27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43">
        <f t="shared" ref="B1252:B1264" si="140">YEAR(H1252)+IF(MONTH(H1252)&gt;=4,1,0)</f>
        <v>2026</v>
      </c>
      <c r="C1252" s="116">
        <f t="shared" ref="C1252:C1264" si="141">YEAR(H1252)</f>
        <v>2025</v>
      </c>
      <c r="D1252" s="2" t="s">
        <v>155</v>
      </c>
      <c r="E1252" s="2" t="s">
        <v>155</v>
      </c>
      <c r="F1252" s="30">
        <v>45809</v>
      </c>
      <c r="G1252" s="2">
        <f>DAY(EOMONTH(TA[[#This Row],[Month Year]],0))</f>
        <v>30</v>
      </c>
      <c r="H1252" s="21">
        <v>45833</v>
      </c>
      <c r="I1252" s="32">
        <f>IFERROR(VLOOKUP(TA[[#This Row],[Date]],Raw_Data[[Date]:[Sunset Time (POA&lt;20 W/m2)]],3,0),"")</f>
        <v>0.25416666666666665</v>
      </c>
      <c r="J1252" s="32">
        <f>IFERROR(VLOOKUP(TA[[#This Row],[Date]],Raw_Data[[Date]:[Sunset Time (POA&lt;20 W/m2)]],4,0),"")</f>
        <v>0.77777777777777779</v>
      </c>
      <c r="K1252" s="27">
        <f>IFERROR((TA[[#This Row],[Sunset Time (POA&lt;20 W/m2)]]-TA[[#This Row],[Sunrise Time (POA&gt;20 W/m2)]])*24,"")</f>
        <v>12.566666666666666</v>
      </c>
      <c r="L1252" s="2" t="s">
        <v>285</v>
      </c>
      <c r="M1252" s="33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14" t="s">
        <v>309</v>
      </c>
      <c r="Q1252" s="113" t="s">
        <v>309</v>
      </c>
      <c r="R1252">
        <v>131</v>
      </c>
      <c r="S1252" s="2">
        <v>38</v>
      </c>
      <c r="T1252" t="s">
        <v>286</v>
      </c>
      <c r="U1252" t="s">
        <v>291</v>
      </c>
      <c r="V1252" t="s">
        <v>289</v>
      </c>
      <c r="W1252" s="32"/>
      <c r="X1252" s="32"/>
      <c r="Y1252" s="26"/>
      <c r="Z1252" s="26"/>
      <c r="AA1252" s="27">
        <f>IF(TA[[#This Row],[Work Start time on Fault]]="NA","",(TA[[#This Row],[Fault Acknowledgement Time ]]-TA[[#This Row],[Fault Time]])*24)</f>
        <v>0</v>
      </c>
      <c r="AB1252" s="27">
        <f>(TA[[#This Row],[Work Start time on Fault]]-TA[[#This Row],[Fault Time]])*24</f>
        <v>0</v>
      </c>
      <c r="AC1252" s="26">
        <f>(TA[[#This Row],[Work Completion time on fault]]-TA[[#This Row],[Fault Time]])*24</f>
        <v>0</v>
      </c>
      <c r="AD1252" s="27">
        <f>IFERROR((TA[[#This Row],[Work Completion time on fault]]-TA[[#This Row],[Fault Time]])*24,"")</f>
        <v>0</v>
      </c>
      <c r="AE1252" t="s">
        <v>319</v>
      </c>
      <c r="AF1252" t="s">
        <v>247</v>
      </c>
      <c r="AG1252" s="2"/>
      <c r="AH1252" s="35">
        <f>1-COS(RADIANS(TA[[#This Row],[Avg. Target Angle during Fault Time (Radians)]]-TA[[#This Row],[Angle of affected equipment ]]))</f>
        <v>0.11705240714107301</v>
      </c>
      <c r="AI1252" s="27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43">
        <f t="shared" si="140"/>
        <v>2026</v>
      </c>
      <c r="C1253" s="116">
        <f t="shared" si="141"/>
        <v>2025</v>
      </c>
      <c r="D1253" s="2" t="s">
        <v>155</v>
      </c>
      <c r="E1253" s="2" t="s">
        <v>155</v>
      </c>
      <c r="F1253" s="30">
        <v>45809</v>
      </c>
      <c r="G1253" s="2">
        <f>DAY(EOMONTH(TA[[#This Row],[Month Year]],0))</f>
        <v>30</v>
      </c>
      <c r="H1253" s="21">
        <v>45833</v>
      </c>
      <c r="I1253" s="32">
        <f>IFERROR(VLOOKUP(TA[[#This Row],[Date]],Raw_Data[[Date]:[Sunset Time (POA&lt;20 W/m2)]],3,0),"")</f>
        <v>0.25416666666666665</v>
      </c>
      <c r="J1253" s="32">
        <f>IFERROR(VLOOKUP(TA[[#This Row],[Date]],Raw_Data[[Date]:[Sunset Time (POA&lt;20 W/m2)]],4,0),"")</f>
        <v>0.77777777777777779</v>
      </c>
      <c r="K1253" s="27">
        <f>IFERROR((TA[[#This Row],[Sunset Time (POA&lt;20 W/m2)]]-TA[[#This Row],[Sunrise Time (POA&gt;20 W/m2)]])*24,"")</f>
        <v>12.566666666666666</v>
      </c>
      <c r="L1253" s="2" t="s">
        <v>285</v>
      </c>
      <c r="M1253" s="33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14" t="s">
        <v>309</v>
      </c>
      <c r="Q1253" s="113" t="s">
        <v>309</v>
      </c>
      <c r="R1253">
        <v>131</v>
      </c>
      <c r="S1253" s="2">
        <v>39</v>
      </c>
      <c r="T1253" t="s">
        <v>286</v>
      </c>
      <c r="U1253" t="s">
        <v>291</v>
      </c>
      <c r="V1253" t="s">
        <v>289</v>
      </c>
      <c r="W1253" s="32"/>
      <c r="X1253" s="32"/>
      <c r="Y1253" s="26"/>
      <c r="Z1253" s="26"/>
      <c r="AA1253" s="27">
        <f>IF(TA[[#This Row],[Work Start time on Fault]]="NA","",(TA[[#This Row],[Fault Acknowledgement Time ]]-TA[[#This Row],[Fault Time]])*24)</f>
        <v>0</v>
      </c>
      <c r="AB1253" s="27">
        <f>(TA[[#This Row],[Work Start time on Fault]]-TA[[#This Row],[Fault Time]])*24</f>
        <v>0</v>
      </c>
      <c r="AC1253" s="26">
        <f>(TA[[#This Row],[Work Completion time on fault]]-TA[[#This Row],[Fault Time]])*24</f>
        <v>0</v>
      </c>
      <c r="AD1253" s="27">
        <f>IFERROR((TA[[#This Row],[Work Completion time on fault]]-TA[[#This Row],[Fault Time]])*24,"")</f>
        <v>0</v>
      </c>
      <c r="AE1253" t="s">
        <v>319</v>
      </c>
      <c r="AF1253" t="s">
        <v>247</v>
      </c>
      <c r="AG1253" s="2"/>
      <c r="AH1253" s="35">
        <f>1-COS(RADIANS(TA[[#This Row],[Avg. Target Angle during Fault Time (Radians)]]-TA[[#This Row],[Angle of affected equipment ]]))</f>
        <v>0.11705240714107301</v>
      </c>
      <c r="AI1253" s="27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43">
        <f t="shared" si="140"/>
        <v>2026</v>
      </c>
      <c r="C1254" s="116">
        <f t="shared" si="141"/>
        <v>2025</v>
      </c>
      <c r="D1254" s="2" t="s">
        <v>155</v>
      </c>
      <c r="E1254" s="2" t="s">
        <v>155</v>
      </c>
      <c r="F1254" s="30">
        <v>45809</v>
      </c>
      <c r="G1254" s="2">
        <f>DAY(EOMONTH(TA[[#This Row],[Month Year]],0))</f>
        <v>30</v>
      </c>
      <c r="H1254" s="21">
        <v>45833</v>
      </c>
      <c r="I1254" s="32">
        <f>IFERROR(VLOOKUP(TA[[#This Row],[Date]],Raw_Data[[Date]:[Sunset Time (POA&lt;20 W/m2)]],3,0),"")</f>
        <v>0.25416666666666665</v>
      </c>
      <c r="J1254" s="32">
        <f>IFERROR(VLOOKUP(TA[[#This Row],[Date]],Raw_Data[[Date]:[Sunset Time (POA&lt;20 W/m2)]],4,0),"")</f>
        <v>0.77777777777777779</v>
      </c>
      <c r="K1254" s="27">
        <f>IFERROR((TA[[#This Row],[Sunset Time (POA&lt;20 W/m2)]]-TA[[#This Row],[Sunrise Time (POA&gt;20 W/m2)]])*24,"")</f>
        <v>12.566666666666666</v>
      </c>
      <c r="L1254" s="2" t="s">
        <v>287</v>
      </c>
      <c r="M1254" s="33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14" t="s">
        <v>309</v>
      </c>
      <c r="Q1254" s="2" t="s">
        <v>312</v>
      </c>
      <c r="R1254">
        <v>133</v>
      </c>
      <c r="S1254" s="2">
        <v>26</v>
      </c>
      <c r="T1254" t="s">
        <v>288</v>
      </c>
      <c r="U1254" t="s">
        <v>291</v>
      </c>
      <c r="V1254" t="s">
        <v>305</v>
      </c>
      <c r="W1254" s="32">
        <f>IFERROR(VLOOKUP(TA[[#This Row],[Date]],Raw_Data[[Date]:[Sunset Time (POA&lt;20 W/m2)]],3,0),"")</f>
        <v>0.25416666666666665</v>
      </c>
      <c r="X1254" s="32">
        <f>IFERROR(VLOOKUP(TA[[#This Row],[Date]],Raw_Data[[Date]:[Sunset Time (POA&lt;20 W/m2)]],3,0),"")</f>
        <v>0.25416666666666665</v>
      </c>
      <c r="Y1254" s="26"/>
      <c r="Z1254" s="26">
        <v>0.76041666666666663</v>
      </c>
      <c r="AA1254" s="27">
        <f>IF(TA[[#This Row],[Work Start time on Fault]]="NA","",(TA[[#This Row],[Fault Acknowledgement Time ]]-TA[[#This Row],[Fault Time]])*24)</f>
        <v>0</v>
      </c>
      <c r="AB1254" s="27">
        <f>(TA[[#This Row],[Work Start time on Fault]]-TA[[#This Row],[Fault Time]])*24</f>
        <v>-6.1</v>
      </c>
      <c r="AC1254" s="26">
        <f>(TA[[#This Row],[Work Completion time on fault]]-TA[[#This Row],[Fault Time]])*24</f>
        <v>12.149999999999999</v>
      </c>
      <c r="AD1254" s="27">
        <f>IFERROR((TA[[#This Row],[Work Completion time on fault]]-TA[[#This Row],[Fault Time]])*24,"")</f>
        <v>12.149999999999999</v>
      </c>
      <c r="AE1254" t="s">
        <v>319</v>
      </c>
      <c r="AF1254" t="s">
        <v>247</v>
      </c>
      <c r="AG1254" s="2"/>
      <c r="AH1254" s="35">
        <f>1-COS(RADIANS(TA[[#This Row],[Avg. Target Angle during Fault Time (Radians)]]-TA[[#This Row],[Angle of affected equipment ]]))</f>
        <v>0.11705240714107301</v>
      </c>
      <c r="AI1254" s="27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43">
        <f t="shared" si="140"/>
        <v>2026</v>
      </c>
      <c r="C1255" s="116">
        <f t="shared" si="141"/>
        <v>2025</v>
      </c>
      <c r="D1255" s="2" t="s">
        <v>155</v>
      </c>
      <c r="E1255" s="2" t="s">
        <v>155</v>
      </c>
      <c r="F1255" s="30">
        <v>45809</v>
      </c>
      <c r="G1255" s="2">
        <f>DAY(EOMONTH(TA[[#This Row],[Month Year]],0))</f>
        <v>30</v>
      </c>
      <c r="H1255" s="21">
        <v>45833</v>
      </c>
      <c r="I1255" s="32">
        <f>IFERROR(VLOOKUP(TA[[#This Row],[Date]],Raw_Data[[Date]:[Sunset Time (POA&lt;20 W/m2)]],3,0),"")</f>
        <v>0.25416666666666665</v>
      </c>
      <c r="J1255" s="32">
        <f>IFERROR(VLOOKUP(TA[[#This Row],[Date]],Raw_Data[[Date]:[Sunset Time (POA&lt;20 W/m2)]],4,0),"")</f>
        <v>0.77777777777777779</v>
      </c>
      <c r="K1255" s="27">
        <f>IFERROR((TA[[#This Row],[Sunset Time (POA&lt;20 W/m2)]]-TA[[#This Row],[Sunrise Time (POA&gt;20 W/m2)]])*24,"")</f>
        <v>12.566666666666666</v>
      </c>
      <c r="L1255" s="2" t="s">
        <v>285</v>
      </c>
      <c r="M1255" s="33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14" t="s">
        <v>307</v>
      </c>
      <c r="Q1255" s="113" t="s">
        <v>308</v>
      </c>
      <c r="R1255">
        <v>7</v>
      </c>
      <c r="S1255" s="2">
        <v>32</v>
      </c>
      <c r="T1255" t="s">
        <v>286</v>
      </c>
      <c r="U1255" t="s">
        <v>291</v>
      </c>
      <c r="V1255" t="s">
        <v>289</v>
      </c>
      <c r="W1255" s="32"/>
      <c r="X1255" s="32"/>
      <c r="Y1255" s="26"/>
      <c r="Z1255" s="26"/>
      <c r="AA1255" s="27">
        <f>IF(TA[[#This Row],[Work Start time on Fault]]="NA","",(TA[[#This Row],[Fault Acknowledgement Time ]]-TA[[#This Row],[Fault Time]])*24)</f>
        <v>0</v>
      </c>
      <c r="AB1255" s="27">
        <f>(TA[[#This Row],[Work Start time on Fault]]-TA[[#This Row],[Fault Time]])*24</f>
        <v>0</v>
      </c>
      <c r="AC1255" s="26">
        <f>(TA[[#This Row],[Work Completion time on fault]]-TA[[#This Row],[Fault Time]])*24</f>
        <v>0</v>
      </c>
      <c r="AD1255" s="27">
        <f>IFERROR((TA[[#This Row],[Work Completion time on fault]]-TA[[#This Row],[Fault Time]])*24,"")</f>
        <v>0</v>
      </c>
      <c r="AE1255" t="s">
        <v>319</v>
      </c>
      <c r="AF1255" t="s">
        <v>247</v>
      </c>
      <c r="AG1255" s="2"/>
      <c r="AH1255" s="35">
        <f>1-COS(RADIANS(TA[[#This Row],[Avg. Target Angle during Fault Time (Radians)]]-TA[[#This Row],[Angle of affected equipment ]]))</f>
        <v>0.11705240714107301</v>
      </c>
      <c r="AI1255" s="27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43">
        <f t="shared" si="140"/>
        <v>2026</v>
      </c>
      <c r="C1256" s="116">
        <f t="shared" si="141"/>
        <v>2025</v>
      </c>
      <c r="D1256" s="2" t="s">
        <v>155</v>
      </c>
      <c r="E1256" s="2" t="s">
        <v>155</v>
      </c>
      <c r="F1256" s="30">
        <v>45809</v>
      </c>
      <c r="G1256" s="2">
        <f>DAY(EOMONTH(TA[[#This Row],[Month Year]],0))</f>
        <v>30</v>
      </c>
      <c r="H1256" s="21">
        <v>45833</v>
      </c>
      <c r="I1256" s="32">
        <f>IFERROR(VLOOKUP(TA[[#This Row],[Date]],Raw_Data[[Date]:[Sunset Time (POA&lt;20 W/m2)]],3,0),"")</f>
        <v>0.25416666666666665</v>
      </c>
      <c r="J1256" s="32">
        <f>IFERROR(VLOOKUP(TA[[#This Row],[Date]],Raw_Data[[Date]:[Sunset Time (POA&lt;20 W/m2)]],4,0),"")</f>
        <v>0.77777777777777779</v>
      </c>
      <c r="K1256" s="27">
        <f>IFERROR((TA[[#This Row],[Sunset Time (POA&lt;20 W/m2)]]-TA[[#This Row],[Sunrise Time (POA&gt;20 W/m2)]])*24,"")</f>
        <v>12.566666666666666</v>
      </c>
      <c r="L1256" s="2" t="s">
        <v>285</v>
      </c>
      <c r="M1256" s="33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14" t="s">
        <v>306</v>
      </c>
      <c r="Q1256" s="113" t="s">
        <v>310</v>
      </c>
      <c r="R1256">
        <v>166</v>
      </c>
      <c r="S1256" s="2">
        <v>91</v>
      </c>
      <c r="T1256" t="s">
        <v>286</v>
      </c>
      <c r="U1256" t="s">
        <v>291</v>
      </c>
      <c r="V1256" t="s">
        <v>289</v>
      </c>
      <c r="W1256" s="32"/>
      <c r="X1256" s="32"/>
      <c r="Y1256" s="26"/>
      <c r="Z1256" s="26"/>
      <c r="AA1256" s="27">
        <f>IF(TA[[#This Row],[Work Start time on Fault]]="NA","",(TA[[#This Row],[Fault Acknowledgement Time ]]-TA[[#This Row],[Fault Time]])*24)</f>
        <v>0</v>
      </c>
      <c r="AB1256" s="27">
        <f>(TA[[#This Row],[Work Start time on Fault]]-TA[[#This Row],[Fault Time]])*24</f>
        <v>0</v>
      </c>
      <c r="AC1256" s="26">
        <f>(TA[[#This Row],[Work Completion time on fault]]-TA[[#This Row],[Fault Time]])*24</f>
        <v>0</v>
      </c>
      <c r="AD1256" s="27">
        <f>IFERROR((TA[[#This Row],[Work Completion time on fault]]-TA[[#This Row],[Fault Time]])*24,"")</f>
        <v>0</v>
      </c>
      <c r="AE1256" t="s">
        <v>319</v>
      </c>
      <c r="AF1256" t="s">
        <v>247</v>
      </c>
      <c r="AG1256" s="2"/>
      <c r="AH1256" s="35">
        <f>1-COS(RADIANS(TA[[#This Row],[Avg. Target Angle during Fault Time (Radians)]]-TA[[#This Row],[Angle of affected equipment ]]))</f>
        <v>0.11705240714107301</v>
      </c>
      <c r="AI1256" s="27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43">
        <f t="shared" si="140"/>
        <v>2026</v>
      </c>
      <c r="C1257" s="116">
        <f t="shared" si="141"/>
        <v>2025</v>
      </c>
      <c r="D1257" s="2" t="s">
        <v>155</v>
      </c>
      <c r="E1257" s="2" t="s">
        <v>155</v>
      </c>
      <c r="F1257" s="30">
        <v>45809</v>
      </c>
      <c r="G1257" s="2">
        <f>DAY(EOMONTH(TA[[#This Row],[Month Year]],0))</f>
        <v>30</v>
      </c>
      <c r="H1257" s="21">
        <v>45833</v>
      </c>
      <c r="I1257" s="32">
        <f>IFERROR(VLOOKUP(TA[[#This Row],[Date]],Raw_Data[[Date]:[Sunset Time (POA&lt;20 W/m2)]],3,0),"")</f>
        <v>0.25416666666666665</v>
      </c>
      <c r="J1257" s="32">
        <f>IFERROR(VLOOKUP(TA[[#This Row],[Date]],Raw_Data[[Date]:[Sunset Time (POA&lt;20 W/m2)]],4,0),"")</f>
        <v>0.77777777777777779</v>
      </c>
      <c r="K1257" s="27">
        <f>IFERROR((TA[[#This Row],[Sunset Time (POA&lt;20 W/m2)]]-TA[[#This Row],[Sunrise Time (POA&gt;20 W/m2)]])*24,"")</f>
        <v>12.566666666666666</v>
      </c>
      <c r="L1257" s="2" t="s">
        <v>285</v>
      </c>
      <c r="M1257" s="33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14" t="s">
        <v>307</v>
      </c>
      <c r="Q1257" s="113" t="s">
        <v>307</v>
      </c>
      <c r="R1257">
        <v>117</v>
      </c>
      <c r="S1257" s="2">
        <v>20</v>
      </c>
      <c r="T1257" t="s">
        <v>286</v>
      </c>
      <c r="U1257" t="s">
        <v>291</v>
      </c>
      <c r="V1257" t="s">
        <v>289</v>
      </c>
      <c r="W1257" s="32"/>
      <c r="X1257" s="32"/>
      <c r="Y1257" s="26"/>
      <c r="Z1257" s="26"/>
      <c r="AA1257" s="27">
        <f>IF(TA[[#This Row],[Work Start time on Fault]]="NA","",(TA[[#This Row],[Fault Acknowledgement Time ]]-TA[[#This Row],[Fault Time]])*24)</f>
        <v>0</v>
      </c>
      <c r="AB1257" s="27">
        <f>(TA[[#This Row],[Work Start time on Fault]]-TA[[#This Row],[Fault Time]])*24</f>
        <v>0</v>
      </c>
      <c r="AC1257" s="26">
        <f>(TA[[#This Row],[Work Completion time on fault]]-TA[[#This Row],[Fault Time]])*24</f>
        <v>0</v>
      </c>
      <c r="AD1257" s="27">
        <f>IFERROR((TA[[#This Row],[Work Completion time on fault]]-TA[[#This Row],[Fault Time]])*24,"")</f>
        <v>0</v>
      </c>
      <c r="AE1257" t="s">
        <v>319</v>
      </c>
      <c r="AF1257" t="s">
        <v>247</v>
      </c>
      <c r="AG1257" s="2"/>
      <c r="AH1257" s="35">
        <f>1-COS(RADIANS(TA[[#This Row],[Avg. Target Angle during Fault Time (Radians)]]-TA[[#This Row],[Angle of affected equipment ]]))</f>
        <v>0.11705240714107301</v>
      </c>
      <c r="AI1257" s="27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43">
        <f t="shared" si="140"/>
        <v>2026</v>
      </c>
      <c r="C1258" s="116">
        <f t="shared" si="141"/>
        <v>2025</v>
      </c>
      <c r="D1258" s="2" t="s">
        <v>155</v>
      </c>
      <c r="E1258" s="2" t="s">
        <v>155</v>
      </c>
      <c r="F1258" s="30">
        <v>45809</v>
      </c>
      <c r="G1258" s="2">
        <f>DAY(EOMONTH(TA[[#This Row],[Month Year]],0))</f>
        <v>30</v>
      </c>
      <c r="H1258" s="21">
        <v>45833</v>
      </c>
      <c r="I1258" s="32">
        <f>IFERROR(VLOOKUP(TA[[#This Row],[Date]],Raw_Data[[Date]:[Sunset Time (POA&lt;20 W/m2)]],3,0),"")</f>
        <v>0.25416666666666665</v>
      </c>
      <c r="J1258" s="32">
        <f>IFERROR(VLOOKUP(TA[[#This Row],[Date]],Raw_Data[[Date]:[Sunset Time (POA&lt;20 W/m2)]],4,0),"")</f>
        <v>0.77777777777777779</v>
      </c>
      <c r="K1258" s="27">
        <f>IFERROR((TA[[#This Row],[Sunset Time (POA&lt;20 W/m2)]]-TA[[#This Row],[Sunrise Time (POA&gt;20 W/m2)]])*24,"")</f>
        <v>12.566666666666666</v>
      </c>
      <c r="L1258" s="2" t="s">
        <v>285</v>
      </c>
      <c r="M1258" s="33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14" t="s">
        <v>307</v>
      </c>
      <c r="Q1258" s="113" t="s">
        <v>307</v>
      </c>
      <c r="R1258">
        <v>118</v>
      </c>
      <c r="S1258" s="2">
        <v>22</v>
      </c>
      <c r="T1258" t="s">
        <v>286</v>
      </c>
      <c r="U1258" t="s">
        <v>291</v>
      </c>
      <c r="V1258" t="s">
        <v>289</v>
      </c>
      <c r="W1258" s="32"/>
      <c r="X1258" s="32"/>
      <c r="Y1258" s="26"/>
      <c r="Z1258" s="26"/>
      <c r="AA1258" s="27">
        <f>IF(TA[[#This Row],[Work Start time on Fault]]="NA","",(TA[[#This Row],[Fault Acknowledgement Time ]]-TA[[#This Row],[Fault Time]])*24)</f>
        <v>0</v>
      </c>
      <c r="AB1258" s="27">
        <f>(TA[[#This Row],[Work Start time on Fault]]-TA[[#This Row],[Fault Time]])*24</f>
        <v>0</v>
      </c>
      <c r="AC1258" s="26">
        <f>(TA[[#This Row],[Work Completion time on fault]]-TA[[#This Row],[Fault Time]])*24</f>
        <v>0</v>
      </c>
      <c r="AD1258" s="27">
        <f>IFERROR((TA[[#This Row],[Work Completion time on fault]]-TA[[#This Row],[Fault Time]])*24,"")</f>
        <v>0</v>
      </c>
      <c r="AE1258" t="s">
        <v>319</v>
      </c>
      <c r="AF1258" t="s">
        <v>247</v>
      </c>
      <c r="AG1258" s="2"/>
      <c r="AH1258" s="35">
        <f>1-COS(RADIANS(TA[[#This Row],[Avg. Target Angle during Fault Time (Radians)]]-TA[[#This Row],[Angle of affected equipment ]]))</f>
        <v>0.11705240714107301</v>
      </c>
      <c r="AI1258" s="27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43">
        <f t="shared" si="140"/>
        <v>2026</v>
      </c>
      <c r="C1259" s="116">
        <f t="shared" si="141"/>
        <v>2025</v>
      </c>
      <c r="D1259" s="2" t="s">
        <v>155</v>
      </c>
      <c r="E1259" s="2" t="s">
        <v>155</v>
      </c>
      <c r="F1259" s="30">
        <v>45809</v>
      </c>
      <c r="G1259" s="2">
        <f>DAY(EOMONTH(TA[[#This Row],[Month Year]],0))</f>
        <v>30</v>
      </c>
      <c r="H1259" s="21">
        <v>45833</v>
      </c>
      <c r="I1259" s="32">
        <f>IFERROR(VLOOKUP(TA[[#This Row],[Date]],Raw_Data[[Date]:[Sunset Time (POA&lt;20 W/m2)]],3,0),"")</f>
        <v>0.25416666666666665</v>
      </c>
      <c r="J1259" s="32">
        <f>IFERROR(VLOOKUP(TA[[#This Row],[Date]],Raw_Data[[Date]:[Sunset Time (POA&lt;20 W/m2)]],4,0),"")</f>
        <v>0.77777777777777779</v>
      </c>
      <c r="K1259" s="27">
        <f>IFERROR((TA[[#This Row],[Sunset Time (POA&lt;20 W/m2)]]-TA[[#This Row],[Sunrise Time (POA&gt;20 W/m2)]])*24,"")</f>
        <v>12.566666666666666</v>
      </c>
      <c r="L1259" s="2" t="s">
        <v>287</v>
      </c>
      <c r="M1259" s="33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314</v>
      </c>
      <c r="Q1259" s="2" t="s">
        <v>320</v>
      </c>
      <c r="R1259">
        <v>45</v>
      </c>
      <c r="S1259" s="2">
        <v>8</v>
      </c>
      <c r="T1259" t="s">
        <v>288</v>
      </c>
      <c r="U1259" t="s">
        <v>291</v>
      </c>
      <c r="V1259" t="s">
        <v>292</v>
      </c>
      <c r="W1259" s="32"/>
      <c r="X1259" s="32"/>
      <c r="Y1259" s="26"/>
      <c r="Z1259" s="26"/>
      <c r="AA1259" s="27">
        <f>IF(TA[[#This Row],[Work Start time on Fault]]="NA","",(TA[[#This Row],[Fault Acknowledgement Time ]]-TA[[#This Row],[Fault Time]])*24)</f>
        <v>0</v>
      </c>
      <c r="AB1259" s="27">
        <f>(TA[[#This Row],[Work Start time on Fault]]-TA[[#This Row],[Fault Time]])*24</f>
        <v>0</v>
      </c>
      <c r="AC1259" s="26">
        <f>(TA[[#This Row],[Work Completion time on fault]]-TA[[#This Row],[Fault Time]])*24</f>
        <v>0</v>
      </c>
      <c r="AD1259" s="27">
        <f>IFERROR((TA[[#This Row],[Work Completion time on fault]]-TA[[#This Row],[Fault Time]])*24,"")</f>
        <v>0</v>
      </c>
      <c r="AE1259" t="s">
        <v>319</v>
      </c>
      <c r="AF1259" t="s">
        <v>247</v>
      </c>
      <c r="AG1259" s="2"/>
      <c r="AH1259" s="35">
        <f>1-COS(RADIANS(TA[[#This Row],[Avg. Target Angle during Fault Time (Radians)]]-TA[[#This Row],[Angle of affected equipment ]]))</f>
        <v>0.11705240714107301</v>
      </c>
      <c r="AI1259" s="27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43">
        <f t="shared" si="140"/>
        <v>2026</v>
      </c>
      <c r="C1260" s="116">
        <f t="shared" si="141"/>
        <v>2025</v>
      </c>
      <c r="D1260" s="2" t="s">
        <v>155</v>
      </c>
      <c r="E1260" s="2" t="s">
        <v>155</v>
      </c>
      <c r="F1260" s="30">
        <v>45809</v>
      </c>
      <c r="G1260" s="2">
        <f>DAY(EOMONTH(TA[[#This Row],[Month Year]],0))</f>
        <v>30</v>
      </c>
      <c r="H1260" s="21">
        <v>45833</v>
      </c>
      <c r="I1260" s="32">
        <f>IFERROR(VLOOKUP(TA[[#This Row],[Date]],Raw_Data[[Date]:[Sunset Time (POA&lt;20 W/m2)]],3,0),"")</f>
        <v>0.25416666666666665</v>
      </c>
      <c r="J1260" s="32">
        <f>IFERROR(VLOOKUP(TA[[#This Row],[Date]],Raw_Data[[Date]:[Sunset Time (POA&lt;20 W/m2)]],4,0),"")</f>
        <v>0.77777777777777779</v>
      </c>
      <c r="K1260" s="27">
        <f>IFERROR((TA[[#This Row],[Sunset Time (POA&lt;20 W/m2)]]-TA[[#This Row],[Sunrise Time (POA&gt;20 W/m2)]])*24,"")</f>
        <v>12.566666666666666</v>
      </c>
      <c r="L1260" s="2" t="s">
        <v>287</v>
      </c>
      <c r="M1260" s="33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314</v>
      </c>
      <c r="Q1260" s="2" t="s">
        <v>320</v>
      </c>
      <c r="R1260">
        <v>47</v>
      </c>
      <c r="S1260" s="2">
        <v>18</v>
      </c>
      <c r="T1260" t="s">
        <v>288</v>
      </c>
      <c r="U1260" t="s">
        <v>291</v>
      </c>
      <c r="V1260" t="s">
        <v>292</v>
      </c>
      <c r="W1260" s="32"/>
      <c r="X1260" s="32"/>
      <c r="Y1260" s="26"/>
      <c r="Z1260" s="26"/>
      <c r="AA1260" s="27">
        <f>IF(TA[[#This Row],[Work Start time on Fault]]="NA","",(TA[[#This Row],[Fault Acknowledgement Time ]]-TA[[#This Row],[Fault Time]])*24)</f>
        <v>0</v>
      </c>
      <c r="AB1260" s="27">
        <f>(TA[[#This Row],[Work Start time on Fault]]-TA[[#This Row],[Fault Time]])*24</f>
        <v>0</v>
      </c>
      <c r="AC1260" s="26">
        <f>(TA[[#This Row],[Work Completion time on fault]]-TA[[#This Row],[Fault Time]])*24</f>
        <v>0</v>
      </c>
      <c r="AD1260" s="27">
        <f>IFERROR((TA[[#This Row],[Work Completion time on fault]]-TA[[#This Row],[Fault Time]])*24,"")</f>
        <v>0</v>
      </c>
      <c r="AE1260" t="s">
        <v>319</v>
      </c>
      <c r="AF1260" t="s">
        <v>247</v>
      </c>
      <c r="AG1260" s="2"/>
      <c r="AH1260" s="35">
        <f>1-COS(RADIANS(TA[[#This Row],[Avg. Target Angle during Fault Time (Radians)]]-TA[[#This Row],[Angle of affected equipment ]]))</f>
        <v>0.11705240714107301</v>
      </c>
      <c r="AI1260" s="27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43">
        <f t="shared" si="140"/>
        <v>2026</v>
      </c>
      <c r="C1261" s="116">
        <f t="shared" si="141"/>
        <v>2025</v>
      </c>
      <c r="D1261" s="2" t="s">
        <v>155</v>
      </c>
      <c r="E1261" s="2" t="s">
        <v>155</v>
      </c>
      <c r="F1261" s="30">
        <v>45809</v>
      </c>
      <c r="G1261" s="2">
        <f>DAY(EOMONTH(TA[[#This Row],[Month Year]],0))</f>
        <v>30</v>
      </c>
      <c r="H1261" s="21">
        <v>45833</v>
      </c>
      <c r="I1261" s="32">
        <f>IFERROR(VLOOKUP(TA[[#This Row],[Date]],Raw_Data[[Date]:[Sunset Time (POA&lt;20 W/m2)]],3,0),"")</f>
        <v>0.25416666666666665</v>
      </c>
      <c r="J1261" s="32">
        <f>IFERROR(VLOOKUP(TA[[#This Row],[Date]],Raw_Data[[Date]:[Sunset Time (POA&lt;20 W/m2)]],4,0),"")</f>
        <v>0.77777777777777779</v>
      </c>
      <c r="K1261" s="27">
        <f>IFERROR((TA[[#This Row],[Sunset Time (POA&lt;20 W/m2)]]-TA[[#This Row],[Sunrise Time (POA&gt;20 W/m2)]])*24,"")</f>
        <v>12.566666666666666</v>
      </c>
      <c r="L1261" s="2" t="s">
        <v>287</v>
      </c>
      <c r="M1261" s="33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321</v>
      </c>
      <c r="Q1261" s="2" t="s">
        <v>314</v>
      </c>
      <c r="R1261">
        <v>30</v>
      </c>
      <c r="S1261" s="2">
        <v>57</v>
      </c>
      <c r="T1261" t="s">
        <v>288</v>
      </c>
      <c r="U1261" t="s">
        <v>291</v>
      </c>
      <c r="V1261" t="s">
        <v>292</v>
      </c>
      <c r="W1261" s="32"/>
      <c r="X1261" s="32"/>
      <c r="Y1261" s="26"/>
      <c r="Z1261" s="26"/>
      <c r="AA1261" s="27">
        <f>IF(TA[[#This Row],[Work Start time on Fault]]="NA","",(TA[[#This Row],[Fault Acknowledgement Time ]]-TA[[#This Row],[Fault Time]])*24)</f>
        <v>0</v>
      </c>
      <c r="AB1261" s="27">
        <f>(TA[[#This Row],[Work Start time on Fault]]-TA[[#This Row],[Fault Time]])*24</f>
        <v>0</v>
      </c>
      <c r="AC1261" s="26">
        <f>(TA[[#This Row],[Work Completion time on fault]]-TA[[#This Row],[Fault Time]])*24</f>
        <v>0</v>
      </c>
      <c r="AD1261" s="27">
        <f>IFERROR((TA[[#This Row],[Work Completion time on fault]]-TA[[#This Row],[Fault Time]])*24,"")</f>
        <v>0</v>
      </c>
      <c r="AE1261" t="s">
        <v>319</v>
      </c>
      <c r="AF1261" t="s">
        <v>247</v>
      </c>
      <c r="AG1261" s="2"/>
      <c r="AH1261" s="35">
        <f>1-COS(RADIANS(TA[[#This Row],[Avg. Target Angle during Fault Time (Radians)]]-TA[[#This Row],[Angle of affected equipment ]]))</f>
        <v>0.11705240714107301</v>
      </c>
      <c r="AI1261" s="27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43">
        <f t="shared" si="140"/>
        <v>2026</v>
      </c>
      <c r="C1262" s="116">
        <f t="shared" si="141"/>
        <v>2025</v>
      </c>
      <c r="D1262" s="2" t="s">
        <v>155</v>
      </c>
      <c r="E1262" s="2" t="s">
        <v>155</v>
      </c>
      <c r="F1262" s="30">
        <v>45809</v>
      </c>
      <c r="G1262" s="2">
        <f>DAY(EOMONTH(TA[[#This Row],[Month Year]],0))</f>
        <v>30</v>
      </c>
      <c r="H1262" s="21">
        <v>45833</v>
      </c>
      <c r="I1262" s="32">
        <f>IFERROR(VLOOKUP(TA[[#This Row],[Date]],Raw_Data[[Date]:[Sunset Time (POA&lt;20 W/m2)]],3,0),"")</f>
        <v>0.25416666666666665</v>
      </c>
      <c r="J1262" s="32">
        <f>IFERROR(VLOOKUP(TA[[#This Row],[Date]],Raw_Data[[Date]:[Sunset Time (POA&lt;20 W/m2)]],4,0),"")</f>
        <v>0.77777777777777779</v>
      </c>
      <c r="K1262" s="27">
        <f>IFERROR((TA[[#This Row],[Sunset Time (POA&lt;20 W/m2)]]-TA[[#This Row],[Sunrise Time (POA&gt;20 W/m2)]])*24,"")</f>
        <v>12.566666666666666</v>
      </c>
      <c r="L1262" s="2" t="s">
        <v>287</v>
      </c>
      <c r="M1262" s="33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321</v>
      </c>
      <c r="Q1262" s="2" t="s">
        <v>314</v>
      </c>
      <c r="R1262">
        <v>31</v>
      </c>
      <c r="S1262" s="2">
        <v>61</v>
      </c>
      <c r="T1262" t="s">
        <v>288</v>
      </c>
      <c r="U1262" t="s">
        <v>291</v>
      </c>
      <c r="V1262" t="s">
        <v>292</v>
      </c>
      <c r="W1262" s="32"/>
      <c r="X1262" s="32"/>
      <c r="Y1262" s="26"/>
      <c r="Z1262" s="26"/>
      <c r="AA1262" s="27">
        <f>IF(TA[[#This Row],[Work Start time on Fault]]="NA","",(TA[[#This Row],[Fault Acknowledgement Time ]]-TA[[#This Row],[Fault Time]])*24)</f>
        <v>0</v>
      </c>
      <c r="AB1262" s="27">
        <f>(TA[[#This Row],[Work Start time on Fault]]-TA[[#This Row],[Fault Time]])*24</f>
        <v>0</v>
      </c>
      <c r="AC1262" s="26">
        <f>(TA[[#This Row],[Work Completion time on fault]]-TA[[#This Row],[Fault Time]])*24</f>
        <v>0</v>
      </c>
      <c r="AD1262" s="27">
        <f>IFERROR((TA[[#This Row],[Work Completion time on fault]]-TA[[#This Row],[Fault Time]])*24,"")</f>
        <v>0</v>
      </c>
      <c r="AE1262" t="s">
        <v>319</v>
      </c>
      <c r="AF1262" t="s">
        <v>247</v>
      </c>
      <c r="AG1262" s="2"/>
      <c r="AH1262" s="35">
        <f>1-COS(RADIANS(TA[[#This Row],[Avg. Target Angle during Fault Time (Radians)]]-TA[[#This Row],[Angle of affected equipment ]]))</f>
        <v>0.11705240714107301</v>
      </c>
      <c r="AI1262" s="27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43">
        <f t="shared" si="140"/>
        <v>2026</v>
      </c>
      <c r="C1263" s="116">
        <f t="shared" si="141"/>
        <v>2025</v>
      </c>
      <c r="D1263" s="2" t="s">
        <v>155</v>
      </c>
      <c r="E1263" s="2" t="s">
        <v>155</v>
      </c>
      <c r="F1263" s="30">
        <v>45809</v>
      </c>
      <c r="G1263" s="2">
        <f>DAY(EOMONTH(TA[[#This Row],[Month Year]],0))</f>
        <v>30</v>
      </c>
      <c r="H1263" s="21">
        <v>45833</v>
      </c>
      <c r="I1263" s="32">
        <f>IFERROR(VLOOKUP(TA[[#This Row],[Date]],Raw_Data[[Date]:[Sunset Time (POA&lt;20 W/m2)]],3,0),"")</f>
        <v>0.25416666666666665</v>
      </c>
      <c r="J1263" s="32">
        <f>IFERROR(VLOOKUP(TA[[#This Row],[Date]],Raw_Data[[Date]:[Sunset Time (POA&lt;20 W/m2)]],4,0),"")</f>
        <v>0.77777777777777779</v>
      </c>
      <c r="K1263" s="27">
        <f>IFERROR((TA[[#This Row],[Sunset Time (POA&lt;20 W/m2)]]-TA[[#This Row],[Sunrise Time (POA&gt;20 W/m2)]])*24,"")</f>
        <v>12.566666666666666</v>
      </c>
      <c r="L1263" s="2" t="s">
        <v>303</v>
      </c>
      <c r="M1263" s="33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321</v>
      </c>
      <c r="Q1263" s="2" t="s">
        <v>314</v>
      </c>
      <c r="R1263">
        <v>26</v>
      </c>
      <c r="S1263" s="2">
        <v>37</v>
      </c>
      <c r="T1263" t="s">
        <v>288</v>
      </c>
      <c r="U1263" t="s">
        <v>291</v>
      </c>
      <c r="V1263" t="s">
        <v>292</v>
      </c>
      <c r="W1263" s="32"/>
      <c r="X1263" s="32"/>
      <c r="Y1263" s="26"/>
      <c r="Z1263" s="26"/>
      <c r="AA1263" s="27">
        <f>IF(TA[[#This Row],[Work Start time on Fault]]="NA","",(TA[[#This Row],[Fault Acknowledgement Time ]]-TA[[#This Row],[Fault Time]])*24)</f>
        <v>0</v>
      </c>
      <c r="AB1263" s="27">
        <f>(TA[[#This Row],[Work Start time on Fault]]-TA[[#This Row],[Fault Time]])*24</f>
        <v>0</v>
      </c>
      <c r="AC1263" s="26">
        <f>(TA[[#This Row],[Work Completion time on fault]]-TA[[#This Row],[Fault Time]])*24</f>
        <v>0</v>
      </c>
      <c r="AD1263" s="27">
        <f>IFERROR((TA[[#This Row],[Work Completion time on fault]]-TA[[#This Row],[Fault Time]])*24,"")</f>
        <v>0</v>
      </c>
      <c r="AE1263" t="s">
        <v>319</v>
      </c>
      <c r="AF1263" t="s">
        <v>247</v>
      </c>
      <c r="AG1263" s="2"/>
      <c r="AH1263" s="35">
        <f>1-COS(RADIANS(TA[[#This Row],[Avg. Target Angle during Fault Time (Radians)]]-TA[[#This Row],[Angle of affected equipment ]]))</f>
        <v>0.11705240714107301</v>
      </c>
      <c r="AI1263" s="27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43">
        <f t="shared" si="140"/>
        <v>2026</v>
      </c>
      <c r="C1264" s="116">
        <f t="shared" si="141"/>
        <v>2025</v>
      </c>
      <c r="D1264" s="2" t="s">
        <v>155</v>
      </c>
      <c r="E1264" s="2" t="s">
        <v>155</v>
      </c>
      <c r="F1264" s="30">
        <v>45809</v>
      </c>
      <c r="G1264" s="2">
        <f>DAY(EOMONTH(TA[[#This Row],[Month Year]],0))</f>
        <v>30</v>
      </c>
      <c r="H1264" s="21">
        <v>45833</v>
      </c>
      <c r="I1264" s="32">
        <f>IFERROR(VLOOKUP(TA[[#This Row],[Date]],Raw_Data[[Date]:[Sunset Time (POA&lt;20 W/m2)]],3,0),"")</f>
        <v>0.25416666666666665</v>
      </c>
      <c r="J1264" s="32">
        <f>IFERROR(VLOOKUP(TA[[#This Row],[Date]],Raw_Data[[Date]:[Sunset Time (POA&lt;20 W/m2)]],4,0),"")</f>
        <v>0.77777777777777779</v>
      </c>
      <c r="K1264" s="27">
        <f>IFERROR((TA[[#This Row],[Sunset Time (POA&lt;20 W/m2)]]-TA[[#This Row],[Sunrise Time (POA&gt;20 W/m2)]])*24,"")</f>
        <v>12.566666666666666</v>
      </c>
      <c r="L1264" s="2" t="s">
        <v>303</v>
      </c>
      <c r="M1264" s="33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321</v>
      </c>
      <c r="Q1264" s="2" t="s">
        <v>314</v>
      </c>
      <c r="R1264">
        <v>27</v>
      </c>
      <c r="S1264" s="2">
        <v>42</v>
      </c>
      <c r="T1264" t="s">
        <v>288</v>
      </c>
      <c r="U1264" t="s">
        <v>291</v>
      </c>
      <c r="V1264" t="s">
        <v>292</v>
      </c>
      <c r="W1264" s="32">
        <f>IFERROR(VLOOKUP(TA[[#This Row],[Date]],Raw_Data[[Date]:[Sunset Time (POA&lt;20 W/m2)]],3,0),"")</f>
        <v>0.25416666666666665</v>
      </c>
      <c r="X1264" s="32">
        <f>IFERROR(VLOOKUP(TA[[#This Row],[Date]],Raw_Data[[Date]:[Sunset Time (POA&lt;20 W/m2)]],3,0),"")</f>
        <v>0.25416666666666665</v>
      </c>
      <c r="Y1264" s="26"/>
      <c r="Z1264" s="26">
        <v>0.76041666666666663</v>
      </c>
      <c r="AA1264" s="27">
        <f>IF(TA[[#This Row],[Work Start time on Fault]]="NA","",(TA[[#This Row],[Fault Acknowledgement Time ]]-TA[[#This Row],[Fault Time]])*24)</f>
        <v>0</v>
      </c>
      <c r="AB1264" s="27">
        <f>(TA[[#This Row],[Work Start time on Fault]]-TA[[#This Row],[Fault Time]])*24</f>
        <v>-6.1</v>
      </c>
      <c r="AC1264" s="26">
        <f>(TA[[#This Row],[Work Completion time on fault]]-TA[[#This Row],[Fault Time]])*24</f>
        <v>12.149999999999999</v>
      </c>
      <c r="AD1264" s="27">
        <f>IFERROR((TA[[#This Row],[Work Completion time on fault]]-TA[[#This Row],[Fault Time]])*24,"")</f>
        <v>12.149999999999999</v>
      </c>
      <c r="AE1264" t="s">
        <v>300</v>
      </c>
      <c r="AF1264" t="s">
        <v>247</v>
      </c>
      <c r="AG1264" s="2"/>
      <c r="AH1264" s="35">
        <f>1-COS(RADIANS(TA[[#This Row],[Avg. Target Angle during Fault Time (Radians)]]-TA[[#This Row],[Angle of affected equipment ]]))</f>
        <v>0.11705240714107301</v>
      </c>
      <c r="AI1264" s="27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43">
        <f t="shared" ref="B1265:B1277" si="143">YEAR(H1265)+IF(MONTH(H1265)&gt;=4,1,0)</f>
        <v>2026</v>
      </c>
      <c r="C1265" s="116">
        <f t="shared" ref="C1265:C1277" si="144">YEAR(H1265)</f>
        <v>2025</v>
      </c>
      <c r="D1265" s="2" t="s">
        <v>155</v>
      </c>
      <c r="E1265" s="2" t="s">
        <v>155</v>
      </c>
      <c r="F1265" s="30">
        <v>45809</v>
      </c>
      <c r="G1265" s="2">
        <f>DAY(EOMONTH(TA[[#This Row],[Month Year]],0))</f>
        <v>30</v>
      </c>
      <c r="H1265" s="21">
        <v>45834</v>
      </c>
      <c r="I1265" s="32">
        <f>IFERROR(VLOOKUP(TA[[#This Row],[Date]],Raw_Data[[Date]:[Sunset Time (POA&lt;20 W/m2)]],3,0),"")</f>
        <v>0.25694444444444442</v>
      </c>
      <c r="J1265" s="32">
        <f>IFERROR(VLOOKUP(TA[[#This Row],[Date]],Raw_Data[[Date]:[Sunset Time (POA&lt;20 W/m2)]],4,0),"")</f>
        <v>0.78125</v>
      </c>
      <c r="K1265" s="27">
        <f>IFERROR((TA[[#This Row],[Sunset Time (POA&lt;20 W/m2)]]-TA[[#This Row],[Sunrise Time (POA&gt;20 W/m2)]])*24,"")</f>
        <v>12.583333333333334</v>
      </c>
      <c r="L1265" s="2" t="s">
        <v>285</v>
      </c>
      <c r="M1265" s="33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14" t="s">
        <v>309</v>
      </c>
      <c r="Q1265" s="113" t="s">
        <v>309</v>
      </c>
      <c r="R1265">
        <v>131</v>
      </c>
      <c r="S1265" s="2">
        <v>38</v>
      </c>
      <c r="T1265" t="s">
        <v>286</v>
      </c>
      <c r="U1265" t="s">
        <v>291</v>
      </c>
      <c r="V1265" t="s">
        <v>289</v>
      </c>
      <c r="W1265" s="32"/>
      <c r="X1265" s="32"/>
      <c r="Y1265" s="26"/>
      <c r="Z1265" s="26"/>
      <c r="AA1265" s="27">
        <f>IF(TA[[#This Row],[Work Start time on Fault]]="NA","",(TA[[#This Row],[Fault Acknowledgement Time ]]-TA[[#This Row],[Fault Time]])*24)</f>
        <v>0</v>
      </c>
      <c r="AB1265" s="27">
        <f>(TA[[#This Row],[Work Start time on Fault]]-TA[[#This Row],[Fault Time]])*24</f>
        <v>0</v>
      </c>
      <c r="AC1265" s="26">
        <f>(TA[[#This Row],[Work Completion time on fault]]-TA[[#This Row],[Fault Time]])*24</f>
        <v>0</v>
      </c>
      <c r="AD1265" s="27">
        <f>IFERROR((TA[[#This Row],[Work Completion time on fault]]-TA[[#This Row],[Fault Time]])*24,"")</f>
        <v>0</v>
      </c>
      <c r="AE1265" t="s">
        <v>319</v>
      </c>
      <c r="AF1265" t="s">
        <v>247</v>
      </c>
      <c r="AG1265" s="2"/>
      <c r="AH1265" s="35">
        <f>1-COS(RADIANS(TA[[#This Row],[Avg. Target Angle during Fault Time (Radians)]]-TA[[#This Row],[Angle of affected equipment ]]))</f>
        <v>0.11705240714107301</v>
      </c>
      <c r="AI1265" s="27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43">
        <f t="shared" si="143"/>
        <v>2026</v>
      </c>
      <c r="C1266" s="116">
        <f t="shared" si="144"/>
        <v>2025</v>
      </c>
      <c r="D1266" s="2" t="s">
        <v>155</v>
      </c>
      <c r="E1266" s="2" t="s">
        <v>155</v>
      </c>
      <c r="F1266" s="30">
        <v>45809</v>
      </c>
      <c r="G1266" s="2">
        <f>DAY(EOMONTH(TA[[#This Row],[Month Year]],0))</f>
        <v>30</v>
      </c>
      <c r="H1266" s="21">
        <v>45834</v>
      </c>
      <c r="I1266" s="32">
        <f>IFERROR(VLOOKUP(TA[[#This Row],[Date]],Raw_Data[[Date]:[Sunset Time (POA&lt;20 W/m2)]],3,0),"")</f>
        <v>0.25694444444444442</v>
      </c>
      <c r="J1266" s="32">
        <f>IFERROR(VLOOKUP(TA[[#This Row],[Date]],Raw_Data[[Date]:[Sunset Time (POA&lt;20 W/m2)]],4,0),"")</f>
        <v>0.78125</v>
      </c>
      <c r="K1266" s="27">
        <f>IFERROR((TA[[#This Row],[Sunset Time (POA&lt;20 W/m2)]]-TA[[#This Row],[Sunrise Time (POA&gt;20 W/m2)]])*24,"")</f>
        <v>12.583333333333334</v>
      </c>
      <c r="L1266" s="2" t="s">
        <v>285</v>
      </c>
      <c r="M1266" s="33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14" t="s">
        <v>309</v>
      </c>
      <c r="Q1266" s="113" t="s">
        <v>309</v>
      </c>
      <c r="R1266">
        <v>131</v>
      </c>
      <c r="S1266" s="2">
        <v>39</v>
      </c>
      <c r="T1266" t="s">
        <v>286</v>
      </c>
      <c r="U1266" t="s">
        <v>291</v>
      </c>
      <c r="V1266" t="s">
        <v>289</v>
      </c>
      <c r="W1266" s="32"/>
      <c r="X1266" s="32"/>
      <c r="Y1266" s="26"/>
      <c r="Z1266" s="26"/>
      <c r="AA1266" s="27">
        <f>IF(TA[[#This Row],[Work Start time on Fault]]="NA","",(TA[[#This Row],[Fault Acknowledgement Time ]]-TA[[#This Row],[Fault Time]])*24)</f>
        <v>0</v>
      </c>
      <c r="AB1266" s="27">
        <f>(TA[[#This Row],[Work Start time on Fault]]-TA[[#This Row],[Fault Time]])*24</f>
        <v>0</v>
      </c>
      <c r="AC1266" s="26">
        <f>(TA[[#This Row],[Work Completion time on fault]]-TA[[#This Row],[Fault Time]])*24</f>
        <v>0</v>
      </c>
      <c r="AD1266" s="27">
        <f>IFERROR((TA[[#This Row],[Work Completion time on fault]]-TA[[#This Row],[Fault Time]])*24,"")</f>
        <v>0</v>
      </c>
      <c r="AE1266" t="s">
        <v>319</v>
      </c>
      <c r="AF1266" t="s">
        <v>247</v>
      </c>
      <c r="AG1266" s="2"/>
      <c r="AH1266" s="35">
        <f>1-COS(RADIANS(TA[[#This Row],[Avg. Target Angle during Fault Time (Radians)]]-TA[[#This Row],[Angle of affected equipment ]]))</f>
        <v>0.11705240714107301</v>
      </c>
      <c r="AI1266" s="27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43">
        <f t="shared" si="143"/>
        <v>2026</v>
      </c>
      <c r="C1267" s="116">
        <f t="shared" si="144"/>
        <v>2025</v>
      </c>
      <c r="D1267" s="2" t="s">
        <v>155</v>
      </c>
      <c r="E1267" s="2" t="s">
        <v>155</v>
      </c>
      <c r="F1267" s="30">
        <v>45809</v>
      </c>
      <c r="G1267" s="2">
        <f>DAY(EOMONTH(TA[[#This Row],[Month Year]],0))</f>
        <v>30</v>
      </c>
      <c r="H1267" s="21">
        <v>45834</v>
      </c>
      <c r="I1267" s="32">
        <f>IFERROR(VLOOKUP(TA[[#This Row],[Date]],Raw_Data[[Date]:[Sunset Time (POA&lt;20 W/m2)]],3,0),"")</f>
        <v>0.25694444444444442</v>
      </c>
      <c r="J1267" s="32">
        <f>IFERROR(VLOOKUP(TA[[#This Row],[Date]],Raw_Data[[Date]:[Sunset Time (POA&lt;20 W/m2)]],4,0),"")</f>
        <v>0.78125</v>
      </c>
      <c r="K1267" s="27">
        <f>IFERROR((TA[[#This Row],[Sunset Time (POA&lt;20 W/m2)]]-TA[[#This Row],[Sunrise Time (POA&gt;20 W/m2)]])*24,"")</f>
        <v>12.583333333333334</v>
      </c>
      <c r="L1267" s="2" t="s">
        <v>287</v>
      </c>
      <c r="M1267" s="33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14" t="s">
        <v>309</v>
      </c>
      <c r="Q1267" s="2" t="s">
        <v>312</v>
      </c>
      <c r="R1267">
        <v>133</v>
      </c>
      <c r="S1267" s="2">
        <v>26</v>
      </c>
      <c r="T1267" t="s">
        <v>288</v>
      </c>
      <c r="U1267" t="s">
        <v>291</v>
      </c>
      <c r="V1267" t="s">
        <v>305</v>
      </c>
      <c r="W1267" s="32">
        <f>IFERROR(VLOOKUP(TA[[#This Row],[Date]],Raw_Data[[Date]:[Sunset Time (POA&lt;20 W/m2)]],3,0),"")</f>
        <v>0.25694444444444442</v>
      </c>
      <c r="X1267" s="32">
        <f>IFERROR(VLOOKUP(TA[[#This Row],[Date]],Raw_Data[[Date]:[Sunset Time (POA&lt;20 W/m2)]],3,0),"")</f>
        <v>0.25694444444444442</v>
      </c>
      <c r="Y1267" s="26"/>
      <c r="Z1267" s="26">
        <v>0.76041666666666663</v>
      </c>
      <c r="AA1267" s="27">
        <f>IF(TA[[#This Row],[Work Start time on Fault]]="NA","",(TA[[#This Row],[Fault Acknowledgement Time ]]-TA[[#This Row],[Fault Time]])*24)</f>
        <v>0</v>
      </c>
      <c r="AB1267" s="27">
        <f>(TA[[#This Row],[Work Start time on Fault]]-TA[[#This Row],[Fault Time]])*24</f>
        <v>-6.1666666666666661</v>
      </c>
      <c r="AC1267" s="26">
        <f>(TA[[#This Row],[Work Completion time on fault]]-TA[[#This Row],[Fault Time]])*24</f>
        <v>12.083333333333332</v>
      </c>
      <c r="AD1267" s="27">
        <f>IFERROR((TA[[#This Row],[Work Completion time on fault]]-TA[[#This Row],[Fault Time]])*24,"")</f>
        <v>12.083333333333332</v>
      </c>
      <c r="AE1267" t="s">
        <v>319</v>
      </c>
      <c r="AF1267" t="s">
        <v>247</v>
      </c>
      <c r="AG1267" s="2"/>
      <c r="AH1267" s="35">
        <f>1-COS(RADIANS(TA[[#This Row],[Avg. Target Angle during Fault Time (Radians)]]-TA[[#This Row],[Angle of affected equipment ]]))</f>
        <v>0.11705240714107301</v>
      </c>
      <c r="AI1267" s="27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43">
        <f t="shared" si="143"/>
        <v>2026</v>
      </c>
      <c r="C1268" s="116">
        <f t="shared" si="144"/>
        <v>2025</v>
      </c>
      <c r="D1268" s="2" t="s">
        <v>155</v>
      </c>
      <c r="E1268" s="2" t="s">
        <v>155</v>
      </c>
      <c r="F1268" s="30">
        <v>45809</v>
      </c>
      <c r="G1268" s="2">
        <f>DAY(EOMONTH(TA[[#This Row],[Month Year]],0))</f>
        <v>30</v>
      </c>
      <c r="H1268" s="21">
        <v>45834</v>
      </c>
      <c r="I1268" s="32">
        <f>IFERROR(VLOOKUP(TA[[#This Row],[Date]],Raw_Data[[Date]:[Sunset Time (POA&lt;20 W/m2)]],3,0),"")</f>
        <v>0.25694444444444442</v>
      </c>
      <c r="J1268" s="32">
        <f>IFERROR(VLOOKUP(TA[[#This Row],[Date]],Raw_Data[[Date]:[Sunset Time (POA&lt;20 W/m2)]],4,0),"")</f>
        <v>0.78125</v>
      </c>
      <c r="K1268" s="27">
        <f>IFERROR((TA[[#This Row],[Sunset Time (POA&lt;20 W/m2)]]-TA[[#This Row],[Sunrise Time (POA&gt;20 W/m2)]])*24,"")</f>
        <v>12.583333333333334</v>
      </c>
      <c r="L1268" s="2" t="s">
        <v>285</v>
      </c>
      <c r="M1268" s="33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14" t="s">
        <v>307</v>
      </c>
      <c r="Q1268" s="113" t="s">
        <v>308</v>
      </c>
      <c r="R1268">
        <v>7</v>
      </c>
      <c r="S1268" s="2">
        <v>32</v>
      </c>
      <c r="T1268" t="s">
        <v>286</v>
      </c>
      <c r="U1268" t="s">
        <v>291</v>
      </c>
      <c r="V1268" t="s">
        <v>289</v>
      </c>
      <c r="W1268" s="32"/>
      <c r="X1268" s="32"/>
      <c r="Y1268" s="26"/>
      <c r="Z1268" s="26"/>
      <c r="AA1268" s="27">
        <f>IF(TA[[#This Row],[Work Start time on Fault]]="NA","",(TA[[#This Row],[Fault Acknowledgement Time ]]-TA[[#This Row],[Fault Time]])*24)</f>
        <v>0</v>
      </c>
      <c r="AB1268" s="27">
        <f>(TA[[#This Row],[Work Start time on Fault]]-TA[[#This Row],[Fault Time]])*24</f>
        <v>0</v>
      </c>
      <c r="AC1268" s="26">
        <f>(TA[[#This Row],[Work Completion time on fault]]-TA[[#This Row],[Fault Time]])*24</f>
        <v>0</v>
      </c>
      <c r="AD1268" s="27">
        <f>IFERROR((TA[[#This Row],[Work Completion time on fault]]-TA[[#This Row],[Fault Time]])*24,"")</f>
        <v>0</v>
      </c>
      <c r="AE1268" t="s">
        <v>319</v>
      </c>
      <c r="AF1268" t="s">
        <v>247</v>
      </c>
      <c r="AG1268" s="2"/>
      <c r="AH1268" s="35">
        <f>1-COS(RADIANS(TA[[#This Row],[Avg. Target Angle during Fault Time (Radians)]]-TA[[#This Row],[Angle of affected equipment ]]))</f>
        <v>0.11705240714107301</v>
      </c>
      <c r="AI1268" s="27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43">
        <f t="shared" si="143"/>
        <v>2026</v>
      </c>
      <c r="C1269" s="116">
        <f t="shared" si="144"/>
        <v>2025</v>
      </c>
      <c r="D1269" s="2" t="s">
        <v>155</v>
      </c>
      <c r="E1269" s="2" t="s">
        <v>155</v>
      </c>
      <c r="F1269" s="30">
        <v>45809</v>
      </c>
      <c r="G1269" s="2">
        <f>DAY(EOMONTH(TA[[#This Row],[Month Year]],0))</f>
        <v>30</v>
      </c>
      <c r="H1269" s="21">
        <v>45834</v>
      </c>
      <c r="I1269" s="32">
        <f>IFERROR(VLOOKUP(TA[[#This Row],[Date]],Raw_Data[[Date]:[Sunset Time (POA&lt;20 W/m2)]],3,0),"")</f>
        <v>0.25694444444444442</v>
      </c>
      <c r="J1269" s="32">
        <f>IFERROR(VLOOKUP(TA[[#This Row],[Date]],Raw_Data[[Date]:[Sunset Time (POA&lt;20 W/m2)]],4,0),"")</f>
        <v>0.78125</v>
      </c>
      <c r="K1269" s="27">
        <f>IFERROR((TA[[#This Row],[Sunset Time (POA&lt;20 W/m2)]]-TA[[#This Row],[Sunrise Time (POA&gt;20 W/m2)]])*24,"")</f>
        <v>12.583333333333334</v>
      </c>
      <c r="L1269" s="2" t="s">
        <v>285</v>
      </c>
      <c r="M1269" s="33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14" t="s">
        <v>306</v>
      </c>
      <c r="Q1269" s="113" t="s">
        <v>310</v>
      </c>
      <c r="R1269">
        <v>166</v>
      </c>
      <c r="S1269" s="2">
        <v>91</v>
      </c>
      <c r="T1269" t="s">
        <v>286</v>
      </c>
      <c r="U1269" t="s">
        <v>291</v>
      </c>
      <c r="V1269" t="s">
        <v>289</v>
      </c>
      <c r="W1269" s="32"/>
      <c r="X1269" s="32"/>
      <c r="Y1269" s="26"/>
      <c r="Z1269" s="26"/>
      <c r="AA1269" s="27">
        <f>IF(TA[[#This Row],[Work Start time on Fault]]="NA","",(TA[[#This Row],[Fault Acknowledgement Time ]]-TA[[#This Row],[Fault Time]])*24)</f>
        <v>0</v>
      </c>
      <c r="AB1269" s="27">
        <f>(TA[[#This Row],[Work Start time on Fault]]-TA[[#This Row],[Fault Time]])*24</f>
        <v>0</v>
      </c>
      <c r="AC1269" s="26">
        <f>(TA[[#This Row],[Work Completion time on fault]]-TA[[#This Row],[Fault Time]])*24</f>
        <v>0</v>
      </c>
      <c r="AD1269" s="27">
        <f>IFERROR((TA[[#This Row],[Work Completion time on fault]]-TA[[#This Row],[Fault Time]])*24,"")</f>
        <v>0</v>
      </c>
      <c r="AE1269" t="s">
        <v>319</v>
      </c>
      <c r="AF1269" t="s">
        <v>247</v>
      </c>
      <c r="AG1269" s="2"/>
      <c r="AH1269" s="35">
        <f>1-COS(RADIANS(TA[[#This Row],[Avg. Target Angle during Fault Time (Radians)]]-TA[[#This Row],[Angle of affected equipment ]]))</f>
        <v>0.11705240714107301</v>
      </c>
      <c r="AI1269" s="27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43">
        <f t="shared" si="143"/>
        <v>2026</v>
      </c>
      <c r="C1270" s="116">
        <f t="shared" si="144"/>
        <v>2025</v>
      </c>
      <c r="D1270" s="2" t="s">
        <v>155</v>
      </c>
      <c r="E1270" s="2" t="s">
        <v>155</v>
      </c>
      <c r="F1270" s="30">
        <v>45809</v>
      </c>
      <c r="G1270" s="2">
        <f>DAY(EOMONTH(TA[[#This Row],[Month Year]],0))</f>
        <v>30</v>
      </c>
      <c r="H1270" s="21">
        <v>45834</v>
      </c>
      <c r="I1270" s="32">
        <f>IFERROR(VLOOKUP(TA[[#This Row],[Date]],Raw_Data[[Date]:[Sunset Time (POA&lt;20 W/m2)]],3,0),"")</f>
        <v>0.25694444444444442</v>
      </c>
      <c r="J1270" s="32">
        <f>IFERROR(VLOOKUP(TA[[#This Row],[Date]],Raw_Data[[Date]:[Sunset Time (POA&lt;20 W/m2)]],4,0),"")</f>
        <v>0.78125</v>
      </c>
      <c r="K1270" s="27">
        <f>IFERROR((TA[[#This Row],[Sunset Time (POA&lt;20 W/m2)]]-TA[[#This Row],[Sunrise Time (POA&gt;20 W/m2)]])*24,"")</f>
        <v>12.583333333333334</v>
      </c>
      <c r="L1270" s="2" t="s">
        <v>285</v>
      </c>
      <c r="M1270" s="33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14" t="s">
        <v>307</v>
      </c>
      <c r="Q1270" s="113" t="s">
        <v>307</v>
      </c>
      <c r="R1270">
        <v>117</v>
      </c>
      <c r="S1270" s="2">
        <v>20</v>
      </c>
      <c r="T1270" t="s">
        <v>286</v>
      </c>
      <c r="U1270" t="s">
        <v>291</v>
      </c>
      <c r="V1270" t="s">
        <v>289</v>
      </c>
      <c r="W1270" s="32"/>
      <c r="X1270" s="32"/>
      <c r="Y1270" s="26"/>
      <c r="Z1270" s="26"/>
      <c r="AA1270" s="27">
        <f>IF(TA[[#This Row],[Work Start time on Fault]]="NA","",(TA[[#This Row],[Fault Acknowledgement Time ]]-TA[[#This Row],[Fault Time]])*24)</f>
        <v>0</v>
      </c>
      <c r="AB1270" s="27">
        <f>(TA[[#This Row],[Work Start time on Fault]]-TA[[#This Row],[Fault Time]])*24</f>
        <v>0</v>
      </c>
      <c r="AC1270" s="26">
        <f>(TA[[#This Row],[Work Completion time on fault]]-TA[[#This Row],[Fault Time]])*24</f>
        <v>0</v>
      </c>
      <c r="AD1270" s="27">
        <f>IFERROR((TA[[#This Row],[Work Completion time on fault]]-TA[[#This Row],[Fault Time]])*24,"")</f>
        <v>0</v>
      </c>
      <c r="AE1270" t="s">
        <v>319</v>
      </c>
      <c r="AF1270" t="s">
        <v>247</v>
      </c>
      <c r="AG1270" s="2"/>
      <c r="AH1270" s="35">
        <f>1-COS(RADIANS(TA[[#This Row],[Avg. Target Angle during Fault Time (Radians)]]-TA[[#This Row],[Angle of affected equipment ]]))</f>
        <v>0.11705240714107301</v>
      </c>
      <c r="AI1270" s="27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43">
        <f t="shared" si="143"/>
        <v>2026</v>
      </c>
      <c r="C1271" s="116">
        <f t="shared" si="144"/>
        <v>2025</v>
      </c>
      <c r="D1271" s="2" t="s">
        <v>155</v>
      </c>
      <c r="E1271" s="2" t="s">
        <v>155</v>
      </c>
      <c r="F1271" s="30">
        <v>45809</v>
      </c>
      <c r="G1271" s="2">
        <f>DAY(EOMONTH(TA[[#This Row],[Month Year]],0))</f>
        <v>30</v>
      </c>
      <c r="H1271" s="21">
        <v>45834</v>
      </c>
      <c r="I1271" s="32">
        <f>IFERROR(VLOOKUP(TA[[#This Row],[Date]],Raw_Data[[Date]:[Sunset Time (POA&lt;20 W/m2)]],3,0),"")</f>
        <v>0.25694444444444442</v>
      </c>
      <c r="J1271" s="32">
        <f>IFERROR(VLOOKUP(TA[[#This Row],[Date]],Raw_Data[[Date]:[Sunset Time (POA&lt;20 W/m2)]],4,0),"")</f>
        <v>0.78125</v>
      </c>
      <c r="K1271" s="27">
        <f>IFERROR((TA[[#This Row],[Sunset Time (POA&lt;20 W/m2)]]-TA[[#This Row],[Sunrise Time (POA&gt;20 W/m2)]])*24,"")</f>
        <v>12.583333333333334</v>
      </c>
      <c r="L1271" s="2" t="s">
        <v>285</v>
      </c>
      <c r="M1271" s="33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14" t="s">
        <v>307</v>
      </c>
      <c r="Q1271" s="113" t="s">
        <v>307</v>
      </c>
      <c r="R1271">
        <v>118</v>
      </c>
      <c r="S1271" s="2">
        <v>22</v>
      </c>
      <c r="T1271" t="s">
        <v>286</v>
      </c>
      <c r="U1271" t="s">
        <v>291</v>
      </c>
      <c r="V1271" t="s">
        <v>289</v>
      </c>
      <c r="W1271" s="32"/>
      <c r="X1271" s="32"/>
      <c r="Y1271" s="26"/>
      <c r="Z1271" s="26"/>
      <c r="AA1271" s="27">
        <f>IF(TA[[#This Row],[Work Start time on Fault]]="NA","",(TA[[#This Row],[Fault Acknowledgement Time ]]-TA[[#This Row],[Fault Time]])*24)</f>
        <v>0</v>
      </c>
      <c r="AB1271" s="27">
        <f>(TA[[#This Row],[Work Start time on Fault]]-TA[[#This Row],[Fault Time]])*24</f>
        <v>0</v>
      </c>
      <c r="AC1271" s="26">
        <f>(TA[[#This Row],[Work Completion time on fault]]-TA[[#This Row],[Fault Time]])*24</f>
        <v>0</v>
      </c>
      <c r="AD1271" s="27">
        <f>IFERROR((TA[[#This Row],[Work Completion time on fault]]-TA[[#This Row],[Fault Time]])*24,"")</f>
        <v>0</v>
      </c>
      <c r="AE1271" t="s">
        <v>319</v>
      </c>
      <c r="AF1271" t="s">
        <v>247</v>
      </c>
      <c r="AG1271" s="2"/>
      <c r="AH1271" s="35">
        <f>1-COS(RADIANS(TA[[#This Row],[Avg. Target Angle during Fault Time (Radians)]]-TA[[#This Row],[Angle of affected equipment ]]))</f>
        <v>0.11705240714107301</v>
      </c>
      <c r="AI1271" s="27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43">
        <f t="shared" si="143"/>
        <v>2026</v>
      </c>
      <c r="C1272" s="116">
        <f t="shared" si="144"/>
        <v>2025</v>
      </c>
      <c r="D1272" s="2" t="s">
        <v>155</v>
      </c>
      <c r="E1272" s="2" t="s">
        <v>155</v>
      </c>
      <c r="F1272" s="30">
        <v>45809</v>
      </c>
      <c r="G1272" s="2">
        <f>DAY(EOMONTH(TA[[#This Row],[Month Year]],0))</f>
        <v>30</v>
      </c>
      <c r="H1272" s="21">
        <v>45834</v>
      </c>
      <c r="I1272" s="32">
        <f>IFERROR(VLOOKUP(TA[[#This Row],[Date]],Raw_Data[[Date]:[Sunset Time (POA&lt;20 W/m2)]],3,0),"")</f>
        <v>0.25694444444444442</v>
      </c>
      <c r="J1272" s="32">
        <f>IFERROR(VLOOKUP(TA[[#This Row],[Date]],Raw_Data[[Date]:[Sunset Time (POA&lt;20 W/m2)]],4,0),"")</f>
        <v>0.78125</v>
      </c>
      <c r="K1272" s="27">
        <f>IFERROR((TA[[#This Row],[Sunset Time (POA&lt;20 W/m2)]]-TA[[#This Row],[Sunrise Time (POA&gt;20 W/m2)]])*24,"")</f>
        <v>12.583333333333334</v>
      </c>
      <c r="L1272" s="2" t="s">
        <v>287</v>
      </c>
      <c r="M1272" s="33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314</v>
      </c>
      <c r="Q1272" s="2" t="s">
        <v>320</v>
      </c>
      <c r="R1272">
        <v>45</v>
      </c>
      <c r="S1272" s="2">
        <v>8</v>
      </c>
      <c r="T1272" t="s">
        <v>288</v>
      </c>
      <c r="U1272" t="s">
        <v>291</v>
      </c>
      <c r="V1272" t="s">
        <v>292</v>
      </c>
      <c r="W1272" s="32"/>
      <c r="X1272" s="32"/>
      <c r="Y1272" s="26"/>
      <c r="Z1272" s="26"/>
      <c r="AA1272" s="27">
        <f>IF(TA[[#This Row],[Work Start time on Fault]]="NA","",(TA[[#This Row],[Fault Acknowledgement Time ]]-TA[[#This Row],[Fault Time]])*24)</f>
        <v>0</v>
      </c>
      <c r="AB1272" s="27">
        <f>(TA[[#This Row],[Work Start time on Fault]]-TA[[#This Row],[Fault Time]])*24</f>
        <v>0</v>
      </c>
      <c r="AC1272" s="26">
        <f>(TA[[#This Row],[Work Completion time on fault]]-TA[[#This Row],[Fault Time]])*24</f>
        <v>0</v>
      </c>
      <c r="AD1272" s="27">
        <f>IFERROR((TA[[#This Row],[Work Completion time on fault]]-TA[[#This Row],[Fault Time]])*24,"")</f>
        <v>0</v>
      </c>
      <c r="AE1272" t="s">
        <v>319</v>
      </c>
      <c r="AF1272" t="s">
        <v>247</v>
      </c>
      <c r="AG1272" s="2"/>
      <c r="AH1272" s="35">
        <f>1-COS(RADIANS(TA[[#This Row],[Avg. Target Angle during Fault Time (Radians)]]-TA[[#This Row],[Angle of affected equipment ]]))</f>
        <v>0.11705240714107301</v>
      </c>
      <c r="AI1272" s="27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43">
        <f t="shared" si="143"/>
        <v>2026</v>
      </c>
      <c r="C1273" s="116">
        <f t="shared" si="144"/>
        <v>2025</v>
      </c>
      <c r="D1273" s="2" t="s">
        <v>155</v>
      </c>
      <c r="E1273" s="2" t="s">
        <v>155</v>
      </c>
      <c r="F1273" s="30">
        <v>45809</v>
      </c>
      <c r="G1273" s="2">
        <f>DAY(EOMONTH(TA[[#This Row],[Month Year]],0))</f>
        <v>30</v>
      </c>
      <c r="H1273" s="21">
        <v>45834</v>
      </c>
      <c r="I1273" s="32">
        <f>IFERROR(VLOOKUP(TA[[#This Row],[Date]],Raw_Data[[Date]:[Sunset Time (POA&lt;20 W/m2)]],3,0),"")</f>
        <v>0.25694444444444442</v>
      </c>
      <c r="J1273" s="32">
        <f>IFERROR(VLOOKUP(TA[[#This Row],[Date]],Raw_Data[[Date]:[Sunset Time (POA&lt;20 W/m2)]],4,0),"")</f>
        <v>0.78125</v>
      </c>
      <c r="K1273" s="27">
        <f>IFERROR((TA[[#This Row],[Sunset Time (POA&lt;20 W/m2)]]-TA[[#This Row],[Sunrise Time (POA&gt;20 W/m2)]])*24,"")</f>
        <v>12.583333333333334</v>
      </c>
      <c r="L1273" s="2" t="s">
        <v>287</v>
      </c>
      <c r="M1273" s="33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314</v>
      </c>
      <c r="Q1273" s="2" t="s">
        <v>320</v>
      </c>
      <c r="R1273">
        <v>47</v>
      </c>
      <c r="S1273" s="2">
        <v>18</v>
      </c>
      <c r="T1273" t="s">
        <v>288</v>
      </c>
      <c r="U1273" t="s">
        <v>291</v>
      </c>
      <c r="V1273" t="s">
        <v>292</v>
      </c>
      <c r="W1273" s="32"/>
      <c r="X1273" s="32"/>
      <c r="Y1273" s="26"/>
      <c r="Z1273" s="26"/>
      <c r="AA1273" s="27">
        <f>IF(TA[[#This Row],[Work Start time on Fault]]="NA","",(TA[[#This Row],[Fault Acknowledgement Time ]]-TA[[#This Row],[Fault Time]])*24)</f>
        <v>0</v>
      </c>
      <c r="AB1273" s="27">
        <f>(TA[[#This Row],[Work Start time on Fault]]-TA[[#This Row],[Fault Time]])*24</f>
        <v>0</v>
      </c>
      <c r="AC1273" s="26">
        <f>(TA[[#This Row],[Work Completion time on fault]]-TA[[#This Row],[Fault Time]])*24</f>
        <v>0</v>
      </c>
      <c r="AD1273" s="27">
        <f>IFERROR((TA[[#This Row],[Work Completion time on fault]]-TA[[#This Row],[Fault Time]])*24,"")</f>
        <v>0</v>
      </c>
      <c r="AE1273" t="s">
        <v>319</v>
      </c>
      <c r="AF1273" t="s">
        <v>247</v>
      </c>
      <c r="AG1273" s="2"/>
      <c r="AH1273" s="35">
        <f>1-COS(RADIANS(TA[[#This Row],[Avg. Target Angle during Fault Time (Radians)]]-TA[[#This Row],[Angle of affected equipment ]]))</f>
        <v>0.11705240714107301</v>
      </c>
      <c r="AI1273" s="27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43">
        <f t="shared" si="143"/>
        <v>2026</v>
      </c>
      <c r="C1274" s="116">
        <f t="shared" si="144"/>
        <v>2025</v>
      </c>
      <c r="D1274" s="2" t="s">
        <v>155</v>
      </c>
      <c r="E1274" s="2" t="s">
        <v>155</v>
      </c>
      <c r="F1274" s="30">
        <v>45809</v>
      </c>
      <c r="G1274" s="2">
        <f>DAY(EOMONTH(TA[[#This Row],[Month Year]],0))</f>
        <v>30</v>
      </c>
      <c r="H1274" s="21">
        <v>45834</v>
      </c>
      <c r="I1274" s="32">
        <f>IFERROR(VLOOKUP(TA[[#This Row],[Date]],Raw_Data[[Date]:[Sunset Time (POA&lt;20 W/m2)]],3,0),"")</f>
        <v>0.25694444444444442</v>
      </c>
      <c r="J1274" s="32">
        <f>IFERROR(VLOOKUP(TA[[#This Row],[Date]],Raw_Data[[Date]:[Sunset Time (POA&lt;20 W/m2)]],4,0),"")</f>
        <v>0.78125</v>
      </c>
      <c r="K1274" s="27">
        <f>IFERROR((TA[[#This Row],[Sunset Time (POA&lt;20 W/m2)]]-TA[[#This Row],[Sunrise Time (POA&gt;20 W/m2)]])*24,"")</f>
        <v>12.583333333333334</v>
      </c>
      <c r="L1274" s="2" t="s">
        <v>287</v>
      </c>
      <c r="M1274" s="33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321</v>
      </c>
      <c r="Q1274" s="2" t="s">
        <v>314</v>
      </c>
      <c r="R1274">
        <v>30</v>
      </c>
      <c r="S1274" s="2">
        <v>57</v>
      </c>
      <c r="T1274" t="s">
        <v>288</v>
      </c>
      <c r="U1274" t="s">
        <v>291</v>
      </c>
      <c r="V1274" t="s">
        <v>292</v>
      </c>
      <c r="W1274" s="32"/>
      <c r="X1274" s="32"/>
      <c r="Y1274" s="26"/>
      <c r="Z1274" s="26"/>
      <c r="AA1274" s="27">
        <f>IF(TA[[#This Row],[Work Start time on Fault]]="NA","",(TA[[#This Row],[Fault Acknowledgement Time ]]-TA[[#This Row],[Fault Time]])*24)</f>
        <v>0</v>
      </c>
      <c r="AB1274" s="27">
        <f>(TA[[#This Row],[Work Start time on Fault]]-TA[[#This Row],[Fault Time]])*24</f>
        <v>0</v>
      </c>
      <c r="AC1274" s="26">
        <f>(TA[[#This Row],[Work Completion time on fault]]-TA[[#This Row],[Fault Time]])*24</f>
        <v>0</v>
      </c>
      <c r="AD1274" s="27">
        <f>IFERROR((TA[[#This Row],[Work Completion time on fault]]-TA[[#This Row],[Fault Time]])*24,"")</f>
        <v>0</v>
      </c>
      <c r="AE1274" t="s">
        <v>319</v>
      </c>
      <c r="AF1274" t="s">
        <v>247</v>
      </c>
      <c r="AG1274" s="2"/>
      <c r="AH1274" s="35">
        <f>1-COS(RADIANS(TA[[#This Row],[Avg. Target Angle during Fault Time (Radians)]]-TA[[#This Row],[Angle of affected equipment ]]))</f>
        <v>0.11705240714107301</v>
      </c>
      <c r="AI1274" s="27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43">
        <f t="shared" si="143"/>
        <v>2026</v>
      </c>
      <c r="C1275" s="116">
        <f t="shared" si="144"/>
        <v>2025</v>
      </c>
      <c r="D1275" s="2" t="s">
        <v>155</v>
      </c>
      <c r="E1275" s="2" t="s">
        <v>155</v>
      </c>
      <c r="F1275" s="30">
        <v>45809</v>
      </c>
      <c r="G1275" s="2">
        <f>DAY(EOMONTH(TA[[#This Row],[Month Year]],0))</f>
        <v>30</v>
      </c>
      <c r="H1275" s="21">
        <v>45834</v>
      </c>
      <c r="I1275" s="32">
        <f>IFERROR(VLOOKUP(TA[[#This Row],[Date]],Raw_Data[[Date]:[Sunset Time (POA&lt;20 W/m2)]],3,0),"")</f>
        <v>0.25694444444444442</v>
      </c>
      <c r="J1275" s="32">
        <f>IFERROR(VLOOKUP(TA[[#This Row],[Date]],Raw_Data[[Date]:[Sunset Time (POA&lt;20 W/m2)]],4,0),"")</f>
        <v>0.78125</v>
      </c>
      <c r="K1275" s="27">
        <f>IFERROR((TA[[#This Row],[Sunset Time (POA&lt;20 W/m2)]]-TA[[#This Row],[Sunrise Time (POA&gt;20 W/m2)]])*24,"")</f>
        <v>12.583333333333334</v>
      </c>
      <c r="L1275" s="2" t="s">
        <v>287</v>
      </c>
      <c r="M1275" s="33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321</v>
      </c>
      <c r="Q1275" s="2" t="s">
        <v>314</v>
      </c>
      <c r="R1275">
        <v>31</v>
      </c>
      <c r="S1275" s="2">
        <v>61</v>
      </c>
      <c r="T1275" t="s">
        <v>288</v>
      </c>
      <c r="U1275" t="s">
        <v>291</v>
      </c>
      <c r="V1275" t="s">
        <v>292</v>
      </c>
      <c r="W1275" s="32"/>
      <c r="X1275" s="32"/>
      <c r="Y1275" s="26"/>
      <c r="Z1275" s="26"/>
      <c r="AA1275" s="27">
        <f>IF(TA[[#This Row],[Work Start time on Fault]]="NA","",(TA[[#This Row],[Fault Acknowledgement Time ]]-TA[[#This Row],[Fault Time]])*24)</f>
        <v>0</v>
      </c>
      <c r="AB1275" s="27">
        <f>(TA[[#This Row],[Work Start time on Fault]]-TA[[#This Row],[Fault Time]])*24</f>
        <v>0</v>
      </c>
      <c r="AC1275" s="26">
        <f>(TA[[#This Row],[Work Completion time on fault]]-TA[[#This Row],[Fault Time]])*24</f>
        <v>0</v>
      </c>
      <c r="AD1275" s="27">
        <f>IFERROR((TA[[#This Row],[Work Completion time on fault]]-TA[[#This Row],[Fault Time]])*24,"")</f>
        <v>0</v>
      </c>
      <c r="AE1275" t="s">
        <v>319</v>
      </c>
      <c r="AF1275" t="s">
        <v>247</v>
      </c>
      <c r="AG1275" s="2"/>
      <c r="AH1275" s="35">
        <f>1-COS(RADIANS(TA[[#This Row],[Avg. Target Angle during Fault Time (Radians)]]-TA[[#This Row],[Angle of affected equipment ]]))</f>
        <v>0.11705240714107301</v>
      </c>
      <c r="AI1275" s="27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43">
        <f t="shared" si="143"/>
        <v>2026</v>
      </c>
      <c r="C1276" s="116">
        <f t="shared" si="144"/>
        <v>2025</v>
      </c>
      <c r="D1276" s="2" t="s">
        <v>155</v>
      </c>
      <c r="E1276" s="2" t="s">
        <v>155</v>
      </c>
      <c r="F1276" s="30">
        <v>45809</v>
      </c>
      <c r="G1276" s="2">
        <f>DAY(EOMONTH(TA[[#This Row],[Month Year]],0))</f>
        <v>30</v>
      </c>
      <c r="H1276" s="21">
        <v>45834</v>
      </c>
      <c r="I1276" s="32">
        <f>IFERROR(VLOOKUP(TA[[#This Row],[Date]],Raw_Data[[Date]:[Sunset Time (POA&lt;20 W/m2)]],3,0),"")</f>
        <v>0.25694444444444442</v>
      </c>
      <c r="J1276" s="32">
        <f>IFERROR(VLOOKUP(TA[[#This Row],[Date]],Raw_Data[[Date]:[Sunset Time (POA&lt;20 W/m2)]],4,0),"")</f>
        <v>0.78125</v>
      </c>
      <c r="K1276" s="27">
        <f>IFERROR((TA[[#This Row],[Sunset Time (POA&lt;20 W/m2)]]-TA[[#This Row],[Sunrise Time (POA&gt;20 W/m2)]])*24,"")</f>
        <v>12.583333333333334</v>
      </c>
      <c r="L1276" s="2" t="s">
        <v>303</v>
      </c>
      <c r="M1276" s="33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321</v>
      </c>
      <c r="Q1276" s="2" t="s">
        <v>314</v>
      </c>
      <c r="R1276">
        <v>26</v>
      </c>
      <c r="S1276" s="2">
        <v>37</v>
      </c>
      <c r="T1276" t="s">
        <v>288</v>
      </c>
      <c r="U1276" t="s">
        <v>291</v>
      </c>
      <c r="V1276" t="s">
        <v>292</v>
      </c>
      <c r="W1276" s="32"/>
      <c r="X1276" s="32"/>
      <c r="Y1276" s="26"/>
      <c r="Z1276" s="26"/>
      <c r="AA1276" s="27">
        <f>IF(TA[[#This Row],[Work Start time on Fault]]="NA","",(TA[[#This Row],[Fault Acknowledgement Time ]]-TA[[#This Row],[Fault Time]])*24)</f>
        <v>0</v>
      </c>
      <c r="AB1276" s="27">
        <f>(TA[[#This Row],[Work Start time on Fault]]-TA[[#This Row],[Fault Time]])*24</f>
        <v>0</v>
      </c>
      <c r="AC1276" s="26">
        <f>(TA[[#This Row],[Work Completion time on fault]]-TA[[#This Row],[Fault Time]])*24</f>
        <v>0</v>
      </c>
      <c r="AD1276" s="27">
        <f>IFERROR((TA[[#This Row],[Work Completion time on fault]]-TA[[#This Row],[Fault Time]])*24,"")</f>
        <v>0</v>
      </c>
      <c r="AE1276" t="s">
        <v>319</v>
      </c>
      <c r="AF1276" t="s">
        <v>247</v>
      </c>
      <c r="AG1276" s="2"/>
      <c r="AH1276" s="35">
        <f>1-COS(RADIANS(TA[[#This Row],[Avg. Target Angle during Fault Time (Radians)]]-TA[[#This Row],[Angle of affected equipment ]]))</f>
        <v>0.11705240714107301</v>
      </c>
      <c r="AI1276" s="27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43">
        <f t="shared" si="143"/>
        <v>2026</v>
      </c>
      <c r="C1277" s="116">
        <f t="shared" si="144"/>
        <v>2025</v>
      </c>
      <c r="D1277" s="2" t="s">
        <v>155</v>
      </c>
      <c r="E1277" s="2" t="s">
        <v>155</v>
      </c>
      <c r="F1277" s="30">
        <v>45809</v>
      </c>
      <c r="G1277" s="2">
        <f>DAY(EOMONTH(TA[[#This Row],[Month Year]],0))</f>
        <v>30</v>
      </c>
      <c r="H1277" s="21">
        <v>45834</v>
      </c>
      <c r="I1277" s="32">
        <f>IFERROR(VLOOKUP(TA[[#This Row],[Date]],Raw_Data[[Date]:[Sunset Time (POA&lt;20 W/m2)]],3,0),"")</f>
        <v>0.25694444444444442</v>
      </c>
      <c r="J1277" s="32">
        <f>IFERROR(VLOOKUP(TA[[#This Row],[Date]],Raw_Data[[Date]:[Sunset Time (POA&lt;20 W/m2)]],4,0),"")</f>
        <v>0.78125</v>
      </c>
      <c r="K1277" s="27">
        <f>IFERROR((TA[[#This Row],[Sunset Time (POA&lt;20 W/m2)]]-TA[[#This Row],[Sunrise Time (POA&gt;20 W/m2)]])*24,"")</f>
        <v>12.583333333333334</v>
      </c>
      <c r="L1277" s="2" t="s">
        <v>303</v>
      </c>
      <c r="M1277" s="33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321</v>
      </c>
      <c r="Q1277" s="2" t="s">
        <v>314</v>
      </c>
      <c r="R1277">
        <v>27</v>
      </c>
      <c r="S1277" s="2">
        <v>42</v>
      </c>
      <c r="T1277" t="s">
        <v>288</v>
      </c>
      <c r="U1277" t="s">
        <v>291</v>
      </c>
      <c r="V1277" t="s">
        <v>292</v>
      </c>
      <c r="W1277" s="32">
        <f>IFERROR(VLOOKUP(TA[[#This Row],[Date]],Raw_Data[[Date]:[Sunset Time (POA&lt;20 W/m2)]],3,0),"")</f>
        <v>0.25694444444444442</v>
      </c>
      <c r="X1277" s="32">
        <f>IFERROR(VLOOKUP(TA[[#This Row],[Date]],Raw_Data[[Date]:[Sunset Time (POA&lt;20 W/m2)]],3,0),"")</f>
        <v>0.25694444444444442</v>
      </c>
      <c r="Y1277" s="26"/>
      <c r="Z1277" s="26">
        <v>0.76041666666666663</v>
      </c>
      <c r="AA1277" s="27">
        <f>IF(TA[[#This Row],[Work Start time on Fault]]="NA","",(TA[[#This Row],[Fault Acknowledgement Time ]]-TA[[#This Row],[Fault Time]])*24)</f>
        <v>0</v>
      </c>
      <c r="AB1277" s="27">
        <f>(TA[[#This Row],[Work Start time on Fault]]-TA[[#This Row],[Fault Time]])*24</f>
        <v>-6.1666666666666661</v>
      </c>
      <c r="AC1277" s="26">
        <f>(TA[[#This Row],[Work Completion time on fault]]-TA[[#This Row],[Fault Time]])*24</f>
        <v>12.083333333333332</v>
      </c>
      <c r="AD1277" s="27">
        <f>IFERROR((TA[[#This Row],[Work Completion time on fault]]-TA[[#This Row],[Fault Time]])*24,"")</f>
        <v>12.083333333333332</v>
      </c>
      <c r="AE1277" t="s">
        <v>300</v>
      </c>
      <c r="AF1277" t="s">
        <v>247</v>
      </c>
      <c r="AG1277" s="2"/>
      <c r="AH1277" s="35">
        <f>1-COS(RADIANS(TA[[#This Row],[Avg. Target Angle during Fault Time (Radians)]]-TA[[#This Row],[Angle of affected equipment ]]))</f>
        <v>0.11705240714107301</v>
      </c>
      <c r="AI1277" s="27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43">
        <f t="shared" ref="B1278:B1290" si="145">YEAR(H1278)+IF(MONTH(H1278)&gt;=4,1,0)</f>
        <v>2026</v>
      </c>
      <c r="C1278" s="116">
        <f t="shared" ref="C1278:C1290" si="146">YEAR(H1278)</f>
        <v>2025</v>
      </c>
      <c r="D1278" s="2" t="s">
        <v>155</v>
      </c>
      <c r="E1278" s="2" t="s">
        <v>155</v>
      </c>
      <c r="F1278" s="30">
        <v>45809</v>
      </c>
      <c r="G1278" s="2">
        <f>DAY(EOMONTH(TA[[#This Row],[Month Year]],0))</f>
        <v>30</v>
      </c>
      <c r="H1278" s="21">
        <v>45835</v>
      </c>
      <c r="I1278" s="32">
        <f>IFERROR(VLOOKUP(TA[[#This Row],[Date]],Raw_Data[[Date]:[Sunset Time (POA&lt;20 W/m2)]],3,0),"")</f>
        <v>0.25138888888888888</v>
      </c>
      <c r="J1278" s="32">
        <f>IFERROR(VLOOKUP(TA[[#This Row],[Date]],Raw_Data[[Date]:[Sunset Time (POA&lt;20 W/m2)]],4,0),"")</f>
        <v>0.78333333333333333</v>
      </c>
      <c r="K1278" s="27">
        <f>IFERROR((TA[[#This Row],[Sunset Time (POA&lt;20 W/m2)]]-TA[[#This Row],[Sunrise Time (POA&gt;20 W/m2)]])*24,"")</f>
        <v>12.766666666666666</v>
      </c>
      <c r="L1278" s="2" t="s">
        <v>285</v>
      </c>
      <c r="M1278" s="33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14" t="s">
        <v>309</v>
      </c>
      <c r="Q1278" s="113" t="s">
        <v>309</v>
      </c>
      <c r="R1278">
        <v>131</v>
      </c>
      <c r="S1278" s="2">
        <v>38</v>
      </c>
      <c r="T1278" t="s">
        <v>286</v>
      </c>
      <c r="U1278" t="s">
        <v>291</v>
      </c>
      <c r="V1278" t="s">
        <v>289</v>
      </c>
      <c r="W1278" s="32"/>
      <c r="X1278" s="32"/>
      <c r="Y1278" s="26"/>
      <c r="Z1278" s="26"/>
      <c r="AA1278" s="27">
        <f>IF(TA[[#This Row],[Work Start time on Fault]]="NA","",(TA[[#This Row],[Fault Acknowledgement Time ]]-TA[[#This Row],[Fault Time]])*24)</f>
        <v>0</v>
      </c>
      <c r="AB1278" s="27">
        <f>(TA[[#This Row],[Work Start time on Fault]]-TA[[#This Row],[Fault Time]])*24</f>
        <v>0</v>
      </c>
      <c r="AC1278" s="26">
        <f>(TA[[#This Row],[Work Completion time on fault]]-TA[[#This Row],[Fault Time]])*24</f>
        <v>0</v>
      </c>
      <c r="AD1278" s="27">
        <f>IFERROR((TA[[#This Row],[Work Completion time on fault]]-TA[[#This Row],[Fault Time]])*24,"")</f>
        <v>0</v>
      </c>
      <c r="AE1278" t="s">
        <v>319</v>
      </c>
      <c r="AF1278" t="s">
        <v>247</v>
      </c>
      <c r="AG1278" s="2"/>
      <c r="AH1278" s="35">
        <f>1-COS(RADIANS(TA[[#This Row],[Avg. Target Angle during Fault Time (Radians)]]-TA[[#This Row],[Angle of affected equipment ]]))</f>
        <v>0.11705240714107301</v>
      </c>
      <c r="AI1278" s="27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43">
        <f t="shared" si="145"/>
        <v>2026</v>
      </c>
      <c r="C1279" s="116">
        <f t="shared" si="146"/>
        <v>2025</v>
      </c>
      <c r="D1279" s="2" t="s">
        <v>155</v>
      </c>
      <c r="E1279" s="2" t="s">
        <v>155</v>
      </c>
      <c r="F1279" s="30">
        <v>45809</v>
      </c>
      <c r="G1279" s="2">
        <f>DAY(EOMONTH(TA[[#This Row],[Month Year]],0))</f>
        <v>30</v>
      </c>
      <c r="H1279" s="21">
        <v>45835</v>
      </c>
      <c r="I1279" s="32">
        <f>IFERROR(VLOOKUP(TA[[#This Row],[Date]],Raw_Data[[Date]:[Sunset Time (POA&lt;20 W/m2)]],3,0),"")</f>
        <v>0.25138888888888888</v>
      </c>
      <c r="J1279" s="32">
        <f>IFERROR(VLOOKUP(TA[[#This Row],[Date]],Raw_Data[[Date]:[Sunset Time (POA&lt;20 W/m2)]],4,0),"")</f>
        <v>0.78333333333333333</v>
      </c>
      <c r="K1279" s="27">
        <f>IFERROR((TA[[#This Row],[Sunset Time (POA&lt;20 W/m2)]]-TA[[#This Row],[Sunrise Time (POA&gt;20 W/m2)]])*24,"")</f>
        <v>12.766666666666666</v>
      </c>
      <c r="L1279" s="2" t="s">
        <v>285</v>
      </c>
      <c r="M1279" s="33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14" t="s">
        <v>309</v>
      </c>
      <c r="Q1279" s="113" t="s">
        <v>309</v>
      </c>
      <c r="R1279">
        <v>131</v>
      </c>
      <c r="S1279" s="2">
        <v>39</v>
      </c>
      <c r="T1279" t="s">
        <v>286</v>
      </c>
      <c r="U1279" t="s">
        <v>291</v>
      </c>
      <c r="V1279" t="s">
        <v>289</v>
      </c>
      <c r="W1279" s="32"/>
      <c r="X1279" s="32"/>
      <c r="Y1279" s="26"/>
      <c r="Z1279" s="26"/>
      <c r="AA1279" s="27">
        <f>IF(TA[[#This Row],[Work Start time on Fault]]="NA","",(TA[[#This Row],[Fault Acknowledgement Time ]]-TA[[#This Row],[Fault Time]])*24)</f>
        <v>0</v>
      </c>
      <c r="AB1279" s="27">
        <f>(TA[[#This Row],[Work Start time on Fault]]-TA[[#This Row],[Fault Time]])*24</f>
        <v>0</v>
      </c>
      <c r="AC1279" s="26">
        <f>(TA[[#This Row],[Work Completion time on fault]]-TA[[#This Row],[Fault Time]])*24</f>
        <v>0</v>
      </c>
      <c r="AD1279" s="27">
        <f>IFERROR((TA[[#This Row],[Work Completion time on fault]]-TA[[#This Row],[Fault Time]])*24,"")</f>
        <v>0</v>
      </c>
      <c r="AE1279" t="s">
        <v>319</v>
      </c>
      <c r="AF1279" t="s">
        <v>247</v>
      </c>
      <c r="AG1279" s="2"/>
      <c r="AH1279" s="35">
        <f>1-COS(RADIANS(TA[[#This Row],[Avg. Target Angle during Fault Time (Radians)]]-TA[[#This Row],[Angle of affected equipment ]]))</f>
        <v>0.11705240714107301</v>
      </c>
      <c r="AI1279" s="27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43">
        <f t="shared" si="145"/>
        <v>2026</v>
      </c>
      <c r="C1280" s="116">
        <f t="shared" si="146"/>
        <v>2025</v>
      </c>
      <c r="D1280" s="2" t="s">
        <v>155</v>
      </c>
      <c r="E1280" s="2" t="s">
        <v>155</v>
      </c>
      <c r="F1280" s="30">
        <v>45809</v>
      </c>
      <c r="G1280" s="2">
        <f>DAY(EOMONTH(TA[[#This Row],[Month Year]],0))</f>
        <v>30</v>
      </c>
      <c r="H1280" s="21">
        <v>45835</v>
      </c>
      <c r="I1280" s="32">
        <f>IFERROR(VLOOKUP(TA[[#This Row],[Date]],Raw_Data[[Date]:[Sunset Time (POA&lt;20 W/m2)]],3,0),"")</f>
        <v>0.25138888888888888</v>
      </c>
      <c r="J1280" s="32">
        <f>IFERROR(VLOOKUP(TA[[#This Row],[Date]],Raw_Data[[Date]:[Sunset Time (POA&lt;20 W/m2)]],4,0),"")</f>
        <v>0.78333333333333333</v>
      </c>
      <c r="K1280" s="27">
        <f>IFERROR((TA[[#This Row],[Sunset Time (POA&lt;20 W/m2)]]-TA[[#This Row],[Sunrise Time (POA&gt;20 W/m2)]])*24,"")</f>
        <v>12.766666666666666</v>
      </c>
      <c r="L1280" s="2" t="s">
        <v>287</v>
      </c>
      <c r="M1280" s="33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14" t="s">
        <v>309</v>
      </c>
      <c r="Q1280" s="2" t="s">
        <v>312</v>
      </c>
      <c r="R1280">
        <v>133</v>
      </c>
      <c r="S1280" s="2">
        <v>26</v>
      </c>
      <c r="T1280" t="s">
        <v>288</v>
      </c>
      <c r="U1280" t="s">
        <v>291</v>
      </c>
      <c r="V1280" t="s">
        <v>305</v>
      </c>
      <c r="W1280" s="32">
        <f>IFERROR(VLOOKUP(TA[[#This Row],[Date]],Raw_Data[[Date]:[Sunset Time (POA&lt;20 W/m2)]],3,0),"")</f>
        <v>0.25138888888888888</v>
      </c>
      <c r="X1280" s="32">
        <f>IFERROR(VLOOKUP(TA[[#This Row],[Date]],Raw_Data[[Date]:[Sunset Time (POA&lt;20 W/m2)]],3,0),"")</f>
        <v>0.25138888888888888</v>
      </c>
      <c r="Y1280" s="26"/>
      <c r="Z1280" s="26">
        <v>0.76041666666666663</v>
      </c>
      <c r="AA1280" s="27">
        <f>IF(TA[[#This Row],[Work Start time on Fault]]="NA","",(TA[[#This Row],[Fault Acknowledgement Time ]]-TA[[#This Row],[Fault Time]])*24)</f>
        <v>0</v>
      </c>
      <c r="AB1280" s="27">
        <f>(TA[[#This Row],[Work Start time on Fault]]-TA[[#This Row],[Fault Time]])*24</f>
        <v>-6.0333333333333332</v>
      </c>
      <c r="AC1280" s="26">
        <f>(TA[[#This Row],[Work Completion time on fault]]-TA[[#This Row],[Fault Time]])*24</f>
        <v>12.216666666666665</v>
      </c>
      <c r="AD1280" s="27">
        <f>IFERROR((TA[[#This Row],[Work Completion time on fault]]-TA[[#This Row],[Fault Time]])*24,"")</f>
        <v>12.216666666666665</v>
      </c>
      <c r="AE1280" t="s">
        <v>319</v>
      </c>
      <c r="AF1280" t="s">
        <v>247</v>
      </c>
      <c r="AG1280" s="2"/>
      <c r="AH1280" s="35">
        <f>1-COS(RADIANS(TA[[#This Row],[Avg. Target Angle during Fault Time (Radians)]]-TA[[#This Row],[Angle of affected equipment ]]))</f>
        <v>0.11705240714107301</v>
      </c>
      <c r="AI1280" s="27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43">
        <f t="shared" si="145"/>
        <v>2026</v>
      </c>
      <c r="C1281" s="116">
        <f t="shared" si="146"/>
        <v>2025</v>
      </c>
      <c r="D1281" s="2" t="s">
        <v>155</v>
      </c>
      <c r="E1281" s="2" t="s">
        <v>155</v>
      </c>
      <c r="F1281" s="30">
        <v>45809</v>
      </c>
      <c r="G1281" s="2">
        <f>DAY(EOMONTH(TA[[#This Row],[Month Year]],0))</f>
        <v>30</v>
      </c>
      <c r="H1281" s="21">
        <v>45835</v>
      </c>
      <c r="I1281" s="32">
        <f>IFERROR(VLOOKUP(TA[[#This Row],[Date]],Raw_Data[[Date]:[Sunset Time (POA&lt;20 W/m2)]],3,0),"")</f>
        <v>0.25138888888888888</v>
      </c>
      <c r="J1281" s="32">
        <f>IFERROR(VLOOKUP(TA[[#This Row],[Date]],Raw_Data[[Date]:[Sunset Time (POA&lt;20 W/m2)]],4,0),"")</f>
        <v>0.78333333333333333</v>
      </c>
      <c r="K1281" s="27">
        <f>IFERROR((TA[[#This Row],[Sunset Time (POA&lt;20 W/m2)]]-TA[[#This Row],[Sunrise Time (POA&gt;20 W/m2)]])*24,"")</f>
        <v>12.766666666666666</v>
      </c>
      <c r="L1281" s="2" t="s">
        <v>285</v>
      </c>
      <c r="M1281" s="33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14" t="s">
        <v>307</v>
      </c>
      <c r="Q1281" s="113" t="s">
        <v>308</v>
      </c>
      <c r="R1281">
        <v>7</v>
      </c>
      <c r="S1281" s="2">
        <v>32</v>
      </c>
      <c r="T1281" t="s">
        <v>286</v>
      </c>
      <c r="U1281" t="s">
        <v>291</v>
      </c>
      <c r="V1281" t="s">
        <v>289</v>
      </c>
      <c r="W1281" s="32"/>
      <c r="X1281" s="32"/>
      <c r="Y1281" s="26"/>
      <c r="Z1281" s="26"/>
      <c r="AA1281" s="27">
        <f>IF(TA[[#This Row],[Work Start time on Fault]]="NA","",(TA[[#This Row],[Fault Acknowledgement Time ]]-TA[[#This Row],[Fault Time]])*24)</f>
        <v>0</v>
      </c>
      <c r="AB1281" s="27">
        <f>(TA[[#This Row],[Work Start time on Fault]]-TA[[#This Row],[Fault Time]])*24</f>
        <v>0</v>
      </c>
      <c r="AC1281" s="26">
        <f>(TA[[#This Row],[Work Completion time on fault]]-TA[[#This Row],[Fault Time]])*24</f>
        <v>0</v>
      </c>
      <c r="AD1281" s="27">
        <f>IFERROR((TA[[#This Row],[Work Completion time on fault]]-TA[[#This Row],[Fault Time]])*24,"")</f>
        <v>0</v>
      </c>
      <c r="AE1281" t="s">
        <v>319</v>
      </c>
      <c r="AF1281" t="s">
        <v>247</v>
      </c>
      <c r="AG1281" s="2"/>
      <c r="AH1281" s="35">
        <f>1-COS(RADIANS(TA[[#This Row],[Avg. Target Angle during Fault Time (Radians)]]-TA[[#This Row],[Angle of affected equipment ]]))</f>
        <v>0.11705240714107301</v>
      </c>
      <c r="AI1281" s="27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43">
        <f t="shared" si="145"/>
        <v>2026</v>
      </c>
      <c r="C1282" s="116">
        <f t="shared" si="146"/>
        <v>2025</v>
      </c>
      <c r="D1282" s="2" t="s">
        <v>155</v>
      </c>
      <c r="E1282" s="2" t="s">
        <v>155</v>
      </c>
      <c r="F1282" s="30">
        <v>45809</v>
      </c>
      <c r="G1282" s="2">
        <f>DAY(EOMONTH(TA[[#This Row],[Month Year]],0))</f>
        <v>30</v>
      </c>
      <c r="H1282" s="21">
        <v>45835</v>
      </c>
      <c r="I1282" s="32">
        <f>IFERROR(VLOOKUP(TA[[#This Row],[Date]],Raw_Data[[Date]:[Sunset Time (POA&lt;20 W/m2)]],3,0),"")</f>
        <v>0.25138888888888888</v>
      </c>
      <c r="J1282" s="32">
        <f>IFERROR(VLOOKUP(TA[[#This Row],[Date]],Raw_Data[[Date]:[Sunset Time (POA&lt;20 W/m2)]],4,0),"")</f>
        <v>0.78333333333333333</v>
      </c>
      <c r="K1282" s="27">
        <f>IFERROR((TA[[#This Row],[Sunset Time (POA&lt;20 W/m2)]]-TA[[#This Row],[Sunrise Time (POA&gt;20 W/m2)]])*24,"")</f>
        <v>12.766666666666666</v>
      </c>
      <c r="L1282" s="2" t="s">
        <v>285</v>
      </c>
      <c r="M1282" s="33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14" t="s">
        <v>306</v>
      </c>
      <c r="Q1282" s="113" t="s">
        <v>310</v>
      </c>
      <c r="R1282">
        <v>166</v>
      </c>
      <c r="S1282" s="2">
        <v>91</v>
      </c>
      <c r="T1282" t="s">
        <v>286</v>
      </c>
      <c r="U1282" t="s">
        <v>291</v>
      </c>
      <c r="V1282" t="s">
        <v>289</v>
      </c>
      <c r="W1282" s="32"/>
      <c r="X1282" s="32"/>
      <c r="Y1282" s="26"/>
      <c r="Z1282" s="26"/>
      <c r="AA1282" s="27">
        <f>IF(TA[[#This Row],[Work Start time on Fault]]="NA","",(TA[[#This Row],[Fault Acknowledgement Time ]]-TA[[#This Row],[Fault Time]])*24)</f>
        <v>0</v>
      </c>
      <c r="AB1282" s="27">
        <f>(TA[[#This Row],[Work Start time on Fault]]-TA[[#This Row],[Fault Time]])*24</f>
        <v>0</v>
      </c>
      <c r="AC1282" s="26">
        <f>(TA[[#This Row],[Work Completion time on fault]]-TA[[#This Row],[Fault Time]])*24</f>
        <v>0</v>
      </c>
      <c r="AD1282" s="27">
        <f>IFERROR((TA[[#This Row],[Work Completion time on fault]]-TA[[#This Row],[Fault Time]])*24,"")</f>
        <v>0</v>
      </c>
      <c r="AE1282" t="s">
        <v>319</v>
      </c>
      <c r="AF1282" t="s">
        <v>247</v>
      </c>
      <c r="AG1282" s="2"/>
      <c r="AH1282" s="35">
        <f>1-COS(RADIANS(TA[[#This Row],[Avg. Target Angle during Fault Time (Radians)]]-TA[[#This Row],[Angle of affected equipment ]]))</f>
        <v>0.11705240714107301</v>
      </c>
      <c r="AI1282" s="27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43">
        <f t="shared" si="145"/>
        <v>2026</v>
      </c>
      <c r="C1283" s="116">
        <f t="shared" si="146"/>
        <v>2025</v>
      </c>
      <c r="D1283" s="2" t="s">
        <v>155</v>
      </c>
      <c r="E1283" s="2" t="s">
        <v>155</v>
      </c>
      <c r="F1283" s="30">
        <v>45809</v>
      </c>
      <c r="G1283" s="2">
        <f>DAY(EOMONTH(TA[[#This Row],[Month Year]],0))</f>
        <v>30</v>
      </c>
      <c r="H1283" s="21">
        <v>45835</v>
      </c>
      <c r="I1283" s="32">
        <f>IFERROR(VLOOKUP(TA[[#This Row],[Date]],Raw_Data[[Date]:[Sunset Time (POA&lt;20 W/m2)]],3,0),"")</f>
        <v>0.25138888888888888</v>
      </c>
      <c r="J1283" s="32">
        <f>IFERROR(VLOOKUP(TA[[#This Row],[Date]],Raw_Data[[Date]:[Sunset Time (POA&lt;20 W/m2)]],4,0),"")</f>
        <v>0.78333333333333333</v>
      </c>
      <c r="K1283" s="27">
        <f>IFERROR((TA[[#This Row],[Sunset Time (POA&lt;20 W/m2)]]-TA[[#This Row],[Sunrise Time (POA&gt;20 W/m2)]])*24,"")</f>
        <v>12.766666666666666</v>
      </c>
      <c r="L1283" s="2" t="s">
        <v>285</v>
      </c>
      <c r="M1283" s="33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14" t="s">
        <v>307</v>
      </c>
      <c r="Q1283" s="113" t="s">
        <v>307</v>
      </c>
      <c r="R1283">
        <v>117</v>
      </c>
      <c r="S1283" s="2">
        <v>20</v>
      </c>
      <c r="T1283" t="s">
        <v>286</v>
      </c>
      <c r="U1283" t="s">
        <v>291</v>
      </c>
      <c r="V1283" t="s">
        <v>289</v>
      </c>
      <c r="W1283" s="32"/>
      <c r="X1283" s="32"/>
      <c r="Y1283" s="26"/>
      <c r="Z1283" s="26"/>
      <c r="AA1283" s="27">
        <f>IF(TA[[#This Row],[Work Start time on Fault]]="NA","",(TA[[#This Row],[Fault Acknowledgement Time ]]-TA[[#This Row],[Fault Time]])*24)</f>
        <v>0</v>
      </c>
      <c r="AB1283" s="27">
        <f>(TA[[#This Row],[Work Start time on Fault]]-TA[[#This Row],[Fault Time]])*24</f>
        <v>0</v>
      </c>
      <c r="AC1283" s="26">
        <f>(TA[[#This Row],[Work Completion time on fault]]-TA[[#This Row],[Fault Time]])*24</f>
        <v>0</v>
      </c>
      <c r="AD1283" s="27">
        <f>IFERROR((TA[[#This Row],[Work Completion time on fault]]-TA[[#This Row],[Fault Time]])*24,"")</f>
        <v>0</v>
      </c>
      <c r="AE1283" t="s">
        <v>319</v>
      </c>
      <c r="AF1283" t="s">
        <v>247</v>
      </c>
      <c r="AG1283" s="2"/>
      <c r="AH1283" s="35">
        <f>1-COS(RADIANS(TA[[#This Row],[Avg. Target Angle during Fault Time (Radians)]]-TA[[#This Row],[Angle of affected equipment ]]))</f>
        <v>0.11705240714107301</v>
      </c>
      <c r="AI1283" s="27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43">
        <f t="shared" si="145"/>
        <v>2026</v>
      </c>
      <c r="C1284" s="116">
        <f t="shared" si="146"/>
        <v>2025</v>
      </c>
      <c r="D1284" s="2" t="s">
        <v>155</v>
      </c>
      <c r="E1284" s="2" t="s">
        <v>155</v>
      </c>
      <c r="F1284" s="30">
        <v>45809</v>
      </c>
      <c r="G1284" s="2">
        <f>DAY(EOMONTH(TA[[#This Row],[Month Year]],0))</f>
        <v>30</v>
      </c>
      <c r="H1284" s="21">
        <v>45835</v>
      </c>
      <c r="I1284" s="32">
        <f>IFERROR(VLOOKUP(TA[[#This Row],[Date]],Raw_Data[[Date]:[Sunset Time (POA&lt;20 W/m2)]],3,0),"")</f>
        <v>0.25138888888888888</v>
      </c>
      <c r="J1284" s="32">
        <f>IFERROR(VLOOKUP(TA[[#This Row],[Date]],Raw_Data[[Date]:[Sunset Time (POA&lt;20 W/m2)]],4,0),"")</f>
        <v>0.78333333333333333</v>
      </c>
      <c r="K1284" s="27">
        <f>IFERROR((TA[[#This Row],[Sunset Time (POA&lt;20 W/m2)]]-TA[[#This Row],[Sunrise Time (POA&gt;20 W/m2)]])*24,"")</f>
        <v>12.766666666666666</v>
      </c>
      <c r="L1284" s="2" t="s">
        <v>285</v>
      </c>
      <c r="M1284" s="33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14" t="s">
        <v>307</v>
      </c>
      <c r="Q1284" s="113" t="s">
        <v>307</v>
      </c>
      <c r="R1284">
        <v>118</v>
      </c>
      <c r="S1284" s="2">
        <v>22</v>
      </c>
      <c r="T1284" t="s">
        <v>286</v>
      </c>
      <c r="U1284" t="s">
        <v>291</v>
      </c>
      <c r="V1284" t="s">
        <v>289</v>
      </c>
      <c r="W1284" s="32"/>
      <c r="X1284" s="32"/>
      <c r="Y1284" s="26"/>
      <c r="Z1284" s="26"/>
      <c r="AA1284" s="27">
        <f>IF(TA[[#This Row],[Work Start time on Fault]]="NA","",(TA[[#This Row],[Fault Acknowledgement Time ]]-TA[[#This Row],[Fault Time]])*24)</f>
        <v>0</v>
      </c>
      <c r="AB1284" s="27">
        <f>(TA[[#This Row],[Work Start time on Fault]]-TA[[#This Row],[Fault Time]])*24</f>
        <v>0</v>
      </c>
      <c r="AC1284" s="26">
        <f>(TA[[#This Row],[Work Completion time on fault]]-TA[[#This Row],[Fault Time]])*24</f>
        <v>0</v>
      </c>
      <c r="AD1284" s="27">
        <f>IFERROR((TA[[#This Row],[Work Completion time on fault]]-TA[[#This Row],[Fault Time]])*24,"")</f>
        <v>0</v>
      </c>
      <c r="AE1284" t="s">
        <v>319</v>
      </c>
      <c r="AF1284" t="s">
        <v>247</v>
      </c>
      <c r="AG1284" s="2"/>
      <c r="AH1284" s="35">
        <f>1-COS(RADIANS(TA[[#This Row],[Avg. Target Angle during Fault Time (Radians)]]-TA[[#This Row],[Angle of affected equipment ]]))</f>
        <v>0.11705240714107301</v>
      </c>
      <c r="AI1284" s="27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43">
        <f t="shared" si="145"/>
        <v>2026</v>
      </c>
      <c r="C1285" s="116">
        <f t="shared" si="146"/>
        <v>2025</v>
      </c>
      <c r="D1285" s="2" t="s">
        <v>155</v>
      </c>
      <c r="E1285" s="2" t="s">
        <v>155</v>
      </c>
      <c r="F1285" s="30">
        <v>45809</v>
      </c>
      <c r="G1285" s="2">
        <f>DAY(EOMONTH(TA[[#This Row],[Month Year]],0))</f>
        <v>30</v>
      </c>
      <c r="H1285" s="21">
        <v>45835</v>
      </c>
      <c r="I1285" s="32">
        <f>IFERROR(VLOOKUP(TA[[#This Row],[Date]],Raw_Data[[Date]:[Sunset Time (POA&lt;20 W/m2)]],3,0),"")</f>
        <v>0.25138888888888888</v>
      </c>
      <c r="J1285" s="32">
        <f>IFERROR(VLOOKUP(TA[[#This Row],[Date]],Raw_Data[[Date]:[Sunset Time (POA&lt;20 W/m2)]],4,0),"")</f>
        <v>0.78333333333333333</v>
      </c>
      <c r="K1285" s="27">
        <f>IFERROR((TA[[#This Row],[Sunset Time (POA&lt;20 W/m2)]]-TA[[#This Row],[Sunrise Time (POA&gt;20 W/m2)]])*24,"")</f>
        <v>12.766666666666666</v>
      </c>
      <c r="L1285" s="2" t="s">
        <v>287</v>
      </c>
      <c r="M1285" s="33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314</v>
      </c>
      <c r="Q1285" s="2" t="s">
        <v>320</v>
      </c>
      <c r="R1285">
        <v>45</v>
      </c>
      <c r="S1285" s="2">
        <v>8</v>
      </c>
      <c r="T1285" t="s">
        <v>288</v>
      </c>
      <c r="U1285" t="s">
        <v>291</v>
      </c>
      <c r="V1285" t="s">
        <v>292</v>
      </c>
      <c r="W1285" s="32"/>
      <c r="X1285" s="32"/>
      <c r="Y1285" s="26"/>
      <c r="Z1285" s="26"/>
      <c r="AA1285" s="27">
        <f>IF(TA[[#This Row],[Work Start time on Fault]]="NA","",(TA[[#This Row],[Fault Acknowledgement Time ]]-TA[[#This Row],[Fault Time]])*24)</f>
        <v>0</v>
      </c>
      <c r="AB1285" s="27">
        <f>(TA[[#This Row],[Work Start time on Fault]]-TA[[#This Row],[Fault Time]])*24</f>
        <v>0</v>
      </c>
      <c r="AC1285" s="26">
        <f>(TA[[#This Row],[Work Completion time on fault]]-TA[[#This Row],[Fault Time]])*24</f>
        <v>0</v>
      </c>
      <c r="AD1285" s="27">
        <f>IFERROR((TA[[#This Row],[Work Completion time on fault]]-TA[[#This Row],[Fault Time]])*24,"")</f>
        <v>0</v>
      </c>
      <c r="AE1285" t="s">
        <v>319</v>
      </c>
      <c r="AF1285" t="s">
        <v>247</v>
      </c>
      <c r="AG1285" s="2"/>
      <c r="AH1285" s="35">
        <f>1-COS(RADIANS(TA[[#This Row],[Avg. Target Angle during Fault Time (Radians)]]-TA[[#This Row],[Angle of affected equipment ]]))</f>
        <v>0.11705240714107301</v>
      </c>
      <c r="AI1285" s="27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43">
        <f t="shared" si="145"/>
        <v>2026</v>
      </c>
      <c r="C1286" s="116">
        <f t="shared" si="146"/>
        <v>2025</v>
      </c>
      <c r="D1286" s="2" t="s">
        <v>155</v>
      </c>
      <c r="E1286" s="2" t="s">
        <v>155</v>
      </c>
      <c r="F1286" s="30">
        <v>45809</v>
      </c>
      <c r="G1286" s="2">
        <f>DAY(EOMONTH(TA[[#This Row],[Month Year]],0))</f>
        <v>30</v>
      </c>
      <c r="H1286" s="21">
        <v>45835</v>
      </c>
      <c r="I1286" s="32">
        <f>IFERROR(VLOOKUP(TA[[#This Row],[Date]],Raw_Data[[Date]:[Sunset Time (POA&lt;20 W/m2)]],3,0),"")</f>
        <v>0.25138888888888888</v>
      </c>
      <c r="J1286" s="32">
        <f>IFERROR(VLOOKUP(TA[[#This Row],[Date]],Raw_Data[[Date]:[Sunset Time (POA&lt;20 W/m2)]],4,0),"")</f>
        <v>0.78333333333333333</v>
      </c>
      <c r="K1286" s="27">
        <f>IFERROR((TA[[#This Row],[Sunset Time (POA&lt;20 W/m2)]]-TA[[#This Row],[Sunrise Time (POA&gt;20 W/m2)]])*24,"")</f>
        <v>12.766666666666666</v>
      </c>
      <c r="L1286" s="2" t="s">
        <v>287</v>
      </c>
      <c r="M1286" s="33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314</v>
      </c>
      <c r="Q1286" s="2" t="s">
        <v>320</v>
      </c>
      <c r="R1286">
        <v>47</v>
      </c>
      <c r="S1286" s="2">
        <v>18</v>
      </c>
      <c r="T1286" t="s">
        <v>288</v>
      </c>
      <c r="U1286" t="s">
        <v>291</v>
      </c>
      <c r="V1286" t="s">
        <v>292</v>
      </c>
      <c r="W1286" s="32"/>
      <c r="X1286" s="32"/>
      <c r="Y1286" s="26"/>
      <c r="Z1286" s="26"/>
      <c r="AA1286" s="27">
        <f>IF(TA[[#This Row],[Work Start time on Fault]]="NA","",(TA[[#This Row],[Fault Acknowledgement Time ]]-TA[[#This Row],[Fault Time]])*24)</f>
        <v>0</v>
      </c>
      <c r="AB1286" s="27">
        <f>(TA[[#This Row],[Work Start time on Fault]]-TA[[#This Row],[Fault Time]])*24</f>
        <v>0</v>
      </c>
      <c r="AC1286" s="26">
        <f>(TA[[#This Row],[Work Completion time on fault]]-TA[[#This Row],[Fault Time]])*24</f>
        <v>0</v>
      </c>
      <c r="AD1286" s="27">
        <f>IFERROR((TA[[#This Row],[Work Completion time on fault]]-TA[[#This Row],[Fault Time]])*24,"")</f>
        <v>0</v>
      </c>
      <c r="AE1286" t="s">
        <v>319</v>
      </c>
      <c r="AF1286" t="s">
        <v>247</v>
      </c>
      <c r="AG1286" s="2"/>
      <c r="AH1286" s="35">
        <f>1-COS(RADIANS(TA[[#This Row],[Avg. Target Angle during Fault Time (Radians)]]-TA[[#This Row],[Angle of affected equipment ]]))</f>
        <v>0.11705240714107301</v>
      </c>
      <c r="AI1286" s="27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43">
        <f t="shared" si="145"/>
        <v>2026</v>
      </c>
      <c r="C1287" s="116">
        <f t="shared" si="146"/>
        <v>2025</v>
      </c>
      <c r="D1287" s="2" t="s">
        <v>155</v>
      </c>
      <c r="E1287" s="2" t="s">
        <v>155</v>
      </c>
      <c r="F1287" s="30">
        <v>45809</v>
      </c>
      <c r="G1287" s="2">
        <f>DAY(EOMONTH(TA[[#This Row],[Month Year]],0))</f>
        <v>30</v>
      </c>
      <c r="H1287" s="21">
        <v>45835</v>
      </c>
      <c r="I1287" s="32">
        <f>IFERROR(VLOOKUP(TA[[#This Row],[Date]],Raw_Data[[Date]:[Sunset Time (POA&lt;20 W/m2)]],3,0),"")</f>
        <v>0.25138888888888888</v>
      </c>
      <c r="J1287" s="32">
        <f>IFERROR(VLOOKUP(TA[[#This Row],[Date]],Raw_Data[[Date]:[Sunset Time (POA&lt;20 W/m2)]],4,0),"")</f>
        <v>0.78333333333333333</v>
      </c>
      <c r="K1287" s="27">
        <f>IFERROR((TA[[#This Row],[Sunset Time (POA&lt;20 W/m2)]]-TA[[#This Row],[Sunrise Time (POA&gt;20 W/m2)]])*24,"")</f>
        <v>12.766666666666666</v>
      </c>
      <c r="L1287" s="2" t="s">
        <v>287</v>
      </c>
      <c r="M1287" s="33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321</v>
      </c>
      <c r="Q1287" s="2" t="s">
        <v>314</v>
      </c>
      <c r="R1287">
        <v>30</v>
      </c>
      <c r="S1287" s="2">
        <v>57</v>
      </c>
      <c r="T1287" t="s">
        <v>288</v>
      </c>
      <c r="U1287" t="s">
        <v>291</v>
      </c>
      <c r="V1287" t="s">
        <v>292</v>
      </c>
      <c r="W1287" s="32"/>
      <c r="X1287" s="32"/>
      <c r="Y1287" s="26"/>
      <c r="Z1287" s="26"/>
      <c r="AA1287" s="27">
        <f>IF(TA[[#This Row],[Work Start time on Fault]]="NA","",(TA[[#This Row],[Fault Acknowledgement Time ]]-TA[[#This Row],[Fault Time]])*24)</f>
        <v>0</v>
      </c>
      <c r="AB1287" s="27">
        <f>(TA[[#This Row],[Work Start time on Fault]]-TA[[#This Row],[Fault Time]])*24</f>
        <v>0</v>
      </c>
      <c r="AC1287" s="26">
        <f>(TA[[#This Row],[Work Completion time on fault]]-TA[[#This Row],[Fault Time]])*24</f>
        <v>0</v>
      </c>
      <c r="AD1287" s="27">
        <f>IFERROR((TA[[#This Row],[Work Completion time on fault]]-TA[[#This Row],[Fault Time]])*24,"")</f>
        <v>0</v>
      </c>
      <c r="AE1287" t="s">
        <v>319</v>
      </c>
      <c r="AF1287" t="s">
        <v>247</v>
      </c>
      <c r="AG1287" s="2"/>
      <c r="AH1287" s="35">
        <f>1-COS(RADIANS(TA[[#This Row],[Avg. Target Angle during Fault Time (Radians)]]-TA[[#This Row],[Angle of affected equipment ]]))</f>
        <v>0.11705240714107301</v>
      </c>
      <c r="AI1287" s="27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43">
        <f t="shared" si="145"/>
        <v>2026</v>
      </c>
      <c r="C1288" s="116">
        <f t="shared" si="146"/>
        <v>2025</v>
      </c>
      <c r="D1288" s="2" t="s">
        <v>155</v>
      </c>
      <c r="E1288" s="2" t="s">
        <v>155</v>
      </c>
      <c r="F1288" s="30">
        <v>45809</v>
      </c>
      <c r="G1288" s="2">
        <f>DAY(EOMONTH(TA[[#This Row],[Month Year]],0))</f>
        <v>30</v>
      </c>
      <c r="H1288" s="21">
        <v>45835</v>
      </c>
      <c r="I1288" s="32">
        <f>IFERROR(VLOOKUP(TA[[#This Row],[Date]],Raw_Data[[Date]:[Sunset Time (POA&lt;20 W/m2)]],3,0),"")</f>
        <v>0.25138888888888888</v>
      </c>
      <c r="J1288" s="32">
        <f>IFERROR(VLOOKUP(TA[[#This Row],[Date]],Raw_Data[[Date]:[Sunset Time (POA&lt;20 W/m2)]],4,0),"")</f>
        <v>0.78333333333333333</v>
      </c>
      <c r="K1288" s="27">
        <f>IFERROR((TA[[#This Row],[Sunset Time (POA&lt;20 W/m2)]]-TA[[#This Row],[Sunrise Time (POA&gt;20 W/m2)]])*24,"")</f>
        <v>12.766666666666666</v>
      </c>
      <c r="L1288" s="2" t="s">
        <v>287</v>
      </c>
      <c r="M1288" s="33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321</v>
      </c>
      <c r="Q1288" s="2" t="s">
        <v>314</v>
      </c>
      <c r="R1288">
        <v>31</v>
      </c>
      <c r="S1288" s="2">
        <v>61</v>
      </c>
      <c r="T1288" t="s">
        <v>288</v>
      </c>
      <c r="U1288" t="s">
        <v>291</v>
      </c>
      <c r="V1288" t="s">
        <v>292</v>
      </c>
      <c r="W1288" s="32"/>
      <c r="X1288" s="32"/>
      <c r="Y1288" s="26"/>
      <c r="Z1288" s="26"/>
      <c r="AA1288" s="27">
        <f>IF(TA[[#This Row],[Work Start time on Fault]]="NA","",(TA[[#This Row],[Fault Acknowledgement Time ]]-TA[[#This Row],[Fault Time]])*24)</f>
        <v>0</v>
      </c>
      <c r="AB1288" s="27">
        <f>(TA[[#This Row],[Work Start time on Fault]]-TA[[#This Row],[Fault Time]])*24</f>
        <v>0</v>
      </c>
      <c r="AC1288" s="26">
        <f>(TA[[#This Row],[Work Completion time on fault]]-TA[[#This Row],[Fault Time]])*24</f>
        <v>0</v>
      </c>
      <c r="AD1288" s="27">
        <f>IFERROR((TA[[#This Row],[Work Completion time on fault]]-TA[[#This Row],[Fault Time]])*24,"")</f>
        <v>0</v>
      </c>
      <c r="AE1288" t="s">
        <v>319</v>
      </c>
      <c r="AF1288" t="s">
        <v>247</v>
      </c>
      <c r="AG1288" s="2"/>
      <c r="AH1288" s="35">
        <f>1-COS(RADIANS(TA[[#This Row],[Avg. Target Angle during Fault Time (Radians)]]-TA[[#This Row],[Angle of affected equipment ]]))</f>
        <v>0.11705240714107301</v>
      </c>
      <c r="AI1288" s="27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43">
        <f t="shared" si="145"/>
        <v>2026</v>
      </c>
      <c r="C1289" s="116">
        <f t="shared" si="146"/>
        <v>2025</v>
      </c>
      <c r="D1289" s="2" t="s">
        <v>155</v>
      </c>
      <c r="E1289" s="2" t="s">
        <v>155</v>
      </c>
      <c r="F1289" s="30">
        <v>45809</v>
      </c>
      <c r="G1289" s="2">
        <f>DAY(EOMONTH(TA[[#This Row],[Month Year]],0))</f>
        <v>30</v>
      </c>
      <c r="H1289" s="21">
        <v>45835</v>
      </c>
      <c r="I1289" s="32">
        <f>IFERROR(VLOOKUP(TA[[#This Row],[Date]],Raw_Data[[Date]:[Sunset Time (POA&lt;20 W/m2)]],3,0),"")</f>
        <v>0.25138888888888888</v>
      </c>
      <c r="J1289" s="32">
        <f>IFERROR(VLOOKUP(TA[[#This Row],[Date]],Raw_Data[[Date]:[Sunset Time (POA&lt;20 W/m2)]],4,0),"")</f>
        <v>0.78333333333333333</v>
      </c>
      <c r="K1289" s="27">
        <f>IFERROR((TA[[#This Row],[Sunset Time (POA&lt;20 W/m2)]]-TA[[#This Row],[Sunrise Time (POA&gt;20 W/m2)]])*24,"")</f>
        <v>12.766666666666666</v>
      </c>
      <c r="L1289" s="2" t="s">
        <v>303</v>
      </c>
      <c r="M1289" s="33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321</v>
      </c>
      <c r="Q1289" s="2" t="s">
        <v>314</v>
      </c>
      <c r="R1289">
        <v>26</v>
      </c>
      <c r="S1289" s="2">
        <v>37</v>
      </c>
      <c r="T1289" t="s">
        <v>288</v>
      </c>
      <c r="U1289" t="s">
        <v>291</v>
      </c>
      <c r="V1289" t="s">
        <v>292</v>
      </c>
      <c r="W1289" s="32"/>
      <c r="X1289" s="32"/>
      <c r="Y1289" s="26"/>
      <c r="Z1289" s="26"/>
      <c r="AA1289" s="27">
        <f>IF(TA[[#This Row],[Work Start time on Fault]]="NA","",(TA[[#This Row],[Fault Acknowledgement Time ]]-TA[[#This Row],[Fault Time]])*24)</f>
        <v>0</v>
      </c>
      <c r="AB1289" s="27">
        <f>(TA[[#This Row],[Work Start time on Fault]]-TA[[#This Row],[Fault Time]])*24</f>
        <v>0</v>
      </c>
      <c r="AC1289" s="26">
        <f>(TA[[#This Row],[Work Completion time on fault]]-TA[[#This Row],[Fault Time]])*24</f>
        <v>0</v>
      </c>
      <c r="AD1289" s="27">
        <f>IFERROR((TA[[#This Row],[Work Completion time on fault]]-TA[[#This Row],[Fault Time]])*24,"")</f>
        <v>0</v>
      </c>
      <c r="AE1289" t="s">
        <v>319</v>
      </c>
      <c r="AF1289" t="s">
        <v>247</v>
      </c>
      <c r="AG1289" s="2"/>
      <c r="AH1289" s="35">
        <f>1-COS(RADIANS(TA[[#This Row],[Avg. Target Angle during Fault Time (Radians)]]-TA[[#This Row],[Angle of affected equipment ]]))</f>
        <v>0.11705240714107301</v>
      </c>
      <c r="AI1289" s="27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43">
        <f t="shared" si="145"/>
        <v>2026</v>
      </c>
      <c r="C1290" s="116">
        <f t="shared" si="146"/>
        <v>2025</v>
      </c>
      <c r="D1290" s="2" t="s">
        <v>155</v>
      </c>
      <c r="E1290" s="2" t="s">
        <v>155</v>
      </c>
      <c r="F1290" s="30">
        <v>45809</v>
      </c>
      <c r="G1290" s="2">
        <f>DAY(EOMONTH(TA[[#This Row],[Month Year]],0))</f>
        <v>30</v>
      </c>
      <c r="H1290" s="21">
        <v>45835</v>
      </c>
      <c r="I1290" s="32">
        <f>IFERROR(VLOOKUP(TA[[#This Row],[Date]],Raw_Data[[Date]:[Sunset Time (POA&lt;20 W/m2)]],3,0),"")</f>
        <v>0.25138888888888888</v>
      </c>
      <c r="J1290" s="32">
        <f>IFERROR(VLOOKUP(TA[[#This Row],[Date]],Raw_Data[[Date]:[Sunset Time (POA&lt;20 W/m2)]],4,0),"")</f>
        <v>0.78333333333333333</v>
      </c>
      <c r="K1290" s="27">
        <f>IFERROR((TA[[#This Row],[Sunset Time (POA&lt;20 W/m2)]]-TA[[#This Row],[Sunrise Time (POA&gt;20 W/m2)]])*24,"")</f>
        <v>12.766666666666666</v>
      </c>
      <c r="L1290" s="2" t="s">
        <v>303</v>
      </c>
      <c r="M1290" s="33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321</v>
      </c>
      <c r="Q1290" s="2" t="s">
        <v>314</v>
      </c>
      <c r="R1290">
        <v>27</v>
      </c>
      <c r="S1290" s="2">
        <v>42</v>
      </c>
      <c r="T1290" t="s">
        <v>288</v>
      </c>
      <c r="U1290" t="s">
        <v>291</v>
      </c>
      <c r="V1290" t="s">
        <v>292</v>
      </c>
      <c r="W1290" s="32">
        <f>IFERROR(VLOOKUP(TA[[#This Row],[Date]],Raw_Data[[Date]:[Sunset Time (POA&lt;20 W/m2)]],3,0),"")</f>
        <v>0.25138888888888888</v>
      </c>
      <c r="X1290" s="32">
        <f>IFERROR(VLOOKUP(TA[[#This Row],[Date]],Raw_Data[[Date]:[Sunset Time (POA&lt;20 W/m2)]],3,0),"")</f>
        <v>0.25138888888888888</v>
      </c>
      <c r="Y1290" s="26"/>
      <c r="Z1290" s="26">
        <v>0.76041666666666663</v>
      </c>
      <c r="AA1290" s="27">
        <f>IF(TA[[#This Row],[Work Start time on Fault]]="NA","",(TA[[#This Row],[Fault Acknowledgement Time ]]-TA[[#This Row],[Fault Time]])*24)</f>
        <v>0</v>
      </c>
      <c r="AB1290" s="27">
        <f>(TA[[#This Row],[Work Start time on Fault]]-TA[[#This Row],[Fault Time]])*24</f>
        <v>-6.0333333333333332</v>
      </c>
      <c r="AC1290" s="26">
        <f>(TA[[#This Row],[Work Completion time on fault]]-TA[[#This Row],[Fault Time]])*24</f>
        <v>12.216666666666665</v>
      </c>
      <c r="AD1290" s="27">
        <f>IFERROR((TA[[#This Row],[Work Completion time on fault]]-TA[[#This Row],[Fault Time]])*24,"")</f>
        <v>12.216666666666665</v>
      </c>
      <c r="AE1290" t="s">
        <v>300</v>
      </c>
      <c r="AF1290" t="s">
        <v>247</v>
      </c>
      <c r="AG1290" s="2"/>
      <c r="AH1290" s="35">
        <f>1-COS(RADIANS(TA[[#This Row],[Avg. Target Angle during Fault Time (Radians)]]-TA[[#This Row],[Angle of affected equipment ]]))</f>
        <v>0.11705240714107301</v>
      </c>
      <c r="AI1290" s="27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43">
        <f t="shared" ref="B1291:B1303" si="147">YEAR(H1291)+IF(MONTH(H1291)&gt;=4,1,0)</f>
        <v>2026</v>
      </c>
      <c r="C1291" s="116">
        <f t="shared" ref="C1291:C1303" si="148">YEAR(H1291)</f>
        <v>2025</v>
      </c>
      <c r="D1291" s="2" t="s">
        <v>155</v>
      </c>
      <c r="E1291" s="2" t="s">
        <v>155</v>
      </c>
      <c r="F1291" s="30">
        <v>45809</v>
      </c>
      <c r="G1291" s="2">
        <f>DAY(EOMONTH(TA[[#This Row],[Month Year]],0))</f>
        <v>30</v>
      </c>
      <c r="H1291" s="21">
        <v>45836</v>
      </c>
      <c r="I1291" s="32">
        <f>IFERROR(VLOOKUP(TA[[#This Row],[Date]],Raw_Data[[Date]:[Sunset Time (POA&lt;20 W/m2)]],3,0),"")</f>
        <v>0.25138888888888888</v>
      </c>
      <c r="J1291" s="32">
        <f>IFERROR(VLOOKUP(TA[[#This Row],[Date]],Raw_Data[[Date]:[Sunset Time (POA&lt;20 W/m2)]],4,0),"")</f>
        <v>0.78472222222222221</v>
      </c>
      <c r="K1291" s="27">
        <f>IFERROR((TA[[#This Row],[Sunset Time (POA&lt;20 W/m2)]]-TA[[#This Row],[Sunrise Time (POA&gt;20 W/m2)]])*24,"")</f>
        <v>12.8</v>
      </c>
      <c r="L1291" s="2" t="s">
        <v>285</v>
      </c>
      <c r="M1291" s="33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14" t="s">
        <v>309</v>
      </c>
      <c r="Q1291" s="113" t="s">
        <v>309</v>
      </c>
      <c r="R1291">
        <v>131</v>
      </c>
      <c r="S1291" s="2">
        <v>38</v>
      </c>
      <c r="T1291" t="s">
        <v>286</v>
      </c>
      <c r="U1291" t="s">
        <v>291</v>
      </c>
      <c r="V1291" t="s">
        <v>289</v>
      </c>
      <c r="W1291" s="32"/>
      <c r="X1291" s="32"/>
      <c r="Y1291" s="26"/>
      <c r="Z1291" s="26"/>
      <c r="AA1291" s="27">
        <f>IF(TA[[#This Row],[Work Start time on Fault]]="NA","",(TA[[#This Row],[Fault Acknowledgement Time ]]-TA[[#This Row],[Fault Time]])*24)</f>
        <v>0</v>
      </c>
      <c r="AB1291" s="27">
        <f>(TA[[#This Row],[Work Start time on Fault]]-TA[[#This Row],[Fault Time]])*24</f>
        <v>0</v>
      </c>
      <c r="AC1291" s="26">
        <f>(TA[[#This Row],[Work Completion time on fault]]-TA[[#This Row],[Fault Time]])*24</f>
        <v>0</v>
      </c>
      <c r="AD1291" s="27">
        <f>IFERROR((TA[[#This Row],[Work Completion time on fault]]-TA[[#This Row],[Fault Time]])*24,"")</f>
        <v>0</v>
      </c>
      <c r="AE1291" t="s">
        <v>319</v>
      </c>
      <c r="AF1291" t="s">
        <v>247</v>
      </c>
      <c r="AG1291" s="2"/>
      <c r="AH1291" s="35">
        <f>1-COS(RADIANS(TA[[#This Row],[Avg. Target Angle during Fault Time (Radians)]]-TA[[#This Row],[Angle of affected equipment ]]))</f>
        <v>0.11705240714107301</v>
      </c>
      <c r="AI1291" s="27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43">
        <f t="shared" si="147"/>
        <v>2026</v>
      </c>
      <c r="C1292" s="116">
        <f t="shared" si="148"/>
        <v>2025</v>
      </c>
      <c r="D1292" s="2" t="s">
        <v>155</v>
      </c>
      <c r="E1292" s="2" t="s">
        <v>155</v>
      </c>
      <c r="F1292" s="30">
        <v>45809</v>
      </c>
      <c r="G1292" s="2">
        <f>DAY(EOMONTH(TA[[#This Row],[Month Year]],0))</f>
        <v>30</v>
      </c>
      <c r="H1292" s="21">
        <v>45836</v>
      </c>
      <c r="I1292" s="32">
        <f>IFERROR(VLOOKUP(TA[[#This Row],[Date]],Raw_Data[[Date]:[Sunset Time (POA&lt;20 W/m2)]],3,0),"")</f>
        <v>0.25138888888888888</v>
      </c>
      <c r="J1292" s="32">
        <f>IFERROR(VLOOKUP(TA[[#This Row],[Date]],Raw_Data[[Date]:[Sunset Time (POA&lt;20 W/m2)]],4,0),"")</f>
        <v>0.78472222222222221</v>
      </c>
      <c r="K1292" s="27">
        <f>IFERROR((TA[[#This Row],[Sunset Time (POA&lt;20 W/m2)]]-TA[[#This Row],[Sunrise Time (POA&gt;20 W/m2)]])*24,"")</f>
        <v>12.8</v>
      </c>
      <c r="L1292" s="2" t="s">
        <v>285</v>
      </c>
      <c r="M1292" s="33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14" t="s">
        <v>309</v>
      </c>
      <c r="Q1292" s="113" t="s">
        <v>309</v>
      </c>
      <c r="R1292">
        <v>131</v>
      </c>
      <c r="S1292" s="2">
        <v>39</v>
      </c>
      <c r="T1292" t="s">
        <v>286</v>
      </c>
      <c r="U1292" t="s">
        <v>291</v>
      </c>
      <c r="V1292" t="s">
        <v>289</v>
      </c>
      <c r="W1292" s="32"/>
      <c r="X1292" s="32"/>
      <c r="Y1292" s="26"/>
      <c r="Z1292" s="26"/>
      <c r="AA1292" s="27">
        <f>IF(TA[[#This Row],[Work Start time on Fault]]="NA","",(TA[[#This Row],[Fault Acknowledgement Time ]]-TA[[#This Row],[Fault Time]])*24)</f>
        <v>0</v>
      </c>
      <c r="AB1292" s="27">
        <f>(TA[[#This Row],[Work Start time on Fault]]-TA[[#This Row],[Fault Time]])*24</f>
        <v>0</v>
      </c>
      <c r="AC1292" s="26">
        <f>(TA[[#This Row],[Work Completion time on fault]]-TA[[#This Row],[Fault Time]])*24</f>
        <v>0</v>
      </c>
      <c r="AD1292" s="27">
        <f>IFERROR((TA[[#This Row],[Work Completion time on fault]]-TA[[#This Row],[Fault Time]])*24,"")</f>
        <v>0</v>
      </c>
      <c r="AE1292" t="s">
        <v>319</v>
      </c>
      <c r="AF1292" t="s">
        <v>247</v>
      </c>
      <c r="AG1292" s="2"/>
      <c r="AH1292" s="35">
        <f>1-COS(RADIANS(TA[[#This Row],[Avg. Target Angle during Fault Time (Radians)]]-TA[[#This Row],[Angle of affected equipment ]]))</f>
        <v>0.11705240714107301</v>
      </c>
      <c r="AI1292" s="27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43">
        <f t="shared" si="147"/>
        <v>2026</v>
      </c>
      <c r="C1293" s="116">
        <f t="shared" si="148"/>
        <v>2025</v>
      </c>
      <c r="D1293" s="2" t="s">
        <v>155</v>
      </c>
      <c r="E1293" s="2" t="s">
        <v>155</v>
      </c>
      <c r="F1293" s="30">
        <v>45809</v>
      </c>
      <c r="G1293" s="2">
        <f>DAY(EOMONTH(TA[[#This Row],[Month Year]],0))</f>
        <v>30</v>
      </c>
      <c r="H1293" s="21">
        <v>45836</v>
      </c>
      <c r="I1293" s="32">
        <f>IFERROR(VLOOKUP(TA[[#This Row],[Date]],Raw_Data[[Date]:[Sunset Time (POA&lt;20 W/m2)]],3,0),"")</f>
        <v>0.25138888888888888</v>
      </c>
      <c r="J1293" s="32">
        <f>IFERROR(VLOOKUP(TA[[#This Row],[Date]],Raw_Data[[Date]:[Sunset Time (POA&lt;20 W/m2)]],4,0),"")</f>
        <v>0.78472222222222221</v>
      </c>
      <c r="K1293" s="27">
        <f>IFERROR((TA[[#This Row],[Sunset Time (POA&lt;20 W/m2)]]-TA[[#This Row],[Sunrise Time (POA&gt;20 W/m2)]])*24,"")</f>
        <v>12.8</v>
      </c>
      <c r="L1293" s="2" t="s">
        <v>287</v>
      </c>
      <c r="M1293" s="33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14" t="s">
        <v>309</v>
      </c>
      <c r="Q1293" s="2" t="s">
        <v>312</v>
      </c>
      <c r="R1293">
        <v>133</v>
      </c>
      <c r="S1293" s="2">
        <v>26</v>
      </c>
      <c r="T1293" t="s">
        <v>288</v>
      </c>
      <c r="U1293" t="s">
        <v>291</v>
      </c>
      <c r="V1293" t="s">
        <v>305</v>
      </c>
      <c r="W1293" s="32">
        <f>IFERROR(VLOOKUP(TA[[#This Row],[Date]],Raw_Data[[Date]:[Sunset Time (POA&lt;20 W/m2)]],3,0),"")</f>
        <v>0.25138888888888888</v>
      </c>
      <c r="X1293" s="32">
        <f>IFERROR(VLOOKUP(TA[[#This Row],[Date]],Raw_Data[[Date]:[Sunset Time (POA&lt;20 W/m2)]],3,0),"")</f>
        <v>0.25138888888888888</v>
      </c>
      <c r="Y1293" s="26"/>
      <c r="Z1293" s="26">
        <v>0.76041666666666663</v>
      </c>
      <c r="AA1293" s="27">
        <f>IF(TA[[#This Row],[Work Start time on Fault]]="NA","",(TA[[#This Row],[Fault Acknowledgement Time ]]-TA[[#This Row],[Fault Time]])*24)</f>
        <v>0</v>
      </c>
      <c r="AB1293" s="27">
        <f>(TA[[#This Row],[Work Start time on Fault]]-TA[[#This Row],[Fault Time]])*24</f>
        <v>-6.0333333333333332</v>
      </c>
      <c r="AC1293" s="26">
        <f>(TA[[#This Row],[Work Completion time on fault]]-TA[[#This Row],[Fault Time]])*24</f>
        <v>12.216666666666665</v>
      </c>
      <c r="AD1293" s="27">
        <f>IFERROR((TA[[#This Row],[Work Completion time on fault]]-TA[[#This Row],[Fault Time]])*24,"")</f>
        <v>12.216666666666665</v>
      </c>
      <c r="AE1293" t="s">
        <v>319</v>
      </c>
      <c r="AF1293" t="s">
        <v>247</v>
      </c>
      <c r="AG1293" s="2"/>
      <c r="AH1293" s="35">
        <f>1-COS(RADIANS(TA[[#This Row],[Avg. Target Angle during Fault Time (Radians)]]-TA[[#This Row],[Angle of affected equipment ]]))</f>
        <v>0.11705240714107301</v>
      </c>
      <c r="AI1293" s="27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43">
        <f t="shared" si="147"/>
        <v>2026</v>
      </c>
      <c r="C1294" s="116">
        <f t="shared" si="148"/>
        <v>2025</v>
      </c>
      <c r="D1294" s="2" t="s">
        <v>155</v>
      </c>
      <c r="E1294" s="2" t="s">
        <v>155</v>
      </c>
      <c r="F1294" s="30">
        <v>45809</v>
      </c>
      <c r="G1294" s="2">
        <f>DAY(EOMONTH(TA[[#This Row],[Month Year]],0))</f>
        <v>30</v>
      </c>
      <c r="H1294" s="21">
        <v>45836</v>
      </c>
      <c r="I1294" s="32">
        <f>IFERROR(VLOOKUP(TA[[#This Row],[Date]],Raw_Data[[Date]:[Sunset Time (POA&lt;20 W/m2)]],3,0),"")</f>
        <v>0.25138888888888888</v>
      </c>
      <c r="J1294" s="32">
        <f>IFERROR(VLOOKUP(TA[[#This Row],[Date]],Raw_Data[[Date]:[Sunset Time (POA&lt;20 W/m2)]],4,0),"")</f>
        <v>0.78472222222222221</v>
      </c>
      <c r="K1294" s="27">
        <f>IFERROR((TA[[#This Row],[Sunset Time (POA&lt;20 W/m2)]]-TA[[#This Row],[Sunrise Time (POA&gt;20 W/m2)]])*24,"")</f>
        <v>12.8</v>
      </c>
      <c r="L1294" s="2" t="s">
        <v>285</v>
      </c>
      <c r="M1294" s="33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14" t="s">
        <v>307</v>
      </c>
      <c r="Q1294" s="113" t="s">
        <v>308</v>
      </c>
      <c r="R1294">
        <v>7</v>
      </c>
      <c r="S1294" s="2">
        <v>32</v>
      </c>
      <c r="T1294" t="s">
        <v>286</v>
      </c>
      <c r="U1294" t="s">
        <v>291</v>
      </c>
      <c r="V1294" t="s">
        <v>289</v>
      </c>
      <c r="W1294" s="32"/>
      <c r="X1294" s="32"/>
      <c r="Y1294" s="26"/>
      <c r="Z1294" s="26"/>
      <c r="AA1294" s="27">
        <f>IF(TA[[#This Row],[Work Start time on Fault]]="NA","",(TA[[#This Row],[Fault Acknowledgement Time ]]-TA[[#This Row],[Fault Time]])*24)</f>
        <v>0</v>
      </c>
      <c r="AB1294" s="27">
        <f>(TA[[#This Row],[Work Start time on Fault]]-TA[[#This Row],[Fault Time]])*24</f>
        <v>0</v>
      </c>
      <c r="AC1294" s="26">
        <f>(TA[[#This Row],[Work Completion time on fault]]-TA[[#This Row],[Fault Time]])*24</f>
        <v>0</v>
      </c>
      <c r="AD1294" s="27">
        <f>IFERROR((TA[[#This Row],[Work Completion time on fault]]-TA[[#This Row],[Fault Time]])*24,"")</f>
        <v>0</v>
      </c>
      <c r="AE1294" t="s">
        <v>319</v>
      </c>
      <c r="AF1294" t="s">
        <v>247</v>
      </c>
      <c r="AG1294" s="2"/>
      <c r="AH1294" s="35">
        <f>1-COS(RADIANS(TA[[#This Row],[Avg. Target Angle during Fault Time (Radians)]]-TA[[#This Row],[Angle of affected equipment ]]))</f>
        <v>0.11705240714107301</v>
      </c>
      <c r="AI1294" s="27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43">
        <f t="shared" si="147"/>
        <v>2026</v>
      </c>
      <c r="C1295" s="116">
        <f t="shared" si="148"/>
        <v>2025</v>
      </c>
      <c r="D1295" s="2" t="s">
        <v>155</v>
      </c>
      <c r="E1295" s="2" t="s">
        <v>155</v>
      </c>
      <c r="F1295" s="30">
        <v>45809</v>
      </c>
      <c r="G1295" s="2">
        <f>DAY(EOMONTH(TA[[#This Row],[Month Year]],0))</f>
        <v>30</v>
      </c>
      <c r="H1295" s="21">
        <v>45836</v>
      </c>
      <c r="I1295" s="32">
        <f>IFERROR(VLOOKUP(TA[[#This Row],[Date]],Raw_Data[[Date]:[Sunset Time (POA&lt;20 W/m2)]],3,0),"")</f>
        <v>0.25138888888888888</v>
      </c>
      <c r="J1295" s="32">
        <f>IFERROR(VLOOKUP(TA[[#This Row],[Date]],Raw_Data[[Date]:[Sunset Time (POA&lt;20 W/m2)]],4,0),"")</f>
        <v>0.78472222222222221</v>
      </c>
      <c r="K1295" s="27">
        <f>IFERROR((TA[[#This Row],[Sunset Time (POA&lt;20 W/m2)]]-TA[[#This Row],[Sunrise Time (POA&gt;20 W/m2)]])*24,"")</f>
        <v>12.8</v>
      </c>
      <c r="L1295" s="2" t="s">
        <v>285</v>
      </c>
      <c r="M1295" s="33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14" t="s">
        <v>306</v>
      </c>
      <c r="Q1295" s="113" t="s">
        <v>310</v>
      </c>
      <c r="R1295">
        <v>166</v>
      </c>
      <c r="S1295" s="2">
        <v>91</v>
      </c>
      <c r="T1295" t="s">
        <v>286</v>
      </c>
      <c r="U1295" t="s">
        <v>291</v>
      </c>
      <c r="V1295" t="s">
        <v>289</v>
      </c>
      <c r="W1295" s="32"/>
      <c r="X1295" s="32"/>
      <c r="Y1295" s="26"/>
      <c r="Z1295" s="26"/>
      <c r="AA1295" s="27">
        <f>IF(TA[[#This Row],[Work Start time on Fault]]="NA","",(TA[[#This Row],[Fault Acknowledgement Time ]]-TA[[#This Row],[Fault Time]])*24)</f>
        <v>0</v>
      </c>
      <c r="AB1295" s="27">
        <f>(TA[[#This Row],[Work Start time on Fault]]-TA[[#This Row],[Fault Time]])*24</f>
        <v>0</v>
      </c>
      <c r="AC1295" s="26">
        <f>(TA[[#This Row],[Work Completion time on fault]]-TA[[#This Row],[Fault Time]])*24</f>
        <v>0</v>
      </c>
      <c r="AD1295" s="27">
        <f>IFERROR((TA[[#This Row],[Work Completion time on fault]]-TA[[#This Row],[Fault Time]])*24,"")</f>
        <v>0</v>
      </c>
      <c r="AE1295" t="s">
        <v>319</v>
      </c>
      <c r="AF1295" t="s">
        <v>247</v>
      </c>
      <c r="AG1295" s="2"/>
      <c r="AH1295" s="35">
        <f>1-COS(RADIANS(TA[[#This Row],[Avg. Target Angle during Fault Time (Radians)]]-TA[[#This Row],[Angle of affected equipment ]]))</f>
        <v>0.11705240714107301</v>
      </c>
      <c r="AI1295" s="27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43">
        <f t="shared" si="147"/>
        <v>2026</v>
      </c>
      <c r="C1296" s="116">
        <f t="shared" si="148"/>
        <v>2025</v>
      </c>
      <c r="D1296" s="2" t="s">
        <v>155</v>
      </c>
      <c r="E1296" s="2" t="s">
        <v>155</v>
      </c>
      <c r="F1296" s="30">
        <v>45809</v>
      </c>
      <c r="G1296" s="2">
        <f>DAY(EOMONTH(TA[[#This Row],[Month Year]],0))</f>
        <v>30</v>
      </c>
      <c r="H1296" s="21">
        <v>45836</v>
      </c>
      <c r="I1296" s="32">
        <f>IFERROR(VLOOKUP(TA[[#This Row],[Date]],Raw_Data[[Date]:[Sunset Time (POA&lt;20 W/m2)]],3,0),"")</f>
        <v>0.25138888888888888</v>
      </c>
      <c r="J1296" s="32">
        <f>IFERROR(VLOOKUP(TA[[#This Row],[Date]],Raw_Data[[Date]:[Sunset Time (POA&lt;20 W/m2)]],4,0),"")</f>
        <v>0.78472222222222221</v>
      </c>
      <c r="K1296" s="27">
        <f>IFERROR((TA[[#This Row],[Sunset Time (POA&lt;20 W/m2)]]-TA[[#This Row],[Sunrise Time (POA&gt;20 W/m2)]])*24,"")</f>
        <v>12.8</v>
      </c>
      <c r="L1296" s="2" t="s">
        <v>285</v>
      </c>
      <c r="M1296" s="33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14" t="s">
        <v>307</v>
      </c>
      <c r="Q1296" s="113" t="s">
        <v>307</v>
      </c>
      <c r="R1296">
        <v>117</v>
      </c>
      <c r="S1296" s="2">
        <v>20</v>
      </c>
      <c r="T1296" t="s">
        <v>286</v>
      </c>
      <c r="U1296" t="s">
        <v>291</v>
      </c>
      <c r="V1296" t="s">
        <v>289</v>
      </c>
      <c r="W1296" s="32"/>
      <c r="X1296" s="32"/>
      <c r="Y1296" s="26"/>
      <c r="Z1296" s="26"/>
      <c r="AA1296" s="27">
        <f>IF(TA[[#This Row],[Work Start time on Fault]]="NA","",(TA[[#This Row],[Fault Acknowledgement Time ]]-TA[[#This Row],[Fault Time]])*24)</f>
        <v>0</v>
      </c>
      <c r="AB1296" s="27">
        <f>(TA[[#This Row],[Work Start time on Fault]]-TA[[#This Row],[Fault Time]])*24</f>
        <v>0</v>
      </c>
      <c r="AC1296" s="26">
        <f>(TA[[#This Row],[Work Completion time on fault]]-TA[[#This Row],[Fault Time]])*24</f>
        <v>0</v>
      </c>
      <c r="AD1296" s="27">
        <f>IFERROR((TA[[#This Row],[Work Completion time on fault]]-TA[[#This Row],[Fault Time]])*24,"")</f>
        <v>0</v>
      </c>
      <c r="AE1296" t="s">
        <v>319</v>
      </c>
      <c r="AF1296" t="s">
        <v>247</v>
      </c>
      <c r="AG1296" s="2"/>
      <c r="AH1296" s="35">
        <f>1-COS(RADIANS(TA[[#This Row],[Avg. Target Angle during Fault Time (Radians)]]-TA[[#This Row],[Angle of affected equipment ]]))</f>
        <v>0.11705240714107301</v>
      </c>
      <c r="AI1296" s="27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43">
        <f t="shared" si="147"/>
        <v>2026</v>
      </c>
      <c r="C1297" s="116">
        <f t="shared" si="148"/>
        <v>2025</v>
      </c>
      <c r="D1297" s="2" t="s">
        <v>155</v>
      </c>
      <c r="E1297" s="2" t="s">
        <v>155</v>
      </c>
      <c r="F1297" s="30">
        <v>45809</v>
      </c>
      <c r="G1297" s="2">
        <f>DAY(EOMONTH(TA[[#This Row],[Month Year]],0))</f>
        <v>30</v>
      </c>
      <c r="H1297" s="21">
        <v>45836</v>
      </c>
      <c r="I1297" s="32">
        <f>IFERROR(VLOOKUP(TA[[#This Row],[Date]],Raw_Data[[Date]:[Sunset Time (POA&lt;20 W/m2)]],3,0),"")</f>
        <v>0.25138888888888888</v>
      </c>
      <c r="J1297" s="32">
        <f>IFERROR(VLOOKUP(TA[[#This Row],[Date]],Raw_Data[[Date]:[Sunset Time (POA&lt;20 W/m2)]],4,0),"")</f>
        <v>0.78472222222222221</v>
      </c>
      <c r="K1297" s="27">
        <f>IFERROR((TA[[#This Row],[Sunset Time (POA&lt;20 W/m2)]]-TA[[#This Row],[Sunrise Time (POA&gt;20 W/m2)]])*24,"")</f>
        <v>12.8</v>
      </c>
      <c r="L1297" s="2" t="s">
        <v>285</v>
      </c>
      <c r="M1297" s="33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14" t="s">
        <v>307</v>
      </c>
      <c r="Q1297" s="113" t="s">
        <v>307</v>
      </c>
      <c r="R1297">
        <v>118</v>
      </c>
      <c r="S1297" s="2">
        <v>22</v>
      </c>
      <c r="T1297" t="s">
        <v>286</v>
      </c>
      <c r="U1297" t="s">
        <v>291</v>
      </c>
      <c r="V1297" t="s">
        <v>289</v>
      </c>
      <c r="W1297" s="32"/>
      <c r="X1297" s="32"/>
      <c r="Y1297" s="26"/>
      <c r="Z1297" s="26"/>
      <c r="AA1297" s="27">
        <f>IF(TA[[#This Row],[Work Start time on Fault]]="NA","",(TA[[#This Row],[Fault Acknowledgement Time ]]-TA[[#This Row],[Fault Time]])*24)</f>
        <v>0</v>
      </c>
      <c r="AB1297" s="27">
        <f>(TA[[#This Row],[Work Start time on Fault]]-TA[[#This Row],[Fault Time]])*24</f>
        <v>0</v>
      </c>
      <c r="AC1297" s="26">
        <f>(TA[[#This Row],[Work Completion time on fault]]-TA[[#This Row],[Fault Time]])*24</f>
        <v>0</v>
      </c>
      <c r="AD1297" s="27">
        <f>IFERROR((TA[[#This Row],[Work Completion time on fault]]-TA[[#This Row],[Fault Time]])*24,"")</f>
        <v>0</v>
      </c>
      <c r="AE1297" t="s">
        <v>319</v>
      </c>
      <c r="AF1297" t="s">
        <v>247</v>
      </c>
      <c r="AG1297" s="2"/>
      <c r="AH1297" s="35">
        <f>1-COS(RADIANS(TA[[#This Row],[Avg. Target Angle during Fault Time (Radians)]]-TA[[#This Row],[Angle of affected equipment ]]))</f>
        <v>0.11705240714107301</v>
      </c>
      <c r="AI1297" s="27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43">
        <f t="shared" si="147"/>
        <v>2026</v>
      </c>
      <c r="C1298" s="116">
        <f t="shared" si="148"/>
        <v>2025</v>
      </c>
      <c r="D1298" s="2" t="s">
        <v>155</v>
      </c>
      <c r="E1298" s="2" t="s">
        <v>155</v>
      </c>
      <c r="F1298" s="30">
        <v>45809</v>
      </c>
      <c r="G1298" s="2">
        <f>DAY(EOMONTH(TA[[#This Row],[Month Year]],0))</f>
        <v>30</v>
      </c>
      <c r="H1298" s="21">
        <v>45836</v>
      </c>
      <c r="I1298" s="32">
        <f>IFERROR(VLOOKUP(TA[[#This Row],[Date]],Raw_Data[[Date]:[Sunset Time (POA&lt;20 W/m2)]],3,0),"")</f>
        <v>0.25138888888888888</v>
      </c>
      <c r="J1298" s="32">
        <f>IFERROR(VLOOKUP(TA[[#This Row],[Date]],Raw_Data[[Date]:[Sunset Time (POA&lt;20 W/m2)]],4,0),"")</f>
        <v>0.78472222222222221</v>
      </c>
      <c r="K1298" s="27">
        <f>IFERROR((TA[[#This Row],[Sunset Time (POA&lt;20 W/m2)]]-TA[[#This Row],[Sunrise Time (POA&gt;20 W/m2)]])*24,"")</f>
        <v>12.8</v>
      </c>
      <c r="L1298" s="2" t="s">
        <v>287</v>
      </c>
      <c r="M1298" s="33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314</v>
      </c>
      <c r="Q1298" s="2" t="s">
        <v>320</v>
      </c>
      <c r="R1298">
        <v>45</v>
      </c>
      <c r="S1298" s="2">
        <v>8</v>
      </c>
      <c r="T1298" t="s">
        <v>288</v>
      </c>
      <c r="U1298" t="s">
        <v>291</v>
      </c>
      <c r="V1298" t="s">
        <v>292</v>
      </c>
      <c r="W1298" s="32"/>
      <c r="X1298" s="32"/>
      <c r="Y1298" s="26"/>
      <c r="Z1298" s="26"/>
      <c r="AA1298" s="27">
        <f>IF(TA[[#This Row],[Work Start time on Fault]]="NA","",(TA[[#This Row],[Fault Acknowledgement Time ]]-TA[[#This Row],[Fault Time]])*24)</f>
        <v>0</v>
      </c>
      <c r="AB1298" s="27">
        <f>(TA[[#This Row],[Work Start time on Fault]]-TA[[#This Row],[Fault Time]])*24</f>
        <v>0</v>
      </c>
      <c r="AC1298" s="26">
        <f>(TA[[#This Row],[Work Completion time on fault]]-TA[[#This Row],[Fault Time]])*24</f>
        <v>0</v>
      </c>
      <c r="AD1298" s="27">
        <f>IFERROR((TA[[#This Row],[Work Completion time on fault]]-TA[[#This Row],[Fault Time]])*24,"")</f>
        <v>0</v>
      </c>
      <c r="AE1298" t="s">
        <v>319</v>
      </c>
      <c r="AF1298" t="s">
        <v>247</v>
      </c>
      <c r="AG1298" s="2"/>
      <c r="AH1298" s="35">
        <f>1-COS(RADIANS(TA[[#This Row],[Avg. Target Angle during Fault Time (Radians)]]-TA[[#This Row],[Angle of affected equipment ]]))</f>
        <v>0.11705240714107301</v>
      </c>
      <c r="AI1298" s="27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43">
        <f t="shared" si="147"/>
        <v>2026</v>
      </c>
      <c r="C1299" s="116">
        <f t="shared" si="148"/>
        <v>2025</v>
      </c>
      <c r="D1299" s="2" t="s">
        <v>155</v>
      </c>
      <c r="E1299" s="2" t="s">
        <v>155</v>
      </c>
      <c r="F1299" s="30">
        <v>45809</v>
      </c>
      <c r="G1299" s="2">
        <f>DAY(EOMONTH(TA[[#This Row],[Month Year]],0))</f>
        <v>30</v>
      </c>
      <c r="H1299" s="21">
        <v>45836</v>
      </c>
      <c r="I1299" s="32">
        <f>IFERROR(VLOOKUP(TA[[#This Row],[Date]],Raw_Data[[Date]:[Sunset Time (POA&lt;20 W/m2)]],3,0),"")</f>
        <v>0.25138888888888888</v>
      </c>
      <c r="J1299" s="32">
        <f>IFERROR(VLOOKUP(TA[[#This Row],[Date]],Raw_Data[[Date]:[Sunset Time (POA&lt;20 W/m2)]],4,0),"")</f>
        <v>0.78472222222222221</v>
      </c>
      <c r="K1299" s="27">
        <f>IFERROR((TA[[#This Row],[Sunset Time (POA&lt;20 W/m2)]]-TA[[#This Row],[Sunrise Time (POA&gt;20 W/m2)]])*24,"")</f>
        <v>12.8</v>
      </c>
      <c r="L1299" s="2" t="s">
        <v>287</v>
      </c>
      <c r="M1299" s="33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314</v>
      </c>
      <c r="Q1299" s="2" t="s">
        <v>320</v>
      </c>
      <c r="R1299">
        <v>47</v>
      </c>
      <c r="S1299" s="2">
        <v>18</v>
      </c>
      <c r="T1299" t="s">
        <v>288</v>
      </c>
      <c r="U1299" t="s">
        <v>291</v>
      </c>
      <c r="V1299" t="s">
        <v>292</v>
      </c>
      <c r="W1299" s="32"/>
      <c r="X1299" s="32"/>
      <c r="Y1299" s="26"/>
      <c r="Z1299" s="26"/>
      <c r="AA1299" s="27">
        <f>IF(TA[[#This Row],[Work Start time on Fault]]="NA","",(TA[[#This Row],[Fault Acknowledgement Time ]]-TA[[#This Row],[Fault Time]])*24)</f>
        <v>0</v>
      </c>
      <c r="AB1299" s="27">
        <f>(TA[[#This Row],[Work Start time on Fault]]-TA[[#This Row],[Fault Time]])*24</f>
        <v>0</v>
      </c>
      <c r="AC1299" s="26">
        <f>(TA[[#This Row],[Work Completion time on fault]]-TA[[#This Row],[Fault Time]])*24</f>
        <v>0</v>
      </c>
      <c r="AD1299" s="27">
        <f>IFERROR((TA[[#This Row],[Work Completion time on fault]]-TA[[#This Row],[Fault Time]])*24,"")</f>
        <v>0</v>
      </c>
      <c r="AE1299" t="s">
        <v>319</v>
      </c>
      <c r="AF1299" t="s">
        <v>247</v>
      </c>
      <c r="AG1299" s="2"/>
      <c r="AH1299" s="35">
        <f>1-COS(RADIANS(TA[[#This Row],[Avg. Target Angle during Fault Time (Radians)]]-TA[[#This Row],[Angle of affected equipment ]]))</f>
        <v>0.11705240714107301</v>
      </c>
      <c r="AI1299" s="27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43">
        <f t="shared" si="147"/>
        <v>2026</v>
      </c>
      <c r="C1300" s="116">
        <f t="shared" si="148"/>
        <v>2025</v>
      </c>
      <c r="D1300" s="2" t="s">
        <v>155</v>
      </c>
      <c r="E1300" s="2" t="s">
        <v>155</v>
      </c>
      <c r="F1300" s="30">
        <v>45809</v>
      </c>
      <c r="G1300" s="2">
        <f>DAY(EOMONTH(TA[[#This Row],[Month Year]],0))</f>
        <v>30</v>
      </c>
      <c r="H1300" s="21">
        <v>45836</v>
      </c>
      <c r="I1300" s="32">
        <f>IFERROR(VLOOKUP(TA[[#This Row],[Date]],Raw_Data[[Date]:[Sunset Time (POA&lt;20 W/m2)]],3,0),"")</f>
        <v>0.25138888888888888</v>
      </c>
      <c r="J1300" s="32">
        <f>IFERROR(VLOOKUP(TA[[#This Row],[Date]],Raw_Data[[Date]:[Sunset Time (POA&lt;20 W/m2)]],4,0),"")</f>
        <v>0.78472222222222221</v>
      </c>
      <c r="K1300" s="27">
        <f>IFERROR((TA[[#This Row],[Sunset Time (POA&lt;20 W/m2)]]-TA[[#This Row],[Sunrise Time (POA&gt;20 W/m2)]])*24,"")</f>
        <v>12.8</v>
      </c>
      <c r="L1300" s="2" t="s">
        <v>287</v>
      </c>
      <c r="M1300" s="33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321</v>
      </c>
      <c r="Q1300" s="2" t="s">
        <v>314</v>
      </c>
      <c r="R1300">
        <v>30</v>
      </c>
      <c r="S1300" s="2">
        <v>57</v>
      </c>
      <c r="T1300" t="s">
        <v>288</v>
      </c>
      <c r="U1300" t="s">
        <v>291</v>
      </c>
      <c r="V1300" t="s">
        <v>292</v>
      </c>
      <c r="W1300" s="32"/>
      <c r="X1300" s="32"/>
      <c r="Y1300" s="26"/>
      <c r="Z1300" s="26"/>
      <c r="AA1300" s="27">
        <f>IF(TA[[#This Row],[Work Start time on Fault]]="NA","",(TA[[#This Row],[Fault Acknowledgement Time ]]-TA[[#This Row],[Fault Time]])*24)</f>
        <v>0</v>
      </c>
      <c r="AB1300" s="27">
        <f>(TA[[#This Row],[Work Start time on Fault]]-TA[[#This Row],[Fault Time]])*24</f>
        <v>0</v>
      </c>
      <c r="AC1300" s="26">
        <f>(TA[[#This Row],[Work Completion time on fault]]-TA[[#This Row],[Fault Time]])*24</f>
        <v>0</v>
      </c>
      <c r="AD1300" s="27">
        <f>IFERROR((TA[[#This Row],[Work Completion time on fault]]-TA[[#This Row],[Fault Time]])*24,"")</f>
        <v>0</v>
      </c>
      <c r="AE1300" t="s">
        <v>319</v>
      </c>
      <c r="AF1300" t="s">
        <v>247</v>
      </c>
      <c r="AG1300" s="2"/>
      <c r="AH1300" s="35">
        <f>1-COS(RADIANS(TA[[#This Row],[Avg. Target Angle during Fault Time (Radians)]]-TA[[#This Row],[Angle of affected equipment ]]))</f>
        <v>0.11705240714107301</v>
      </c>
      <c r="AI1300" s="27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43">
        <f t="shared" si="147"/>
        <v>2026</v>
      </c>
      <c r="C1301" s="116">
        <f t="shared" si="148"/>
        <v>2025</v>
      </c>
      <c r="D1301" s="2" t="s">
        <v>155</v>
      </c>
      <c r="E1301" s="2" t="s">
        <v>155</v>
      </c>
      <c r="F1301" s="30">
        <v>45809</v>
      </c>
      <c r="G1301" s="2">
        <f>DAY(EOMONTH(TA[[#This Row],[Month Year]],0))</f>
        <v>30</v>
      </c>
      <c r="H1301" s="21">
        <v>45836</v>
      </c>
      <c r="I1301" s="32">
        <f>IFERROR(VLOOKUP(TA[[#This Row],[Date]],Raw_Data[[Date]:[Sunset Time (POA&lt;20 W/m2)]],3,0),"")</f>
        <v>0.25138888888888888</v>
      </c>
      <c r="J1301" s="32">
        <f>IFERROR(VLOOKUP(TA[[#This Row],[Date]],Raw_Data[[Date]:[Sunset Time (POA&lt;20 W/m2)]],4,0),"")</f>
        <v>0.78472222222222221</v>
      </c>
      <c r="K1301" s="27">
        <f>IFERROR((TA[[#This Row],[Sunset Time (POA&lt;20 W/m2)]]-TA[[#This Row],[Sunrise Time (POA&gt;20 W/m2)]])*24,"")</f>
        <v>12.8</v>
      </c>
      <c r="L1301" s="2" t="s">
        <v>287</v>
      </c>
      <c r="M1301" s="33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321</v>
      </c>
      <c r="Q1301" s="2" t="s">
        <v>314</v>
      </c>
      <c r="R1301">
        <v>31</v>
      </c>
      <c r="S1301" s="2">
        <v>61</v>
      </c>
      <c r="T1301" t="s">
        <v>288</v>
      </c>
      <c r="U1301" t="s">
        <v>291</v>
      </c>
      <c r="V1301" t="s">
        <v>292</v>
      </c>
      <c r="W1301" s="32"/>
      <c r="X1301" s="32"/>
      <c r="Y1301" s="26"/>
      <c r="Z1301" s="26"/>
      <c r="AA1301" s="27">
        <f>IF(TA[[#This Row],[Work Start time on Fault]]="NA","",(TA[[#This Row],[Fault Acknowledgement Time ]]-TA[[#This Row],[Fault Time]])*24)</f>
        <v>0</v>
      </c>
      <c r="AB1301" s="27">
        <f>(TA[[#This Row],[Work Start time on Fault]]-TA[[#This Row],[Fault Time]])*24</f>
        <v>0</v>
      </c>
      <c r="AC1301" s="26">
        <f>(TA[[#This Row],[Work Completion time on fault]]-TA[[#This Row],[Fault Time]])*24</f>
        <v>0</v>
      </c>
      <c r="AD1301" s="27">
        <f>IFERROR((TA[[#This Row],[Work Completion time on fault]]-TA[[#This Row],[Fault Time]])*24,"")</f>
        <v>0</v>
      </c>
      <c r="AE1301" t="s">
        <v>319</v>
      </c>
      <c r="AF1301" t="s">
        <v>247</v>
      </c>
      <c r="AG1301" s="2"/>
      <c r="AH1301" s="35">
        <f>1-COS(RADIANS(TA[[#This Row],[Avg. Target Angle during Fault Time (Radians)]]-TA[[#This Row],[Angle of affected equipment ]]))</f>
        <v>0.11705240714107301</v>
      </c>
      <c r="AI1301" s="27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43">
        <f t="shared" si="147"/>
        <v>2026</v>
      </c>
      <c r="C1302" s="116">
        <f t="shared" si="148"/>
        <v>2025</v>
      </c>
      <c r="D1302" s="2" t="s">
        <v>155</v>
      </c>
      <c r="E1302" s="2" t="s">
        <v>155</v>
      </c>
      <c r="F1302" s="30">
        <v>45809</v>
      </c>
      <c r="G1302" s="2">
        <f>DAY(EOMONTH(TA[[#This Row],[Month Year]],0))</f>
        <v>30</v>
      </c>
      <c r="H1302" s="21">
        <v>45836</v>
      </c>
      <c r="I1302" s="32">
        <f>IFERROR(VLOOKUP(TA[[#This Row],[Date]],Raw_Data[[Date]:[Sunset Time (POA&lt;20 W/m2)]],3,0),"")</f>
        <v>0.25138888888888888</v>
      </c>
      <c r="J1302" s="32">
        <f>IFERROR(VLOOKUP(TA[[#This Row],[Date]],Raw_Data[[Date]:[Sunset Time (POA&lt;20 W/m2)]],4,0),"")</f>
        <v>0.78472222222222221</v>
      </c>
      <c r="K1302" s="27">
        <f>IFERROR((TA[[#This Row],[Sunset Time (POA&lt;20 W/m2)]]-TA[[#This Row],[Sunrise Time (POA&gt;20 W/m2)]])*24,"")</f>
        <v>12.8</v>
      </c>
      <c r="L1302" s="2" t="s">
        <v>303</v>
      </c>
      <c r="M1302" s="33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321</v>
      </c>
      <c r="Q1302" s="2" t="s">
        <v>314</v>
      </c>
      <c r="R1302">
        <v>26</v>
      </c>
      <c r="S1302" s="2">
        <v>37</v>
      </c>
      <c r="T1302" t="s">
        <v>288</v>
      </c>
      <c r="U1302" t="s">
        <v>291</v>
      </c>
      <c r="V1302" t="s">
        <v>292</v>
      </c>
      <c r="W1302" s="32"/>
      <c r="X1302" s="32"/>
      <c r="Y1302" s="26"/>
      <c r="Z1302" s="26"/>
      <c r="AA1302" s="27">
        <f>IF(TA[[#This Row],[Work Start time on Fault]]="NA","",(TA[[#This Row],[Fault Acknowledgement Time ]]-TA[[#This Row],[Fault Time]])*24)</f>
        <v>0</v>
      </c>
      <c r="AB1302" s="27">
        <f>(TA[[#This Row],[Work Start time on Fault]]-TA[[#This Row],[Fault Time]])*24</f>
        <v>0</v>
      </c>
      <c r="AC1302" s="26">
        <f>(TA[[#This Row],[Work Completion time on fault]]-TA[[#This Row],[Fault Time]])*24</f>
        <v>0</v>
      </c>
      <c r="AD1302" s="27">
        <f>IFERROR((TA[[#This Row],[Work Completion time on fault]]-TA[[#This Row],[Fault Time]])*24,"")</f>
        <v>0</v>
      </c>
      <c r="AE1302" t="s">
        <v>319</v>
      </c>
      <c r="AF1302" t="s">
        <v>247</v>
      </c>
      <c r="AG1302" s="2"/>
      <c r="AH1302" s="35">
        <f>1-COS(RADIANS(TA[[#This Row],[Avg. Target Angle during Fault Time (Radians)]]-TA[[#This Row],[Angle of affected equipment ]]))</f>
        <v>0.11705240714107301</v>
      </c>
      <c r="AI1302" s="27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43">
        <f t="shared" si="147"/>
        <v>2026</v>
      </c>
      <c r="C1303" s="116">
        <f t="shared" si="148"/>
        <v>2025</v>
      </c>
      <c r="D1303" s="2" t="s">
        <v>155</v>
      </c>
      <c r="E1303" s="2" t="s">
        <v>155</v>
      </c>
      <c r="F1303" s="30">
        <v>45809</v>
      </c>
      <c r="G1303" s="2">
        <f>DAY(EOMONTH(TA[[#This Row],[Month Year]],0))</f>
        <v>30</v>
      </c>
      <c r="H1303" s="21">
        <v>45836</v>
      </c>
      <c r="I1303" s="32">
        <f>IFERROR(VLOOKUP(TA[[#This Row],[Date]],Raw_Data[[Date]:[Sunset Time (POA&lt;20 W/m2)]],3,0),"")</f>
        <v>0.25138888888888888</v>
      </c>
      <c r="J1303" s="32">
        <f>IFERROR(VLOOKUP(TA[[#This Row],[Date]],Raw_Data[[Date]:[Sunset Time (POA&lt;20 W/m2)]],4,0),"")</f>
        <v>0.78472222222222221</v>
      </c>
      <c r="K1303" s="27">
        <f>IFERROR((TA[[#This Row],[Sunset Time (POA&lt;20 W/m2)]]-TA[[#This Row],[Sunrise Time (POA&gt;20 W/m2)]])*24,"")</f>
        <v>12.8</v>
      </c>
      <c r="L1303" s="2" t="s">
        <v>303</v>
      </c>
      <c r="M1303" s="33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321</v>
      </c>
      <c r="Q1303" s="2" t="s">
        <v>314</v>
      </c>
      <c r="R1303">
        <v>27</v>
      </c>
      <c r="S1303" s="2">
        <v>42</v>
      </c>
      <c r="T1303" t="s">
        <v>288</v>
      </c>
      <c r="U1303" t="s">
        <v>291</v>
      </c>
      <c r="V1303" t="s">
        <v>292</v>
      </c>
      <c r="W1303" s="32">
        <f>IFERROR(VLOOKUP(TA[[#This Row],[Date]],Raw_Data[[Date]:[Sunset Time (POA&lt;20 W/m2)]],3,0),"")</f>
        <v>0.25138888888888888</v>
      </c>
      <c r="X1303" s="32">
        <f>IFERROR(VLOOKUP(TA[[#This Row],[Date]],Raw_Data[[Date]:[Sunset Time (POA&lt;20 W/m2)]],3,0),"")</f>
        <v>0.25138888888888888</v>
      </c>
      <c r="Y1303" s="26"/>
      <c r="Z1303" s="26">
        <v>0.76041666666666663</v>
      </c>
      <c r="AA1303" s="27">
        <f>IF(TA[[#This Row],[Work Start time on Fault]]="NA","",(TA[[#This Row],[Fault Acknowledgement Time ]]-TA[[#This Row],[Fault Time]])*24)</f>
        <v>0</v>
      </c>
      <c r="AB1303" s="27">
        <f>(TA[[#This Row],[Work Start time on Fault]]-TA[[#This Row],[Fault Time]])*24</f>
        <v>-6.0333333333333332</v>
      </c>
      <c r="AC1303" s="26">
        <f>(TA[[#This Row],[Work Completion time on fault]]-TA[[#This Row],[Fault Time]])*24</f>
        <v>12.216666666666665</v>
      </c>
      <c r="AD1303" s="27">
        <f>IFERROR((TA[[#This Row],[Work Completion time on fault]]-TA[[#This Row],[Fault Time]])*24,"")</f>
        <v>12.216666666666665</v>
      </c>
      <c r="AE1303" t="s">
        <v>300</v>
      </c>
      <c r="AF1303" t="s">
        <v>247</v>
      </c>
      <c r="AG1303" s="2"/>
      <c r="AH1303" s="35">
        <f>1-COS(RADIANS(TA[[#This Row],[Avg. Target Angle during Fault Time (Radians)]]-TA[[#This Row],[Angle of affected equipment ]]))</f>
        <v>0.11705240714107301</v>
      </c>
      <c r="AI1303" s="27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43">
        <f t="shared" ref="B1304:B1316" si="149">YEAR(H1304)+IF(MONTH(H1304)&gt;=4,1,0)</f>
        <v>2026</v>
      </c>
      <c r="C1304" s="116">
        <f t="shared" ref="C1304:C1316" si="150">YEAR(H1304)</f>
        <v>2025</v>
      </c>
      <c r="D1304" s="2" t="s">
        <v>155</v>
      </c>
      <c r="E1304" s="2" t="s">
        <v>155</v>
      </c>
      <c r="F1304" s="30">
        <v>45809</v>
      </c>
      <c r="G1304" s="2">
        <f>DAY(EOMONTH(TA[[#This Row],[Month Year]],0))</f>
        <v>30</v>
      </c>
      <c r="H1304" s="21">
        <v>45837</v>
      </c>
      <c r="I1304" s="32">
        <f>IFERROR(VLOOKUP(TA[[#This Row],[Date]],Raw_Data[[Date]:[Sunset Time (POA&lt;20 W/m2)]],3,0),"")</f>
        <v>0.24930555555555556</v>
      </c>
      <c r="J1304" s="32">
        <f>IFERROR(VLOOKUP(TA[[#This Row],[Date]],Raw_Data[[Date]:[Sunset Time (POA&lt;20 W/m2)]],4,0),"")</f>
        <v>0.77638888888888891</v>
      </c>
      <c r="K1304" s="27">
        <f>IFERROR((TA[[#This Row],[Sunset Time (POA&lt;20 W/m2)]]-TA[[#This Row],[Sunrise Time (POA&gt;20 W/m2)]])*24,"")</f>
        <v>12.65</v>
      </c>
      <c r="L1304" s="2" t="s">
        <v>285</v>
      </c>
      <c r="M1304" s="33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14" t="s">
        <v>309</v>
      </c>
      <c r="Q1304" s="113" t="s">
        <v>309</v>
      </c>
      <c r="R1304">
        <v>131</v>
      </c>
      <c r="S1304" s="2">
        <v>38</v>
      </c>
      <c r="T1304" t="s">
        <v>286</v>
      </c>
      <c r="U1304" t="s">
        <v>291</v>
      </c>
      <c r="V1304" t="s">
        <v>289</v>
      </c>
      <c r="W1304" s="32"/>
      <c r="X1304" s="32"/>
      <c r="Y1304" s="26"/>
      <c r="Z1304" s="26"/>
      <c r="AA1304" s="27">
        <f>IF(TA[[#This Row],[Work Start time on Fault]]="NA","",(TA[[#This Row],[Fault Acknowledgement Time ]]-TA[[#This Row],[Fault Time]])*24)</f>
        <v>0</v>
      </c>
      <c r="AB1304" s="27">
        <f>(TA[[#This Row],[Work Start time on Fault]]-TA[[#This Row],[Fault Time]])*24</f>
        <v>0</v>
      </c>
      <c r="AC1304" s="26">
        <f>(TA[[#This Row],[Work Completion time on fault]]-TA[[#This Row],[Fault Time]])*24</f>
        <v>0</v>
      </c>
      <c r="AD1304" s="27">
        <f>IFERROR((TA[[#This Row],[Work Completion time on fault]]-TA[[#This Row],[Fault Time]])*24,"")</f>
        <v>0</v>
      </c>
      <c r="AE1304" t="s">
        <v>319</v>
      </c>
      <c r="AF1304" t="s">
        <v>247</v>
      </c>
      <c r="AG1304" s="2"/>
      <c r="AH1304" s="35">
        <f>1-COS(RADIANS(TA[[#This Row],[Avg. Target Angle during Fault Time (Radians)]]-TA[[#This Row],[Angle of affected equipment ]]))</f>
        <v>0.11705240714107301</v>
      </c>
      <c r="AI1304" s="27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43">
        <f t="shared" si="149"/>
        <v>2026</v>
      </c>
      <c r="C1305" s="116">
        <f t="shared" si="150"/>
        <v>2025</v>
      </c>
      <c r="D1305" s="2" t="s">
        <v>155</v>
      </c>
      <c r="E1305" s="2" t="s">
        <v>155</v>
      </c>
      <c r="F1305" s="30">
        <v>45809</v>
      </c>
      <c r="G1305" s="2">
        <f>DAY(EOMONTH(TA[[#This Row],[Month Year]],0))</f>
        <v>30</v>
      </c>
      <c r="H1305" s="21">
        <v>45837</v>
      </c>
      <c r="I1305" s="32">
        <f>IFERROR(VLOOKUP(TA[[#This Row],[Date]],Raw_Data[[Date]:[Sunset Time (POA&lt;20 W/m2)]],3,0),"")</f>
        <v>0.24930555555555556</v>
      </c>
      <c r="J1305" s="32">
        <f>IFERROR(VLOOKUP(TA[[#This Row],[Date]],Raw_Data[[Date]:[Sunset Time (POA&lt;20 W/m2)]],4,0),"")</f>
        <v>0.77638888888888891</v>
      </c>
      <c r="K1305" s="27">
        <f>IFERROR((TA[[#This Row],[Sunset Time (POA&lt;20 W/m2)]]-TA[[#This Row],[Sunrise Time (POA&gt;20 W/m2)]])*24,"")</f>
        <v>12.65</v>
      </c>
      <c r="L1305" s="2" t="s">
        <v>285</v>
      </c>
      <c r="M1305" s="33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14" t="s">
        <v>309</v>
      </c>
      <c r="Q1305" s="113" t="s">
        <v>309</v>
      </c>
      <c r="R1305">
        <v>131</v>
      </c>
      <c r="S1305" s="2">
        <v>39</v>
      </c>
      <c r="T1305" t="s">
        <v>286</v>
      </c>
      <c r="U1305" t="s">
        <v>291</v>
      </c>
      <c r="V1305" t="s">
        <v>289</v>
      </c>
      <c r="W1305" s="32"/>
      <c r="X1305" s="32"/>
      <c r="Y1305" s="26"/>
      <c r="Z1305" s="26"/>
      <c r="AA1305" s="27">
        <f>IF(TA[[#This Row],[Work Start time on Fault]]="NA","",(TA[[#This Row],[Fault Acknowledgement Time ]]-TA[[#This Row],[Fault Time]])*24)</f>
        <v>0</v>
      </c>
      <c r="AB1305" s="27">
        <f>(TA[[#This Row],[Work Start time on Fault]]-TA[[#This Row],[Fault Time]])*24</f>
        <v>0</v>
      </c>
      <c r="AC1305" s="26">
        <f>(TA[[#This Row],[Work Completion time on fault]]-TA[[#This Row],[Fault Time]])*24</f>
        <v>0</v>
      </c>
      <c r="AD1305" s="27">
        <f>IFERROR((TA[[#This Row],[Work Completion time on fault]]-TA[[#This Row],[Fault Time]])*24,"")</f>
        <v>0</v>
      </c>
      <c r="AE1305" t="s">
        <v>319</v>
      </c>
      <c r="AF1305" t="s">
        <v>247</v>
      </c>
      <c r="AG1305" s="2"/>
      <c r="AH1305" s="35">
        <f>1-COS(RADIANS(TA[[#This Row],[Avg. Target Angle during Fault Time (Radians)]]-TA[[#This Row],[Angle of affected equipment ]]))</f>
        <v>0.11705240714107301</v>
      </c>
      <c r="AI1305" s="27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43">
        <f t="shared" si="149"/>
        <v>2026</v>
      </c>
      <c r="C1306" s="116">
        <f t="shared" si="150"/>
        <v>2025</v>
      </c>
      <c r="D1306" s="2" t="s">
        <v>155</v>
      </c>
      <c r="E1306" s="2" t="s">
        <v>155</v>
      </c>
      <c r="F1306" s="30">
        <v>45809</v>
      </c>
      <c r="G1306" s="2">
        <f>DAY(EOMONTH(TA[[#This Row],[Month Year]],0))</f>
        <v>30</v>
      </c>
      <c r="H1306" s="21">
        <v>45837</v>
      </c>
      <c r="I1306" s="32">
        <f>IFERROR(VLOOKUP(TA[[#This Row],[Date]],Raw_Data[[Date]:[Sunset Time (POA&lt;20 W/m2)]],3,0),"")</f>
        <v>0.24930555555555556</v>
      </c>
      <c r="J1306" s="32">
        <f>IFERROR(VLOOKUP(TA[[#This Row],[Date]],Raw_Data[[Date]:[Sunset Time (POA&lt;20 W/m2)]],4,0),"")</f>
        <v>0.77638888888888891</v>
      </c>
      <c r="K1306" s="27">
        <f>IFERROR((TA[[#This Row],[Sunset Time (POA&lt;20 W/m2)]]-TA[[#This Row],[Sunrise Time (POA&gt;20 W/m2)]])*24,"")</f>
        <v>12.65</v>
      </c>
      <c r="L1306" s="2" t="s">
        <v>287</v>
      </c>
      <c r="M1306" s="33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14" t="s">
        <v>309</v>
      </c>
      <c r="Q1306" s="2" t="s">
        <v>312</v>
      </c>
      <c r="R1306">
        <v>133</v>
      </c>
      <c r="S1306" s="2">
        <v>26</v>
      </c>
      <c r="T1306" t="s">
        <v>288</v>
      </c>
      <c r="U1306" t="s">
        <v>291</v>
      </c>
      <c r="V1306" t="s">
        <v>305</v>
      </c>
      <c r="W1306" s="32">
        <f>IFERROR(VLOOKUP(TA[[#This Row],[Date]],Raw_Data[[Date]:[Sunset Time (POA&lt;20 W/m2)]],3,0),"")</f>
        <v>0.24930555555555556</v>
      </c>
      <c r="X1306" s="32">
        <f>IFERROR(VLOOKUP(TA[[#This Row],[Date]],Raw_Data[[Date]:[Sunset Time (POA&lt;20 W/m2)]],3,0),"")</f>
        <v>0.24930555555555556</v>
      </c>
      <c r="Y1306" s="26"/>
      <c r="Z1306" s="26">
        <v>0.76041666666666663</v>
      </c>
      <c r="AA1306" s="27">
        <f>IF(TA[[#This Row],[Work Start time on Fault]]="NA","",(TA[[#This Row],[Fault Acknowledgement Time ]]-TA[[#This Row],[Fault Time]])*24)</f>
        <v>0</v>
      </c>
      <c r="AB1306" s="27">
        <f>(TA[[#This Row],[Work Start time on Fault]]-TA[[#This Row],[Fault Time]])*24</f>
        <v>-5.9833333333333334</v>
      </c>
      <c r="AC1306" s="26">
        <f>(TA[[#This Row],[Work Completion time on fault]]-TA[[#This Row],[Fault Time]])*24</f>
        <v>12.266666666666666</v>
      </c>
      <c r="AD1306" s="27">
        <f>IFERROR((TA[[#This Row],[Work Completion time on fault]]-TA[[#This Row],[Fault Time]])*24,"")</f>
        <v>12.266666666666666</v>
      </c>
      <c r="AE1306" t="s">
        <v>319</v>
      </c>
      <c r="AF1306" t="s">
        <v>247</v>
      </c>
      <c r="AG1306" s="2"/>
      <c r="AH1306" s="35">
        <f>1-COS(RADIANS(TA[[#This Row],[Avg. Target Angle during Fault Time (Radians)]]-TA[[#This Row],[Angle of affected equipment ]]))</f>
        <v>0.11705240714107301</v>
      </c>
      <c r="AI1306" s="27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43">
        <f t="shared" si="149"/>
        <v>2026</v>
      </c>
      <c r="C1307" s="116">
        <f t="shared" si="150"/>
        <v>2025</v>
      </c>
      <c r="D1307" s="2" t="s">
        <v>155</v>
      </c>
      <c r="E1307" s="2" t="s">
        <v>155</v>
      </c>
      <c r="F1307" s="30">
        <v>45809</v>
      </c>
      <c r="G1307" s="2">
        <f>DAY(EOMONTH(TA[[#This Row],[Month Year]],0))</f>
        <v>30</v>
      </c>
      <c r="H1307" s="21">
        <v>45837</v>
      </c>
      <c r="I1307" s="32">
        <f>IFERROR(VLOOKUP(TA[[#This Row],[Date]],Raw_Data[[Date]:[Sunset Time (POA&lt;20 W/m2)]],3,0),"")</f>
        <v>0.24930555555555556</v>
      </c>
      <c r="J1307" s="32">
        <f>IFERROR(VLOOKUP(TA[[#This Row],[Date]],Raw_Data[[Date]:[Sunset Time (POA&lt;20 W/m2)]],4,0),"")</f>
        <v>0.77638888888888891</v>
      </c>
      <c r="K1307" s="27">
        <f>IFERROR((TA[[#This Row],[Sunset Time (POA&lt;20 W/m2)]]-TA[[#This Row],[Sunrise Time (POA&gt;20 W/m2)]])*24,"")</f>
        <v>12.65</v>
      </c>
      <c r="L1307" s="2" t="s">
        <v>285</v>
      </c>
      <c r="M1307" s="33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14" t="s">
        <v>307</v>
      </c>
      <c r="Q1307" s="113" t="s">
        <v>308</v>
      </c>
      <c r="R1307">
        <v>7</v>
      </c>
      <c r="S1307" s="2">
        <v>32</v>
      </c>
      <c r="T1307" t="s">
        <v>286</v>
      </c>
      <c r="U1307" t="s">
        <v>291</v>
      </c>
      <c r="V1307" t="s">
        <v>289</v>
      </c>
      <c r="W1307" s="32"/>
      <c r="X1307" s="32"/>
      <c r="Y1307" s="26"/>
      <c r="Z1307" s="26"/>
      <c r="AA1307" s="27">
        <f>IF(TA[[#This Row],[Work Start time on Fault]]="NA","",(TA[[#This Row],[Fault Acknowledgement Time ]]-TA[[#This Row],[Fault Time]])*24)</f>
        <v>0</v>
      </c>
      <c r="AB1307" s="27">
        <f>(TA[[#This Row],[Work Start time on Fault]]-TA[[#This Row],[Fault Time]])*24</f>
        <v>0</v>
      </c>
      <c r="AC1307" s="26">
        <f>(TA[[#This Row],[Work Completion time on fault]]-TA[[#This Row],[Fault Time]])*24</f>
        <v>0</v>
      </c>
      <c r="AD1307" s="27">
        <f>IFERROR((TA[[#This Row],[Work Completion time on fault]]-TA[[#This Row],[Fault Time]])*24,"")</f>
        <v>0</v>
      </c>
      <c r="AE1307" t="s">
        <v>319</v>
      </c>
      <c r="AF1307" t="s">
        <v>247</v>
      </c>
      <c r="AG1307" s="2"/>
      <c r="AH1307" s="35">
        <f>1-COS(RADIANS(TA[[#This Row],[Avg. Target Angle during Fault Time (Radians)]]-TA[[#This Row],[Angle of affected equipment ]]))</f>
        <v>0.11705240714107301</v>
      </c>
      <c r="AI1307" s="27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43">
        <f t="shared" si="149"/>
        <v>2026</v>
      </c>
      <c r="C1308" s="116">
        <f t="shared" si="150"/>
        <v>2025</v>
      </c>
      <c r="D1308" s="2" t="s">
        <v>155</v>
      </c>
      <c r="E1308" s="2" t="s">
        <v>155</v>
      </c>
      <c r="F1308" s="30">
        <v>45809</v>
      </c>
      <c r="G1308" s="2">
        <f>DAY(EOMONTH(TA[[#This Row],[Month Year]],0))</f>
        <v>30</v>
      </c>
      <c r="H1308" s="21">
        <v>45837</v>
      </c>
      <c r="I1308" s="32">
        <f>IFERROR(VLOOKUP(TA[[#This Row],[Date]],Raw_Data[[Date]:[Sunset Time (POA&lt;20 W/m2)]],3,0),"")</f>
        <v>0.24930555555555556</v>
      </c>
      <c r="J1308" s="32">
        <f>IFERROR(VLOOKUP(TA[[#This Row],[Date]],Raw_Data[[Date]:[Sunset Time (POA&lt;20 W/m2)]],4,0),"")</f>
        <v>0.77638888888888891</v>
      </c>
      <c r="K1308" s="27">
        <f>IFERROR((TA[[#This Row],[Sunset Time (POA&lt;20 W/m2)]]-TA[[#This Row],[Sunrise Time (POA&gt;20 W/m2)]])*24,"")</f>
        <v>12.65</v>
      </c>
      <c r="L1308" s="2" t="s">
        <v>285</v>
      </c>
      <c r="M1308" s="33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14" t="s">
        <v>306</v>
      </c>
      <c r="Q1308" s="113" t="s">
        <v>310</v>
      </c>
      <c r="R1308">
        <v>166</v>
      </c>
      <c r="S1308" s="2">
        <v>91</v>
      </c>
      <c r="T1308" t="s">
        <v>286</v>
      </c>
      <c r="U1308" t="s">
        <v>291</v>
      </c>
      <c r="V1308" t="s">
        <v>289</v>
      </c>
      <c r="W1308" s="32"/>
      <c r="X1308" s="32"/>
      <c r="Y1308" s="26"/>
      <c r="Z1308" s="26"/>
      <c r="AA1308" s="27">
        <f>IF(TA[[#This Row],[Work Start time on Fault]]="NA","",(TA[[#This Row],[Fault Acknowledgement Time ]]-TA[[#This Row],[Fault Time]])*24)</f>
        <v>0</v>
      </c>
      <c r="AB1308" s="27">
        <f>(TA[[#This Row],[Work Start time on Fault]]-TA[[#This Row],[Fault Time]])*24</f>
        <v>0</v>
      </c>
      <c r="AC1308" s="26">
        <f>(TA[[#This Row],[Work Completion time on fault]]-TA[[#This Row],[Fault Time]])*24</f>
        <v>0</v>
      </c>
      <c r="AD1308" s="27">
        <f>IFERROR((TA[[#This Row],[Work Completion time on fault]]-TA[[#This Row],[Fault Time]])*24,"")</f>
        <v>0</v>
      </c>
      <c r="AE1308" t="s">
        <v>319</v>
      </c>
      <c r="AF1308" t="s">
        <v>247</v>
      </c>
      <c r="AG1308" s="2"/>
      <c r="AH1308" s="35">
        <f>1-COS(RADIANS(TA[[#This Row],[Avg. Target Angle during Fault Time (Radians)]]-TA[[#This Row],[Angle of affected equipment ]]))</f>
        <v>0.11705240714107301</v>
      </c>
      <c r="AI1308" s="27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43">
        <f t="shared" si="149"/>
        <v>2026</v>
      </c>
      <c r="C1309" s="116">
        <f t="shared" si="150"/>
        <v>2025</v>
      </c>
      <c r="D1309" s="2" t="s">
        <v>155</v>
      </c>
      <c r="E1309" s="2" t="s">
        <v>155</v>
      </c>
      <c r="F1309" s="30">
        <v>45809</v>
      </c>
      <c r="G1309" s="2">
        <f>DAY(EOMONTH(TA[[#This Row],[Month Year]],0))</f>
        <v>30</v>
      </c>
      <c r="H1309" s="21">
        <v>45837</v>
      </c>
      <c r="I1309" s="32">
        <f>IFERROR(VLOOKUP(TA[[#This Row],[Date]],Raw_Data[[Date]:[Sunset Time (POA&lt;20 W/m2)]],3,0),"")</f>
        <v>0.24930555555555556</v>
      </c>
      <c r="J1309" s="32">
        <f>IFERROR(VLOOKUP(TA[[#This Row],[Date]],Raw_Data[[Date]:[Sunset Time (POA&lt;20 W/m2)]],4,0),"")</f>
        <v>0.77638888888888891</v>
      </c>
      <c r="K1309" s="27">
        <f>IFERROR((TA[[#This Row],[Sunset Time (POA&lt;20 W/m2)]]-TA[[#This Row],[Sunrise Time (POA&gt;20 W/m2)]])*24,"")</f>
        <v>12.65</v>
      </c>
      <c r="L1309" s="2" t="s">
        <v>285</v>
      </c>
      <c r="M1309" s="33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14" t="s">
        <v>307</v>
      </c>
      <c r="Q1309" s="113" t="s">
        <v>307</v>
      </c>
      <c r="R1309">
        <v>117</v>
      </c>
      <c r="S1309" s="2">
        <v>20</v>
      </c>
      <c r="T1309" t="s">
        <v>286</v>
      </c>
      <c r="U1309" t="s">
        <v>291</v>
      </c>
      <c r="V1309" t="s">
        <v>289</v>
      </c>
      <c r="W1309" s="32"/>
      <c r="X1309" s="32"/>
      <c r="Y1309" s="26"/>
      <c r="Z1309" s="26"/>
      <c r="AA1309" s="27">
        <f>IF(TA[[#This Row],[Work Start time on Fault]]="NA","",(TA[[#This Row],[Fault Acknowledgement Time ]]-TA[[#This Row],[Fault Time]])*24)</f>
        <v>0</v>
      </c>
      <c r="AB1309" s="27">
        <f>(TA[[#This Row],[Work Start time on Fault]]-TA[[#This Row],[Fault Time]])*24</f>
        <v>0</v>
      </c>
      <c r="AC1309" s="26">
        <f>(TA[[#This Row],[Work Completion time on fault]]-TA[[#This Row],[Fault Time]])*24</f>
        <v>0</v>
      </c>
      <c r="AD1309" s="27">
        <f>IFERROR((TA[[#This Row],[Work Completion time on fault]]-TA[[#This Row],[Fault Time]])*24,"")</f>
        <v>0</v>
      </c>
      <c r="AE1309" t="s">
        <v>319</v>
      </c>
      <c r="AF1309" t="s">
        <v>247</v>
      </c>
      <c r="AG1309" s="2"/>
      <c r="AH1309" s="35">
        <f>1-COS(RADIANS(TA[[#This Row],[Avg. Target Angle during Fault Time (Radians)]]-TA[[#This Row],[Angle of affected equipment ]]))</f>
        <v>0.11705240714107301</v>
      </c>
      <c r="AI1309" s="27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43">
        <f t="shared" si="149"/>
        <v>2026</v>
      </c>
      <c r="C1310" s="116">
        <f t="shared" si="150"/>
        <v>2025</v>
      </c>
      <c r="D1310" s="2" t="s">
        <v>155</v>
      </c>
      <c r="E1310" s="2" t="s">
        <v>155</v>
      </c>
      <c r="F1310" s="30">
        <v>45809</v>
      </c>
      <c r="G1310" s="2">
        <f>DAY(EOMONTH(TA[[#This Row],[Month Year]],0))</f>
        <v>30</v>
      </c>
      <c r="H1310" s="21">
        <v>45837</v>
      </c>
      <c r="I1310" s="32">
        <f>IFERROR(VLOOKUP(TA[[#This Row],[Date]],Raw_Data[[Date]:[Sunset Time (POA&lt;20 W/m2)]],3,0),"")</f>
        <v>0.24930555555555556</v>
      </c>
      <c r="J1310" s="32">
        <f>IFERROR(VLOOKUP(TA[[#This Row],[Date]],Raw_Data[[Date]:[Sunset Time (POA&lt;20 W/m2)]],4,0),"")</f>
        <v>0.77638888888888891</v>
      </c>
      <c r="K1310" s="27">
        <f>IFERROR((TA[[#This Row],[Sunset Time (POA&lt;20 W/m2)]]-TA[[#This Row],[Sunrise Time (POA&gt;20 W/m2)]])*24,"")</f>
        <v>12.65</v>
      </c>
      <c r="L1310" s="2" t="s">
        <v>285</v>
      </c>
      <c r="M1310" s="33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14" t="s">
        <v>307</v>
      </c>
      <c r="Q1310" s="113" t="s">
        <v>307</v>
      </c>
      <c r="R1310">
        <v>118</v>
      </c>
      <c r="S1310" s="2">
        <v>22</v>
      </c>
      <c r="T1310" t="s">
        <v>286</v>
      </c>
      <c r="U1310" t="s">
        <v>291</v>
      </c>
      <c r="V1310" t="s">
        <v>289</v>
      </c>
      <c r="W1310" s="32"/>
      <c r="X1310" s="32"/>
      <c r="Y1310" s="26"/>
      <c r="Z1310" s="26"/>
      <c r="AA1310" s="27">
        <f>IF(TA[[#This Row],[Work Start time on Fault]]="NA","",(TA[[#This Row],[Fault Acknowledgement Time ]]-TA[[#This Row],[Fault Time]])*24)</f>
        <v>0</v>
      </c>
      <c r="AB1310" s="27">
        <f>(TA[[#This Row],[Work Start time on Fault]]-TA[[#This Row],[Fault Time]])*24</f>
        <v>0</v>
      </c>
      <c r="AC1310" s="26">
        <f>(TA[[#This Row],[Work Completion time on fault]]-TA[[#This Row],[Fault Time]])*24</f>
        <v>0</v>
      </c>
      <c r="AD1310" s="27">
        <f>IFERROR((TA[[#This Row],[Work Completion time on fault]]-TA[[#This Row],[Fault Time]])*24,"")</f>
        <v>0</v>
      </c>
      <c r="AE1310" t="s">
        <v>319</v>
      </c>
      <c r="AF1310" t="s">
        <v>247</v>
      </c>
      <c r="AG1310" s="2"/>
      <c r="AH1310" s="35">
        <f>1-COS(RADIANS(TA[[#This Row],[Avg. Target Angle during Fault Time (Radians)]]-TA[[#This Row],[Angle of affected equipment ]]))</f>
        <v>0.11705240714107301</v>
      </c>
      <c r="AI1310" s="27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43">
        <f t="shared" si="149"/>
        <v>2026</v>
      </c>
      <c r="C1311" s="116">
        <f t="shared" si="150"/>
        <v>2025</v>
      </c>
      <c r="D1311" s="2" t="s">
        <v>155</v>
      </c>
      <c r="E1311" s="2" t="s">
        <v>155</v>
      </c>
      <c r="F1311" s="30">
        <v>45809</v>
      </c>
      <c r="G1311" s="2">
        <f>DAY(EOMONTH(TA[[#This Row],[Month Year]],0))</f>
        <v>30</v>
      </c>
      <c r="H1311" s="21">
        <v>45837</v>
      </c>
      <c r="I1311" s="32">
        <f>IFERROR(VLOOKUP(TA[[#This Row],[Date]],Raw_Data[[Date]:[Sunset Time (POA&lt;20 W/m2)]],3,0),"")</f>
        <v>0.24930555555555556</v>
      </c>
      <c r="J1311" s="32">
        <f>IFERROR(VLOOKUP(TA[[#This Row],[Date]],Raw_Data[[Date]:[Sunset Time (POA&lt;20 W/m2)]],4,0),"")</f>
        <v>0.77638888888888891</v>
      </c>
      <c r="K1311" s="27">
        <f>IFERROR((TA[[#This Row],[Sunset Time (POA&lt;20 W/m2)]]-TA[[#This Row],[Sunrise Time (POA&gt;20 W/m2)]])*24,"")</f>
        <v>12.65</v>
      </c>
      <c r="L1311" s="2" t="s">
        <v>287</v>
      </c>
      <c r="M1311" s="33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314</v>
      </c>
      <c r="Q1311" s="2" t="s">
        <v>320</v>
      </c>
      <c r="R1311">
        <v>45</v>
      </c>
      <c r="S1311" s="2">
        <v>8</v>
      </c>
      <c r="T1311" t="s">
        <v>288</v>
      </c>
      <c r="U1311" t="s">
        <v>291</v>
      </c>
      <c r="V1311" t="s">
        <v>292</v>
      </c>
      <c r="W1311" s="32"/>
      <c r="X1311" s="32"/>
      <c r="Y1311" s="26"/>
      <c r="Z1311" s="26"/>
      <c r="AA1311" s="27">
        <f>IF(TA[[#This Row],[Work Start time on Fault]]="NA","",(TA[[#This Row],[Fault Acknowledgement Time ]]-TA[[#This Row],[Fault Time]])*24)</f>
        <v>0</v>
      </c>
      <c r="AB1311" s="27">
        <f>(TA[[#This Row],[Work Start time on Fault]]-TA[[#This Row],[Fault Time]])*24</f>
        <v>0</v>
      </c>
      <c r="AC1311" s="26">
        <f>(TA[[#This Row],[Work Completion time on fault]]-TA[[#This Row],[Fault Time]])*24</f>
        <v>0</v>
      </c>
      <c r="AD1311" s="27">
        <f>IFERROR((TA[[#This Row],[Work Completion time on fault]]-TA[[#This Row],[Fault Time]])*24,"")</f>
        <v>0</v>
      </c>
      <c r="AE1311" t="s">
        <v>319</v>
      </c>
      <c r="AF1311" t="s">
        <v>247</v>
      </c>
      <c r="AG1311" s="2"/>
      <c r="AH1311" s="35">
        <f>1-COS(RADIANS(TA[[#This Row],[Avg. Target Angle during Fault Time (Radians)]]-TA[[#This Row],[Angle of affected equipment ]]))</f>
        <v>0.11705240714107301</v>
      </c>
      <c r="AI1311" s="27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43">
        <f t="shared" si="149"/>
        <v>2026</v>
      </c>
      <c r="C1312" s="116">
        <f t="shared" si="150"/>
        <v>2025</v>
      </c>
      <c r="D1312" s="2" t="s">
        <v>155</v>
      </c>
      <c r="E1312" s="2" t="s">
        <v>155</v>
      </c>
      <c r="F1312" s="30">
        <v>45809</v>
      </c>
      <c r="G1312" s="2">
        <f>DAY(EOMONTH(TA[[#This Row],[Month Year]],0))</f>
        <v>30</v>
      </c>
      <c r="H1312" s="21">
        <v>45837</v>
      </c>
      <c r="I1312" s="32">
        <f>IFERROR(VLOOKUP(TA[[#This Row],[Date]],Raw_Data[[Date]:[Sunset Time (POA&lt;20 W/m2)]],3,0),"")</f>
        <v>0.24930555555555556</v>
      </c>
      <c r="J1312" s="32">
        <f>IFERROR(VLOOKUP(TA[[#This Row],[Date]],Raw_Data[[Date]:[Sunset Time (POA&lt;20 W/m2)]],4,0),"")</f>
        <v>0.77638888888888891</v>
      </c>
      <c r="K1312" s="27">
        <f>IFERROR((TA[[#This Row],[Sunset Time (POA&lt;20 W/m2)]]-TA[[#This Row],[Sunrise Time (POA&gt;20 W/m2)]])*24,"")</f>
        <v>12.65</v>
      </c>
      <c r="L1312" s="2" t="s">
        <v>287</v>
      </c>
      <c r="M1312" s="33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314</v>
      </c>
      <c r="Q1312" s="2" t="s">
        <v>320</v>
      </c>
      <c r="R1312">
        <v>47</v>
      </c>
      <c r="S1312" s="2">
        <v>18</v>
      </c>
      <c r="T1312" t="s">
        <v>288</v>
      </c>
      <c r="U1312" t="s">
        <v>291</v>
      </c>
      <c r="V1312" t="s">
        <v>292</v>
      </c>
      <c r="W1312" s="32"/>
      <c r="X1312" s="32"/>
      <c r="Y1312" s="26"/>
      <c r="Z1312" s="26"/>
      <c r="AA1312" s="27">
        <f>IF(TA[[#This Row],[Work Start time on Fault]]="NA","",(TA[[#This Row],[Fault Acknowledgement Time ]]-TA[[#This Row],[Fault Time]])*24)</f>
        <v>0</v>
      </c>
      <c r="AB1312" s="27">
        <f>(TA[[#This Row],[Work Start time on Fault]]-TA[[#This Row],[Fault Time]])*24</f>
        <v>0</v>
      </c>
      <c r="AC1312" s="26">
        <f>(TA[[#This Row],[Work Completion time on fault]]-TA[[#This Row],[Fault Time]])*24</f>
        <v>0</v>
      </c>
      <c r="AD1312" s="27">
        <f>IFERROR((TA[[#This Row],[Work Completion time on fault]]-TA[[#This Row],[Fault Time]])*24,"")</f>
        <v>0</v>
      </c>
      <c r="AE1312" t="s">
        <v>319</v>
      </c>
      <c r="AF1312" t="s">
        <v>247</v>
      </c>
      <c r="AG1312" s="2"/>
      <c r="AH1312" s="35">
        <f>1-COS(RADIANS(TA[[#This Row],[Avg. Target Angle during Fault Time (Radians)]]-TA[[#This Row],[Angle of affected equipment ]]))</f>
        <v>0.11705240714107301</v>
      </c>
      <c r="AI1312" s="27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43">
        <f t="shared" si="149"/>
        <v>2026</v>
      </c>
      <c r="C1313" s="116">
        <f t="shared" si="150"/>
        <v>2025</v>
      </c>
      <c r="D1313" s="2" t="s">
        <v>155</v>
      </c>
      <c r="E1313" s="2" t="s">
        <v>155</v>
      </c>
      <c r="F1313" s="30">
        <v>45809</v>
      </c>
      <c r="G1313" s="2">
        <f>DAY(EOMONTH(TA[[#This Row],[Month Year]],0))</f>
        <v>30</v>
      </c>
      <c r="H1313" s="21">
        <v>45837</v>
      </c>
      <c r="I1313" s="32">
        <f>IFERROR(VLOOKUP(TA[[#This Row],[Date]],Raw_Data[[Date]:[Sunset Time (POA&lt;20 W/m2)]],3,0),"")</f>
        <v>0.24930555555555556</v>
      </c>
      <c r="J1313" s="32">
        <f>IFERROR(VLOOKUP(TA[[#This Row],[Date]],Raw_Data[[Date]:[Sunset Time (POA&lt;20 W/m2)]],4,0),"")</f>
        <v>0.77638888888888891</v>
      </c>
      <c r="K1313" s="27">
        <f>IFERROR((TA[[#This Row],[Sunset Time (POA&lt;20 W/m2)]]-TA[[#This Row],[Sunrise Time (POA&gt;20 W/m2)]])*24,"")</f>
        <v>12.65</v>
      </c>
      <c r="L1313" s="2" t="s">
        <v>287</v>
      </c>
      <c r="M1313" s="33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321</v>
      </c>
      <c r="Q1313" s="2" t="s">
        <v>314</v>
      </c>
      <c r="R1313">
        <v>30</v>
      </c>
      <c r="S1313" s="2">
        <v>57</v>
      </c>
      <c r="T1313" t="s">
        <v>288</v>
      </c>
      <c r="U1313" t="s">
        <v>291</v>
      </c>
      <c r="V1313" t="s">
        <v>292</v>
      </c>
      <c r="W1313" s="32"/>
      <c r="X1313" s="32"/>
      <c r="Y1313" s="26"/>
      <c r="Z1313" s="26"/>
      <c r="AA1313" s="27">
        <f>IF(TA[[#This Row],[Work Start time on Fault]]="NA","",(TA[[#This Row],[Fault Acknowledgement Time ]]-TA[[#This Row],[Fault Time]])*24)</f>
        <v>0</v>
      </c>
      <c r="AB1313" s="27">
        <f>(TA[[#This Row],[Work Start time on Fault]]-TA[[#This Row],[Fault Time]])*24</f>
        <v>0</v>
      </c>
      <c r="AC1313" s="26">
        <f>(TA[[#This Row],[Work Completion time on fault]]-TA[[#This Row],[Fault Time]])*24</f>
        <v>0</v>
      </c>
      <c r="AD1313" s="27">
        <f>IFERROR((TA[[#This Row],[Work Completion time on fault]]-TA[[#This Row],[Fault Time]])*24,"")</f>
        <v>0</v>
      </c>
      <c r="AE1313" t="s">
        <v>319</v>
      </c>
      <c r="AF1313" t="s">
        <v>247</v>
      </c>
      <c r="AG1313" s="2"/>
      <c r="AH1313" s="35">
        <f>1-COS(RADIANS(TA[[#This Row],[Avg. Target Angle during Fault Time (Radians)]]-TA[[#This Row],[Angle of affected equipment ]]))</f>
        <v>0.11705240714107301</v>
      </c>
      <c r="AI1313" s="27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43">
        <f t="shared" si="149"/>
        <v>2026</v>
      </c>
      <c r="C1314" s="116">
        <f t="shared" si="150"/>
        <v>2025</v>
      </c>
      <c r="D1314" s="2" t="s">
        <v>155</v>
      </c>
      <c r="E1314" s="2" t="s">
        <v>155</v>
      </c>
      <c r="F1314" s="30">
        <v>45809</v>
      </c>
      <c r="G1314" s="2">
        <f>DAY(EOMONTH(TA[[#This Row],[Month Year]],0))</f>
        <v>30</v>
      </c>
      <c r="H1314" s="21">
        <v>45837</v>
      </c>
      <c r="I1314" s="32">
        <f>IFERROR(VLOOKUP(TA[[#This Row],[Date]],Raw_Data[[Date]:[Sunset Time (POA&lt;20 W/m2)]],3,0),"")</f>
        <v>0.24930555555555556</v>
      </c>
      <c r="J1314" s="32">
        <f>IFERROR(VLOOKUP(TA[[#This Row],[Date]],Raw_Data[[Date]:[Sunset Time (POA&lt;20 W/m2)]],4,0),"")</f>
        <v>0.77638888888888891</v>
      </c>
      <c r="K1314" s="27">
        <f>IFERROR((TA[[#This Row],[Sunset Time (POA&lt;20 W/m2)]]-TA[[#This Row],[Sunrise Time (POA&gt;20 W/m2)]])*24,"")</f>
        <v>12.65</v>
      </c>
      <c r="L1314" s="2" t="s">
        <v>287</v>
      </c>
      <c r="M1314" s="33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321</v>
      </c>
      <c r="Q1314" s="2" t="s">
        <v>314</v>
      </c>
      <c r="R1314">
        <v>31</v>
      </c>
      <c r="S1314" s="2">
        <v>61</v>
      </c>
      <c r="T1314" t="s">
        <v>288</v>
      </c>
      <c r="U1314" t="s">
        <v>291</v>
      </c>
      <c r="V1314" t="s">
        <v>292</v>
      </c>
      <c r="W1314" s="32"/>
      <c r="X1314" s="32"/>
      <c r="Y1314" s="26"/>
      <c r="Z1314" s="26"/>
      <c r="AA1314" s="27">
        <f>IF(TA[[#This Row],[Work Start time on Fault]]="NA","",(TA[[#This Row],[Fault Acknowledgement Time ]]-TA[[#This Row],[Fault Time]])*24)</f>
        <v>0</v>
      </c>
      <c r="AB1314" s="27">
        <f>(TA[[#This Row],[Work Start time on Fault]]-TA[[#This Row],[Fault Time]])*24</f>
        <v>0</v>
      </c>
      <c r="AC1314" s="26">
        <f>(TA[[#This Row],[Work Completion time on fault]]-TA[[#This Row],[Fault Time]])*24</f>
        <v>0</v>
      </c>
      <c r="AD1314" s="27">
        <f>IFERROR((TA[[#This Row],[Work Completion time on fault]]-TA[[#This Row],[Fault Time]])*24,"")</f>
        <v>0</v>
      </c>
      <c r="AE1314" t="s">
        <v>319</v>
      </c>
      <c r="AF1314" t="s">
        <v>247</v>
      </c>
      <c r="AG1314" s="2"/>
      <c r="AH1314" s="35">
        <f>1-COS(RADIANS(TA[[#This Row],[Avg. Target Angle during Fault Time (Radians)]]-TA[[#This Row],[Angle of affected equipment ]]))</f>
        <v>0.11705240714107301</v>
      </c>
      <c r="AI1314" s="27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43">
        <f t="shared" si="149"/>
        <v>2026</v>
      </c>
      <c r="C1315" s="116">
        <f t="shared" si="150"/>
        <v>2025</v>
      </c>
      <c r="D1315" s="2" t="s">
        <v>155</v>
      </c>
      <c r="E1315" s="2" t="s">
        <v>155</v>
      </c>
      <c r="F1315" s="30">
        <v>45809</v>
      </c>
      <c r="G1315" s="2">
        <f>DAY(EOMONTH(TA[[#This Row],[Month Year]],0))</f>
        <v>30</v>
      </c>
      <c r="H1315" s="21">
        <v>45837</v>
      </c>
      <c r="I1315" s="32">
        <f>IFERROR(VLOOKUP(TA[[#This Row],[Date]],Raw_Data[[Date]:[Sunset Time (POA&lt;20 W/m2)]],3,0),"")</f>
        <v>0.24930555555555556</v>
      </c>
      <c r="J1315" s="32">
        <f>IFERROR(VLOOKUP(TA[[#This Row],[Date]],Raw_Data[[Date]:[Sunset Time (POA&lt;20 W/m2)]],4,0),"")</f>
        <v>0.77638888888888891</v>
      </c>
      <c r="K1315" s="27">
        <f>IFERROR((TA[[#This Row],[Sunset Time (POA&lt;20 W/m2)]]-TA[[#This Row],[Sunrise Time (POA&gt;20 W/m2)]])*24,"")</f>
        <v>12.65</v>
      </c>
      <c r="L1315" s="2" t="s">
        <v>303</v>
      </c>
      <c r="M1315" s="33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321</v>
      </c>
      <c r="Q1315" s="2" t="s">
        <v>314</v>
      </c>
      <c r="R1315">
        <v>26</v>
      </c>
      <c r="S1315" s="2">
        <v>37</v>
      </c>
      <c r="T1315" t="s">
        <v>288</v>
      </c>
      <c r="U1315" t="s">
        <v>291</v>
      </c>
      <c r="V1315" t="s">
        <v>292</v>
      </c>
      <c r="W1315" s="32"/>
      <c r="X1315" s="32"/>
      <c r="Y1315" s="26"/>
      <c r="Z1315" s="26"/>
      <c r="AA1315" s="27">
        <f>IF(TA[[#This Row],[Work Start time on Fault]]="NA","",(TA[[#This Row],[Fault Acknowledgement Time ]]-TA[[#This Row],[Fault Time]])*24)</f>
        <v>0</v>
      </c>
      <c r="AB1315" s="27">
        <f>(TA[[#This Row],[Work Start time on Fault]]-TA[[#This Row],[Fault Time]])*24</f>
        <v>0</v>
      </c>
      <c r="AC1315" s="26">
        <f>(TA[[#This Row],[Work Completion time on fault]]-TA[[#This Row],[Fault Time]])*24</f>
        <v>0</v>
      </c>
      <c r="AD1315" s="27">
        <f>IFERROR((TA[[#This Row],[Work Completion time on fault]]-TA[[#This Row],[Fault Time]])*24,"")</f>
        <v>0</v>
      </c>
      <c r="AE1315" t="s">
        <v>319</v>
      </c>
      <c r="AF1315" t="s">
        <v>247</v>
      </c>
      <c r="AG1315" s="2"/>
      <c r="AH1315" s="35">
        <f>1-COS(RADIANS(TA[[#This Row],[Avg. Target Angle during Fault Time (Radians)]]-TA[[#This Row],[Angle of affected equipment ]]))</f>
        <v>0.11705240714107301</v>
      </c>
      <c r="AI1315" s="27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43">
        <f t="shared" si="149"/>
        <v>2026</v>
      </c>
      <c r="C1316" s="116">
        <f t="shared" si="150"/>
        <v>2025</v>
      </c>
      <c r="D1316" s="2" t="s">
        <v>155</v>
      </c>
      <c r="E1316" s="2" t="s">
        <v>155</v>
      </c>
      <c r="F1316" s="30">
        <v>45809</v>
      </c>
      <c r="G1316" s="2">
        <f>DAY(EOMONTH(TA[[#This Row],[Month Year]],0))</f>
        <v>30</v>
      </c>
      <c r="H1316" s="21">
        <v>45837</v>
      </c>
      <c r="I1316" s="32">
        <f>IFERROR(VLOOKUP(TA[[#This Row],[Date]],Raw_Data[[Date]:[Sunset Time (POA&lt;20 W/m2)]],3,0),"")</f>
        <v>0.24930555555555556</v>
      </c>
      <c r="J1316" s="32">
        <f>IFERROR(VLOOKUP(TA[[#This Row],[Date]],Raw_Data[[Date]:[Sunset Time (POA&lt;20 W/m2)]],4,0),"")</f>
        <v>0.77638888888888891</v>
      </c>
      <c r="K1316" s="27">
        <f>IFERROR((TA[[#This Row],[Sunset Time (POA&lt;20 W/m2)]]-TA[[#This Row],[Sunrise Time (POA&gt;20 W/m2)]])*24,"")</f>
        <v>12.65</v>
      </c>
      <c r="L1316" s="2" t="s">
        <v>303</v>
      </c>
      <c r="M1316" s="33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321</v>
      </c>
      <c r="Q1316" s="2" t="s">
        <v>314</v>
      </c>
      <c r="R1316">
        <v>27</v>
      </c>
      <c r="S1316" s="2">
        <v>42</v>
      </c>
      <c r="T1316" t="s">
        <v>288</v>
      </c>
      <c r="U1316" t="s">
        <v>291</v>
      </c>
      <c r="V1316" t="s">
        <v>292</v>
      </c>
      <c r="W1316" s="32">
        <f>IFERROR(VLOOKUP(TA[[#This Row],[Date]],Raw_Data[[Date]:[Sunset Time (POA&lt;20 W/m2)]],3,0),"")</f>
        <v>0.24930555555555556</v>
      </c>
      <c r="X1316" s="32">
        <f>IFERROR(VLOOKUP(TA[[#This Row],[Date]],Raw_Data[[Date]:[Sunset Time (POA&lt;20 W/m2)]],3,0),"")</f>
        <v>0.24930555555555556</v>
      </c>
      <c r="Y1316" s="26"/>
      <c r="Z1316" s="26">
        <v>0.76041666666666663</v>
      </c>
      <c r="AA1316" s="27">
        <f>IF(TA[[#This Row],[Work Start time on Fault]]="NA","",(TA[[#This Row],[Fault Acknowledgement Time ]]-TA[[#This Row],[Fault Time]])*24)</f>
        <v>0</v>
      </c>
      <c r="AB1316" s="27">
        <f>(TA[[#This Row],[Work Start time on Fault]]-TA[[#This Row],[Fault Time]])*24</f>
        <v>-5.9833333333333334</v>
      </c>
      <c r="AC1316" s="26">
        <f>(TA[[#This Row],[Work Completion time on fault]]-TA[[#This Row],[Fault Time]])*24</f>
        <v>12.266666666666666</v>
      </c>
      <c r="AD1316" s="27">
        <f>IFERROR((TA[[#This Row],[Work Completion time on fault]]-TA[[#This Row],[Fault Time]])*24,"")</f>
        <v>12.266666666666666</v>
      </c>
      <c r="AE1316" t="s">
        <v>300</v>
      </c>
      <c r="AF1316" t="s">
        <v>247</v>
      </c>
      <c r="AG1316" s="2"/>
      <c r="AH1316" s="35">
        <f>1-COS(RADIANS(TA[[#This Row],[Avg. Target Angle during Fault Time (Radians)]]-TA[[#This Row],[Angle of affected equipment ]]))</f>
        <v>0.11705240714107301</v>
      </c>
      <c r="AI1316" s="27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43">
        <f t="shared" ref="B1317:B1329" si="152">YEAR(H1317)+IF(MONTH(H1317)&gt;=4,1,0)</f>
        <v>2026</v>
      </c>
      <c r="C1317" s="116">
        <f t="shared" ref="C1317:C1329" si="153">YEAR(H1317)</f>
        <v>2025</v>
      </c>
      <c r="D1317" s="2" t="s">
        <v>155</v>
      </c>
      <c r="E1317" s="2" t="s">
        <v>155</v>
      </c>
      <c r="F1317" s="30">
        <v>45809</v>
      </c>
      <c r="G1317" s="2">
        <f>DAY(EOMONTH(TA[[#This Row],[Month Year]],0))</f>
        <v>30</v>
      </c>
      <c r="H1317" s="21">
        <v>45838</v>
      </c>
      <c r="I1317" s="32">
        <f>IFERROR(VLOOKUP(TA[[#This Row],[Date]],Raw_Data[[Date]:[Sunset Time (POA&lt;20 W/m2)]],3,0),"")</f>
        <v>0.26111111111111113</v>
      </c>
      <c r="J1317" s="32">
        <f>IFERROR(VLOOKUP(TA[[#This Row],[Date]],Raw_Data[[Date]:[Sunset Time (POA&lt;20 W/m2)]],4,0),"")</f>
        <v>0.74444444444444446</v>
      </c>
      <c r="K1317" s="27">
        <f>IFERROR((TA[[#This Row],[Sunset Time (POA&lt;20 W/m2)]]-TA[[#This Row],[Sunrise Time (POA&gt;20 W/m2)]])*24,"")</f>
        <v>11.6</v>
      </c>
      <c r="L1317" s="2" t="s">
        <v>285</v>
      </c>
      <c r="M1317" s="33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14" t="s">
        <v>309</v>
      </c>
      <c r="Q1317" s="113" t="s">
        <v>309</v>
      </c>
      <c r="R1317">
        <v>131</v>
      </c>
      <c r="S1317" s="2">
        <v>38</v>
      </c>
      <c r="T1317" t="s">
        <v>286</v>
      </c>
      <c r="U1317" t="s">
        <v>291</v>
      </c>
      <c r="V1317" t="s">
        <v>289</v>
      </c>
      <c r="W1317" s="32"/>
      <c r="X1317" s="32"/>
      <c r="Y1317" s="26"/>
      <c r="Z1317" s="26"/>
      <c r="AA1317" s="27">
        <f>IF(TA[[#This Row],[Work Start time on Fault]]="NA","",(TA[[#This Row],[Fault Acknowledgement Time ]]-TA[[#This Row],[Fault Time]])*24)</f>
        <v>0</v>
      </c>
      <c r="AB1317" s="27">
        <f>(TA[[#This Row],[Work Start time on Fault]]-TA[[#This Row],[Fault Time]])*24</f>
        <v>0</v>
      </c>
      <c r="AC1317" s="26">
        <f>(TA[[#This Row],[Work Completion time on fault]]-TA[[#This Row],[Fault Time]])*24</f>
        <v>0</v>
      </c>
      <c r="AD1317" s="27">
        <f>IFERROR((TA[[#This Row],[Work Completion time on fault]]-TA[[#This Row],[Fault Time]])*24,"")</f>
        <v>0</v>
      </c>
      <c r="AE1317" t="s">
        <v>319</v>
      </c>
      <c r="AF1317" t="s">
        <v>247</v>
      </c>
      <c r="AG1317" s="2"/>
      <c r="AH1317" s="35">
        <f>1-COS(RADIANS(TA[[#This Row],[Avg. Target Angle during Fault Time (Radians)]]-TA[[#This Row],[Angle of affected equipment ]]))</f>
        <v>0.11705240714107301</v>
      </c>
      <c r="AI1317" s="27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43">
        <f t="shared" si="152"/>
        <v>2026</v>
      </c>
      <c r="C1318" s="116">
        <f t="shared" si="153"/>
        <v>2025</v>
      </c>
      <c r="D1318" s="2" t="s">
        <v>155</v>
      </c>
      <c r="E1318" s="2" t="s">
        <v>155</v>
      </c>
      <c r="F1318" s="30">
        <v>45809</v>
      </c>
      <c r="G1318" s="2">
        <f>DAY(EOMONTH(TA[[#This Row],[Month Year]],0))</f>
        <v>30</v>
      </c>
      <c r="H1318" s="21">
        <v>45838</v>
      </c>
      <c r="I1318" s="32">
        <f>IFERROR(VLOOKUP(TA[[#This Row],[Date]],Raw_Data[[Date]:[Sunset Time (POA&lt;20 W/m2)]],3,0),"")</f>
        <v>0.26111111111111113</v>
      </c>
      <c r="J1318" s="32">
        <f>IFERROR(VLOOKUP(TA[[#This Row],[Date]],Raw_Data[[Date]:[Sunset Time (POA&lt;20 W/m2)]],4,0),"")</f>
        <v>0.74444444444444446</v>
      </c>
      <c r="K1318" s="27">
        <f>IFERROR((TA[[#This Row],[Sunset Time (POA&lt;20 W/m2)]]-TA[[#This Row],[Sunrise Time (POA&gt;20 W/m2)]])*24,"")</f>
        <v>11.6</v>
      </c>
      <c r="L1318" s="2" t="s">
        <v>285</v>
      </c>
      <c r="M1318" s="33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14" t="s">
        <v>309</v>
      </c>
      <c r="Q1318" s="113" t="s">
        <v>309</v>
      </c>
      <c r="R1318">
        <v>131</v>
      </c>
      <c r="S1318" s="2">
        <v>39</v>
      </c>
      <c r="T1318" t="s">
        <v>286</v>
      </c>
      <c r="U1318" t="s">
        <v>291</v>
      </c>
      <c r="V1318" t="s">
        <v>289</v>
      </c>
      <c r="W1318" s="32"/>
      <c r="X1318" s="32"/>
      <c r="Y1318" s="26"/>
      <c r="Z1318" s="26"/>
      <c r="AA1318" s="27">
        <f>IF(TA[[#This Row],[Work Start time on Fault]]="NA","",(TA[[#This Row],[Fault Acknowledgement Time ]]-TA[[#This Row],[Fault Time]])*24)</f>
        <v>0</v>
      </c>
      <c r="AB1318" s="27">
        <f>(TA[[#This Row],[Work Start time on Fault]]-TA[[#This Row],[Fault Time]])*24</f>
        <v>0</v>
      </c>
      <c r="AC1318" s="26">
        <f>(TA[[#This Row],[Work Completion time on fault]]-TA[[#This Row],[Fault Time]])*24</f>
        <v>0</v>
      </c>
      <c r="AD1318" s="27">
        <f>IFERROR((TA[[#This Row],[Work Completion time on fault]]-TA[[#This Row],[Fault Time]])*24,"")</f>
        <v>0</v>
      </c>
      <c r="AE1318" t="s">
        <v>319</v>
      </c>
      <c r="AF1318" t="s">
        <v>247</v>
      </c>
      <c r="AG1318" s="2"/>
      <c r="AH1318" s="35">
        <f>1-COS(RADIANS(TA[[#This Row],[Avg. Target Angle during Fault Time (Radians)]]-TA[[#This Row],[Angle of affected equipment ]]))</f>
        <v>0.11705240714107301</v>
      </c>
      <c r="AI1318" s="27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43">
        <f t="shared" si="152"/>
        <v>2026</v>
      </c>
      <c r="C1319" s="116">
        <f t="shared" si="153"/>
        <v>2025</v>
      </c>
      <c r="D1319" s="2" t="s">
        <v>155</v>
      </c>
      <c r="E1319" s="2" t="s">
        <v>155</v>
      </c>
      <c r="F1319" s="30">
        <v>45809</v>
      </c>
      <c r="G1319" s="2">
        <f>DAY(EOMONTH(TA[[#This Row],[Month Year]],0))</f>
        <v>30</v>
      </c>
      <c r="H1319" s="21">
        <v>45838</v>
      </c>
      <c r="I1319" s="32">
        <f>IFERROR(VLOOKUP(TA[[#This Row],[Date]],Raw_Data[[Date]:[Sunset Time (POA&lt;20 W/m2)]],3,0),"")</f>
        <v>0.26111111111111113</v>
      </c>
      <c r="J1319" s="32">
        <f>IFERROR(VLOOKUP(TA[[#This Row],[Date]],Raw_Data[[Date]:[Sunset Time (POA&lt;20 W/m2)]],4,0),"")</f>
        <v>0.74444444444444446</v>
      </c>
      <c r="K1319" s="27">
        <f>IFERROR((TA[[#This Row],[Sunset Time (POA&lt;20 W/m2)]]-TA[[#This Row],[Sunrise Time (POA&gt;20 W/m2)]])*24,"")</f>
        <v>11.6</v>
      </c>
      <c r="L1319" s="2" t="s">
        <v>287</v>
      </c>
      <c r="M1319" s="33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14" t="s">
        <v>309</v>
      </c>
      <c r="Q1319" s="2" t="s">
        <v>312</v>
      </c>
      <c r="R1319">
        <v>133</v>
      </c>
      <c r="S1319" s="2">
        <v>26</v>
      </c>
      <c r="T1319" t="s">
        <v>288</v>
      </c>
      <c r="U1319" t="s">
        <v>291</v>
      </c>
      <c r="V1319" t="s">
        <v>305</v>
      </c>
      <c r="W1319" s="32">
        <f>IFERROR(VLOOKUP(TA[[#This Row],[Date]],Raw_Data[[Date]:[Sunset Time (POA&lt;20 W/m2)]],3,0),"")</f>
        <v>0.26111111111111113</v>
      </c>
      <c r="X1319" s="32">
        <f>IFERROR(VLOOKUP(TA[[#This Row],[Date]],Raw_Data[[Date]:[Sunset Time (POA&lt;20 W/m2)]],3,0),"")</f>
        <v>0.26111111111111113</v>
      </c>
      <c r="Y1319" s="26"/>
      <c r="Z1319" s="26">
        <v>0.76041666666666663</v>
      </c>
      <c r="AA1319" s="27">
        <f>IF(TA[[#This Row],[Work Start time on Fault]]="NA","",(TA[[#This Row],[Fault Acknowledgement Time ]]-TA[[#This Row],[Fault Time]])*24)</f>
        <v>0</v>
      </c>
      <c r="AB1319" s="27">
        <f>(TA[[#This Row],[Work Start time on Fault]]-TA[[#This Row],[Fault Time]])*24</f>
        <v>-6.2666666666666675</v>
      </c>
      <c r="AC1319" s="26">
        <f>(TA[[#This Row],[Work Completion time on fault]]-TA[[#This Row],[Fault Time]])*24</f>
        <v>11.983333333333333</v>
      </c>
      <c r="AD1319" s="27">
        <f>IFERROR((TA[[#This Row],[Work Completion time on fault]]-TA[[#This Row],[Fault Time]])*24,"")</f>
        <v>11.983333333333333</v>
      </c>
      <c r="AE1319" t="s">
        <v>319</v>
      </c>
      <c r="AF1319" t="s">
        <v>247</v>
      </c>
      <c r="AG1319" s="2"/>
      <c r="AH1319" s="35">
        <f>1-COS(RADIANS(TA[[#This Row],[Avg. Target Angle during Fault Time (Radians)]]-TA[[#This Row],[Angle of affected equipment ]]))</f>
        <v>0.11705240714107301</v>
      </c>
      <c r="AI1319" s="27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43">
        <f t="shared" si="152"/>
        <v>2026</v>
      </c>
      <c r="C1320" s="116">
        <f t="shared" si="153"/>
        <v>2025</v>
      </c>
      <c r="D1320" s="2" t="s">
        <v>155</v>
      </c>
      <c r="E1320" s="2" t="s">
        <v>155</v>
      </c>
      <c r="F1320" s="30">
        <v>45809</v>
      </c>
      <c r="G1320" s="2">
        <f>DAY(EOMONTH(TA[[#This Row],[Month Year]],0))</f>
        <v>30</v>
      </c>
      <c r="H1320" s="21">
        <v>45838</v>
      </c>
      <c r="I1320" s="32">
        <f>IFERROR(VLOOKUP(TA[[#This Row],[Date]],Raw_Data[[Date]:[Sunset Time (POA&lt;20 W/m2)]],3,0),"")</f>
        <v>0.26111111111111113</v>
      </c>
      <c r="J1320" s="32">
        <f>IFERROR(VLOOKUP(TA[[#This Row],[Date]],Raw_Data[[Date]:[Sunset Time (POA&lt;20 W/m2)]],4,0),"")</f>
        <v>0.74444444444444446</v>
      </c>
      <c r="K1320" s="27">
        <f>IFERROR((TA[[#This Row],[Sunset Time (POA&lt;20 W/m2)]]-TA[[#This Row],[Sunrise Time (POA&gt;20 W/m2)]])*24,"")</f>
        <v>11.6</v>
      </c>
      <c r="L1320" s="2" t="s">
        <v>285</v>
      </c>
      <c r="M1320" s="33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14" t="s">
        <v>307</v>
      </c>
      <c r="Q1320" s="113" t="s">
        <v>308</v>
      </c>
      <c r="R1320">
        <v>7</v>
      </c>
      <c r="S1320" s="2">
        <v>32</v>
      </c>
      <c r="T1320" t="s">
        <v>286</v>
      </c>
      <c r="U1320" t="s">
        <v>291</v>
      </c>
      <c r="V1320" t="s">
        <v>289</v>
      </c>
      <c r="W1320" s="32"/>
      <c r="X1320" s="32"/>
      <c r="Y1320" s="26"/>
      <c r="Z1320" s="26"/>
      <c r="AA1320" s="27">
        <f>IF(TA[[#This Row],[Work Start time on Fault]]="NA","",(TA[[#This Row],[Fault Acknowledgement Time ]]-TA[[#This Row],[Fault Time]])*24)</f>
        <v>0</v>
      </c>
      <c r="AB1320" s="27">
        <f>(TA[[#This Row],[Work Start time on Fault]]-TA[[#This Row],[Fault Time]])*24</f>
        <v>0</v>
      </c>
      <c r="AC1320" s="26">
        <f>(TA[[#This Row],[Work Completion time on fault]]-TA[[#This Row],[Fault Time]])*24</f>
        <v>0</v>
      </c>
      <c r="AD1320" s="27">
        <f>IFERROR((TA[[#This Row],[Work Completion time on fault]]-TA[[#This Row],[Fault Time]])*24,"")</f>
        <v>0</v>
      </c>
      <c r="AE1320" t="s">
        <v>319</v>
      </c>
      <c r="AF1320" t="s">
        <v>247</v>
      </c>
      <c r="AG1320" s="2"/>
      <c r="AH1320" s="35">
        <f>1-COS(RADIANS(TA[[#This Row],[Avg. Target Angle during Fault Time (Radians)]]-TA[[#This Row],[Angle of affected equipment ]]))</f>
        <v>0.11705240714107301</v>
      </c>
      <c r="AI1320" s="27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43">
        <f t="shared" si="152"/>
        <v>2026</v>
      </c>
      <c r="C1321" s="116">
        <f t="shared" si="153"/>
        <v>2025</v>
      </c>
      <c r="D1321" s="2" t="s">
        <v>155</v>
      </c>
      <c r="E1321" s="2" t="s">
        <v>155</v>
      </c>
      <c r="F1321" s="30">
        <v>45809</v>
      </c>
      <c r="G1321" s="2">
        <f>DAY(EOMONTH(TA[[#This Row],[Month Year]],0))</f>
        <v>30</v>
      </c>
      <c r="H1321" s="21">
        <v>45838</v>
      </c>
      <c r="I1321" s="32">
        <f>IFERROR(VLOOKUP(TA[[#This Row],[Date]],Raw_Data[[Date]:[Sunset Time (POA&lt;20 W/m2)]],3,0),"")</f>
        <v>0.26111111111111113</v>
      </c>
      <c r="J1321" s="32">
        <f>IFERROR(VLOOKUP(TA[[#This Row],[Date]],Raw_Data[[Date]:[Sunset Time (POA&lt;20 W/m2)]],4,0),"")</f>
        <v>0.74444444444444446</v>
      </c>
      <c r="K1321" s="27">
        <f>IFERROR((TA[[#This Row],[Sunset Time (POA&lt;20 W/m2)]]-TA[[#This Row],[Sunrise Time (POA&gt;20 W/m2)]])*24,"")</f>
        <v>11.6</v>
      </c>
      <c r="L1321" s="2" t="s">
        <v>285</v>
      </c>
      <c r="M1321" s="33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14" t="s">
        <v>306</v>
      </c>
      <c r="Q1321" s="113" t="s">
        <v>310</v>
      </c>
      <c r="R1321">
        <v>166</v>
      </c>
      <c r="S1321" s="2">
        <v>91</v>
      </c>
      <c r="T1321" t="s">
        <v>286</v>
      </c>
      <c r="U1321" t="s">
        <v>291</v>
      </c>
      <c r="V1321" t="s">
        <v>289</v>
      </c>
      <c r="W1321" s="32"/>
      <c r="X1321" s="32"/>
      <c r="Y1321" s="26"/>
      <c r="Z1321" s="26"/>
      <c r="AA1321" s="27">
        <f>IF(TA[[#This Row],[Work Start time on Fault]]="NA","",(TA[[#This Row],[Fault Acknowledgement Time ]]-TA[[#This Row],[Fault Time]])*24)</f>
        <v>0</v>
      </c>
      <c r="AB1321" s="27">
        <f>(TA[[#This Row],[Work Start time on Fault]]-TA[[#This Row],[Fault Time]])*24</f>
        <v>0</v>
      </c>
      <c r="AC1321" s="26">
        <f>(TA[[#This Row],[Work Completion time on fault]]-TA[[#This Row],[Fault Time]])*24</f>
        <v>0</v>
      </c>
      <c r="AD1321" s="27">
        <f>IFERROR((TA[[#This Row],[Work Completion time on fault]]-TA[[#This Row],[Fault Time]])*24,"")</f>
        <v>0</v>
      </c>
      <c r="AE1321" t="s">
        <v>319</v>
      </c>
      <c r="AF1321" t="s">
        <v>247</v>
      </c>
      <c r="AG1321" s="2"/>
      <c r="AH1321" s="35">
        <f>1-COS(RADIANS(TA[[#This Row],[Avg. Target Angle during Fault Time (Radians)]]-TA[[#This Row],[Angle of affected equipment ]]))</f>
        <v>0.11705240714107301</v>
      </c>
      <c r="AI1321" s="27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43">
        <f t="shared" si="152"/>
        <v>2026</v>
      </c>
      <c r="C1322" s="116">
        <f t="shared" si="153"/>
        <v>2025</v>
      </c>
      <c r="D1322" s="2" t="s">
        <v>155</v>
      </c>
      <c r="E1322" s="2" t="s">
        <v>155</v>
      </c>
      <c r="F1322" s="30">
        <v>45809</v>
      </c>
      <c r="G1322" s="2">
        <f>DAY(EOMONTH(TA[[#This Row],[Month Year]],0))</f>
        <v>30</v>
      </c>
      <c r="H1322" s="21">
        <v>45838</v>
      </c>
      <c r="I1322" s="32">
        <f>IFERROR(VLOOKUP(TA[[#This Row],[Date]],Raw_Data[[Date]:[Sunset Time (POA&lt;20 W/m2)]],3,0),"")</f>
        <v>0.26111111111111113</v>
      </c>
      <c r="J1322" s="32">
        <f>IFERROR(VLOOKUP(TA[[#This Row],[Date]],Raw_Data[[Date]:[Sunset Time (POA&lt;20 W/m2)]],4,0),"")</f>
        <v>0.74444444444444446</v>
      </c>
      <c r="K1322" s="27">
        <f>IFERROR((TA[[#This Row],[Sunset Time (POA&lt;20 W/m2)]]-TA[[#This Row],[Sunrise Time (POA&gt;20 W/m2)]])*24,"")</f>
        <v>11.6</v>
      </c>
      <c r="L1322" s="2" t="s">
        <v>285</v>
      </c>
      <c r="M1322" s="33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14" t="s">
        <v>307</v>
      </c>
      <c r="Q1322" s="113" t="s">
        <v>307</v>
      </c>
      <c r="R1322">
        <v>117</v>
      </c>
      <c r="S1322" s="2">
        <v>20</v>
      </c>
      <c r="T1322" t="s">
        <v>286</v>
      </c>
      <c r="U1322" t="s">
        <v>291</v>
      </c>
      <c r="V1322" t="s">
        <v>289</v>
      </c>
      <c r="W1322" s="32"/>
      <c r="X1322" s="32"/>
      <c r="Y1322" s="26"/>
      <c r="Z1322" s="26"/>
      <c r="AA1322" s="27">
        <f>IF(TA[[#This Row],[Work Start time on Fault]]="NA","",(TA[[#This Row],[Fault Acknowledgement Time ]]-TA[[#This Row],[Fault Time]])*24)</f>
        <v>0</v>
      </c>
      <c r="AB1322" s="27">
        <f>(TA[[#This Row],[Work Start time on Fault]]-TA[[#This Row],[Fault Time]])*24</f>
        <v>0</v>
      </c>
      <c r="AC1322" s="26">
        <f>(TA[[#This Row],[Work Completion time on fault]]-TA[[#This Row],[Fault Time]])*24</f>
        <v>0</v>
      </c>
      <c r="AD1322" s="27">
        <f>IFERROR((TA[[#This Row],[Work Completion time on fault]]-TA[[#This Row],[Fault Time]])*24,"")</f>
        <v>0</v>
      </c>
      <c r="AE1322" t="s">
        <v>319</v>
      </c>
      <c r="AF1322" t="s">
        <v>247</v>
      </c>
      <c r="AG1322" s="2"/>
      <c r="AH1322" s="35">
        <f>1-COS(RADIANS(TA[[#This Row],[Avg. Target Angle during Fault Time (Radians)]]-TA[[#This Row],[Angle of affected equipment ]]))</f>
        <v>0.11705240714107301</v>
      </c>
      <c r="AI1322" s="27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43">
        <f t="shared" si="152"/>
        <v>2026</v>
      </c>
      <c r="C1323" s="116">
        <f t="shared" si="153"/>
        <v>2025</v>
      </c>
      <c r="D1323" s="2" t="s">
        <v>155</v>
      </c>
      <c r="E1323" s="2" t="s">
        <v>155</v>
      </c>
      <c r="F1323" s="30">
        <v>45809</v>
      </c>
      <c r="G1323" s="2">
        <f>DAY(EOMONTH(TA[[#This Row],[Month Year]],0))</f>
        <v>30</v>
      </c>
      <c r="H1323" s="21">
        <v>45838</v>
      </c>
      <c r="I1323" s="32">
        <f>IFERROR(VLOOKUP(TA[[#This Row],[Date]],Raw_Data[[Date]:[Sunset Time (POA&lt;20 W/m2)]],3,0),"")</f>
        <v>0.26111111111111113</v>
      </c>
      <c r="J1323" s="32">
        <f>IFERROR(VLOOKUP(TA[[#This Row],[Date]],Raw_Data[[Date]:[Sunset Time (POA&lt;20 W/m2)]],4,0),"")</f>
        <v>0.74444444444444446</v>
      </c>
      <c r="K1323" s="27">
        <f>IFERROR((TA[[#This Row],[Sunset Time (POA&lt;20 W/m2)]]-TA[[#This Row],[Sunrise Time (POA&gt;20 W/m2)]])*24,"")</f>
        <v>11.6</v>
      </c>
      <c r="L1323" s="2" t="s">
        <v>285</v>
      </c>
      <c r="M1323" s="33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14" t="s">
        <v>307</v>
      </c>
      <c r="Q1323" s="113" t="s">
        <v>307</v>
      </c>
      <c r="R1323">
        <v>118</v>
      </c>
      <c r="S1323" s="2">
        <v>22</v>
      </c>
      <c r="T1323" t="s">
        <v>286</v>
      </c>
      <c r="U1323" t="s">
        <v>291</v>
      </c>
      <c r="V1323" t="s">
        <v>289</v>
      </c>
      <c r="W1323" s="32"/>
      <c r="X1323" s="32"/>
      <c r="Y1323" s="26"/>
      <c r="Z1323" s="26"/>
      <c r="AA1323" s="27">
        <f>IF(TA[[#This Row],[Work Start time on Fault]]="NA","",(TA[[#This Row],[Fault Acknowledgement Time ]]-TA[[#This Row],[Fault Time]])*24)</f>
        <v>0</v>
      </c>
      <c r="AB1323" s="27">
        <f>(TA[[#This Row],[Work Start time on Fault]]-TA[[#This Row],[Fault Time]])*24</f>
        <v>0</v>
      </c>
      <c r="AC1323" s="26">
        <f>(TA[[#This Row],[Work Completion time on fault]]-TA[[#This Row],[Fault Time]])*24</f>
        <v>0</v>
      </c>
      <c r="AD1323" s="27">
        <f>IFERROR((TA[[#This Row],[Work Completion time on fault]]-TA[[#This Row],[Fault Time]])*24,"")</f>
        <v>0</v>
      </c>
      <c r="AE1323" t="s">
        <v>319</v>
      </c>
      <c r="AF1323" t="s">
        <v>247</v>
      </c>
      <c r="AG1323" s="2"/>
      <c r="AH1323" s="35">
        <f>1-COS(RADIANS(TA[[#This Row],[Avg. Target Angle during Fault Time (Radians)]]-TA[[#This Row],[Angle of affected equipment ]]))</f>
        <v>0.11705240714107301</v>
      </c>
      <c r="AI1323" s="27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43">
        <f t="shared" si="152"/>
        <v>2026</v>
      </c>
      <c r="C1324" s="116">
        <f t="shared" si="153"/>
        <v>2025</v>
      </c>
      <c r="D1324" s="2" t="s">
        <v>155</v>
      </c>
      <c r="E1324" s="2" t="s">
        <v>155</v>
      </c>
      <c r="F1324" s="30">
        <v>45809</v>
      </c>
      <c r="G1324" s="2">
        <f>DAY(EOMONTH(TA[[#This Row],[Month Year]],0))</f>
        <v>30</v>
      </c>
      <c r="H1324" s="21">
        <v>45838</v>
      </c>
      <c r="I1324" s="32">
        <f>IFERROR(VLOOKUP(TA[[#This Row],[Date]],Raw_Data[[Date]:[Sunset Time (POA&lt;20 W/m2)]],3,0),"")</f>
        <v>0.26111111111111113</v>
      </c>
      <c r="J1324" s="32">
        <f>IFERROR(VLOOKUP(TA[[#This Row],[Date]],Raw_Data[[Date]:[Sunset Time (POA&lt;20 W/m2)]],4,0),"")</f>
        <v>0.74444444444444446</v>
      </c>
      <c r="K1324" s="27">
        <f>IFERROR((TA[[#This Row],[Sunset Time (POA&lt;20 W/m2)]]-TA[[#This Row],[Sunrise Time (POA&gt;20 W/m2)]])*24,"")</f>
        <v>11.6</v>
      </c>
      <c r="L1324" s="2" t="s">
        <v>287</v>
      </c>
      <c r="M1324" s="33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314</v>
      </c>
      <c r="Q1324" s="2" t="s">
        <v>320</v>
      </c>
      <c r="R1324">
        <v>45</v>
      </c>
      <c r="S1324" s="2">
        <v>8</v>
      </c>
      <c r="T1324" t="s">
        <v>288</v>
      </c>
      <c r="U1324" t="s">
        <v>291</v>
      </c>
      <c r="V1324" t="s">
        <v>292</v>
      </c>
      <c r="W1324" s="32"/>
      <c r="X1324" s="32"/>
      <c r="Y1324" s="26"/>
      <c r="Z1324" s="26"/>
      <c r="AA1324" s="27">
        <f>IF(TA[[#This Row],[Work Start time on Fault]]="NA","",(TA[[#This Row],[Fault Acknowledgement Time ]]-TA[[#This Row],[Fault Time]])*24)</f>
        <v>0</v>
      </c>
      <c r="AB1324" s="27">
        <f>(TA[[#This Row],[Work Start time on Fault]]-TA[[#This Row],[Fault Time]])*24</f>
        <v>0</v>
      </c>
      <c r="AC1324" s="26">
        <f>(TA[[#This Row],[Work Completion time on fault]]-TA[[#This Row],[Fault Time]])*24</f>
        <v>0</v>
      </c>
      <c r="AD1324" s="27">
        <f>IFERROR((TA[[#This Row],[Work Completion time on fault]]-TA[[#This Row],[Fault Time]])*24,"")</f>
        <v>0</v>
      </c>
      <c r="AE1324" t="s">
        <v>319</v>
      </c>
      <c r="AF1324" t="s">
        <v>247</v>
      </c>
      <c r="AG1324" s="2"/>
      <c r="AH1324" s="35">
        <f>1-COS(RADIANS(TA[[#This Row],[Avg. Target Angle during Fault Time (Radians)]]-TA[[#This Row],[Angle of affected equipment ]]))</f>
        <v>0.11705240714107301</v>
      </c>
      <c r="AI1324" s="27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43">
        <f t="shared" si="152"/>
        <v>2026</v>
      </c>
      <c r="C1325" s="116">
        <f t="shared" si="153"/>
        <v>2025</v>
      </c>
      <c r="D1325" s="2" t="s">
        <v>155</v>
      </c>
      <c r="E1325" s="2" t="s">
        <v>155</v>
      </c>
      <c r="F1325" s="30">
        <v>45809</v>
      </c>
      <c r="G1325" s="2">
        <f>DAY(EOMONTH(TA[[#This Row],[Month Year]],0))</f>
        <v>30</v>
      </c>
      <c r="H1325" s="21">
        <v>45838</v>
      </c>
      <c r="I1325" s="32">
        <f>IFERROR(VLOOKUP(TA[[#This Row],[Date]],Raw_Data[[Date]:[Sunset Time (POA&lt;20 W/m2)]],3,0),"")</f>
        <v>0.26111111111111113</v>
      </c>
      <c r="J1325" s="32">
        <f>IFERROR(VLOOKUP(TA[[#This Row],[Date]],Raw_Data[[Date]:[Sunset Time (POA&lt;20 W/m2)]],4,0),"")</f>
        <v>0.74444444444444446</v>
      </c>
      <c r="K1325" s="27">
        <f>IFERROR((TA[[#This Row],[Sunset Time (POA&lt;20 W/m2)]]-TA[[#This Row],[Sunrise Time (POA&gt;20 W/m2)]])*24,"")</f>
        <v>11.6</v>
      </c>
      <c r="L1325" s="2" t="s">
        <v>287</v>
      </c>
      <c r="M1325" s="33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314</v>
      </c>
      <c r="Q1325" s="2" t="s">
        <v>320</v>
      </c>
      <c r="R1325">
        <v>47</v>
      </c>
      <c r="S1325" s="2">
        <v>18</v>
      </c>
      <c r="T1325" t="s">
        <v>288</v>
      </c>
      <c r="U1325" t="s">
        <v>291</v>
      </c>
      <c r="V1325" t="s">
        <v>292</v>
      </c>
      <c r="W1325" s="32"/>
      <c r="X1325" s="32"/>
      <c r="Y1325" s="26"/>
      <c r="Z1325" s="26"/>
      <c r="AA1325" s="27">
        <f>IF(TA[[#This Row],[Work Start time on Fault]]="NA","",(TA[[#This Row],[Fault Acknowledgement Time ]]-TA[[#This Row],[Fault Time]])*24)</f>
        <v>0</v>
      </c>
      <c r="AB1325" s="27">
        <f>(TA[[#This Row],[Work Start time on Fault]]-TA[[#This Row],[Fault Time]])*24</f>
        <v>0</v>
      </c>
      <c r="AC1325" s="26">
        <f>(TA[[#This Row],[Work Completion time on fault]]-TA[[#This Row],[Fault Time]])*24</f>
        <v>0</v>
      </c>
      <c r="AD1325" s="27">
        <f>IFERROR((TA[[#This Row],[Work Completion time on fault]]-TA[[#This Row],[Fault Time]])*24,"")</f>
        <v>0</v>
      </c>
      <c r="AE1325" t="s">
        <v>319</v>
      </c>
      <c r="AF1325" t="s">
        <v>247</v>
      </c>
      <c r="AG1325" s="2"/>
      <c r="AH1325" s="35">
        <f>1-COS(RADIANS(TA[[#This Row],[Avg. Target Angle during Fault Time (Radians)]]-TA[[#This Row],[Angle of affected equipment ]]))</f>
        <v>0.11705240714107301</v>
      </c>
      <c r="AI1325" s="27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43">
        <f t="shared" si="152"/>
        <v>2026</v>
      </c>
      <c r="C1326" s="116">
        <f t="shared" si="153"/>
        <v>2025</v>
      </c>
      <c r="D1326" s="2" t="s">
        <v>155</v>
      </c>
      <c r="E1326" s="2" t="s">
        <v>155</v>
      </c>
      <c r="F1326" s="30">
        <v>45809</v>
      </c>
      <c r="G1326" s="2">
        <f>DAY(EOMONTH(TA[[#This Row],[Month Year]],0))</f>
        <v>30</v>
      </c>
      <c r="H1326" s="21">
        <v>45838</v>
      </c>
      <c r="I1326" s="32">
        <f>IFERROR(VLOOKUP(TA[[#This Row],[Date]],Raw_Data[[Date]:[Sunset Time (POA&lt;20 W/m2)]],3,0),"")</f>
        <v>0.26111111111111113</v>
      </c>
      <c r="J1326" s="32">
        <f>IFERROR(VLOOKUP(TA[[#This Row],[Date]],Raw_Data[[Date]:[Sunset Time (POA&lt;20 W/m2)]],4,0),"")</f>
        <v>0.74444444444444446</v>
      </c>
      <c r="K1326" s="27">
        <f>IFERROR((TA[[#This Row],[Sunset Time (POA&lt;20 W/m2)]]-TA[[#This Row],[Sunrise Time (POA&gt;20 W/m2)]])*24,"")</f>
        <v>11.6</v>
      </c>
      <c r="L1326" s="2" t="s">
        <v>287</v>
      </c>
      <c r="M1326" s="33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321</v>
      </c>
      <c r="Q1326" s="2" t="s">
        <v>314</v>
      </c>
      <c r="R1326">
        <v>30</v>
      </c>
      <c r="S1326" s="2">
        <v>57</v>
      </c>
      <c r="T1326" t="s">
        <v>288</v>
      </c>
      <c r="U1326" t="s">
        <v>291</v>
      </c>
      <c r="V1326" t="s">
        <v>292</v>
      </c>
      <c r="W1326" s="32"/>
      <c r="X1326" s="32"/>
      <c r="Y1326" s="26"/>
      <c r="Z1326" s="26"/>
      <c r="AA1326" s="27">
        <f>IF(TA[[#This Row],[Work Start time on Fault]]="NA","",(TA[[#This Row],[Fault Acknowledgement Time ]]-TA[[#This Row],[Fault Time]])*24)</f>
        <v>0</v>
      </c>
      <c r="AB1326" s="27">
        <f>(TA[[#This Row],[Work Start time on Fault]]-TA[[#This Row],[Fault Time]])*24</f>
        <v>0</v>
      </c>
      <c r="AC1326" s="26">
        <f>(TA[[#This Row],[Work Completion time on fault]]-TA[[#This Row],[Fault Time]])*24</f>
        <v>0</v>
      </c>
      <c r="AD1326" s="27">
        <f>IFERROR((TA[[#This Row],[Work Completion time on fault]]-TA[[#This Row],[Fault Time]])*24,"")</f>
        <v>0</v>
      </c>
      <c r="AE1326" t="s">
        <v>319</v>
      </c>
      <c r="AF1326" t="s">
        <v>247</v>
      </c>
      <c r="AG1326" s="2"/>
      <c r="AH1326" s="35">
        <f>1-COS(RADIANS(TA[[#This Row],[Avg. Target Angle during Fault Time (Radians)]]-TA[[#This Row],[Angle of affected equipment ]]))</f>
        <v>0.11705240714107301</v>
      </c>
      <c r="AI1326" s="27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43">
        <f t="shared" si="152"/>
        <v>2026</v>
      </c>
      <c r="C1327" s="116">
        <f t="shared" si="153"/>
        <v>2025</v>
      </c>
      <c r="D1327" s="2" t="s">
        <v>155</v>
      </c>
      <c r="E1327" s="2" t="s">
        <v>155</v>
      </c>
      <c r="F1327" s="30">
        <v>45809</v>
      </c>
      <c r="G1327" s="2">
        <f>DAY(EOMONTH(TA[[#This Row],[Month Year]],0))</f>
        <v>30</v>
      </c>
      <c r="H1327" s="21">
        <v>45838</v>
      </c>
      <c r="I1327" s="32">
        <f>IFERROR(VLOOKUP(TA[[#This Row],[Date]],Raw_Data[[Date]:[Sunset Time (POA&lt;20 W/m2)]],3,0),"")</f>
        <v>0.26111111111111113</v>
      </c>
      <c r="J1327" s="32">
        <f>IFERROR(VLOOKUP(TA[[#This Row],[Date]],Raw_Data[[Date]:[Sunset Time (POA&lt;20 W/m2)]],4,0),"")</f>
        <v>0.74444444444444446</v>
      </c>
      <c r="K1327" s="27">
        <f>IFERROR((TA[[#This Row],[Sunset Time (POA&lt;20 W/m2)]]-TA[[#This Row],[Sunrise Time (POA&gt;20 W/m2)]])*24,"")</f>
        <v>11.6</v>
      </c>
      <c r="L1327" s="2" t="s">
        <v>287</v>
      </c>
      <c r="M1327" s="33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321</v>
      </c>
      <c r="Q1327" s="2" t="s">
        <v>314</v>
      </c>
      <c r="R1327">
        <v>31</v>
      </c>
      <c r="S1327" s="2">
        <v>61</v>
      </c>
      <c r="T1327" t="s">
        <v>288</v>
      </c>
      <c r="U1327" t="s">
        <v>291</v>
      </c>
      <c r="V1327" t="s">
        <v>292</v>
      </c>
      <c r="W1327" s="32"/>
      <c r="X1327" s="32"/>
      <c r="Y1327" s="26"/>
      <c r="Z1327" s="26"/>
      <c r="AA1327" s="27">
        <f>IF(TA[[#This Row],[Work Start time on Fault]]="NA","",(TA[[#This Row],[Fault Acknowledgement Time ]]-TA[[#This Row],[Fault Time]])*24)</f>
        <v>0</v>
      </c>
      <c r="AB1327" s="27">
        <f>(TA[[#This Row],[Work Start time on Fault]]-TA[[#This Row],[Fault Time]])*24</f>
        <v>0</v>
      </c>
      <c r="AC1327" s="26">
        <f>(TA[[#This Row],[Work Completion time on fault]]-TA[[#This Row],[Fault Time]])*24</f>
        <v>0</v>
      </c>
      <c r="AD1327" s="27">
        <f>IFERROR((TA[[#This Row],[Work Completion time on fault]]-TA[[#This Row],[Fault Time]])*24,"")</f>
        <v>0</v>
      </c>
      <c r="AE1327" t="s">
        <v>319</v>
      </c>
      <c r="AF1327" t="s">
        <v>247</v>
      </c>
      <c r="AG1327" s="2"/>
      <c r="AH1327" s="35">
        <f>1-COS(RADIANS(TA[[#This Row],[Avg. Target Angle during Fault Time (Radians)]]-TA[[#This Row],[Angle of affected equipment ]]))</f>
        <v>0.11705240714107301</v>
      </c>
      <c r="AI1327" s="27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43">
        <f t="shared" si="152"/>
        <v>2026</v>
      </c>
      <c r="C1328" s="116">
        <f t="shared" si="153"/>
        <v>2025</v>
      </c>
      <c r="D1328" s="2" t="s">
        <v>155</v>
      </c>
      <c r="E1328" s="2" t="s">
        <v>155</v>
      </c>
      <c r="F1328" s="30">
        <v>45809</v>
      </c>
      <c r="G1328" s="2">
        <f>DAY(EOMONTH(TA[[#This Row],[Month Year]],0))</f>
        <v>30</v>
      </c>
      <c r="H1328" s="21">
        <v>45838</v>
      </c>
      <c r="I1328" s="32">
        <f>IFERROR(VLOOKUP(TA[[#This Row],[Date]],Raw_Data[[Date]:[Sunset Time (POA&lt;20 W/m2)]],3,0),"")</f>
        <v>0.26111111111111113</v>
      </c>
      <c r="J1328" s="32">
        <f>IFERROR(VLOOKUP(TA[[#This Row],[Date]],Raw_Data[[Date]:[Sunset Time (POA&lt;20 W/m2)]],4,0),"")</f>
        <v>0.74444444444444446</v>
      </c>
      <c r="K1328" s="27">
        <f>IFERROR((TA[[#This Row],[Sunset Time (POA&lt;20 W/m2)]]-TA[[#This Row],[Sunrise Time (POA&gt;20 W/m2)]])*24,"")</f>
        <v>11.6</v>
      </c>
      <c r="L1328" s="2" t="s">
        <v>303</v>
      </c>
      <c r="M1328" s="33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321</v>
      </c>
      <c r="Q1328" s="2" t="s">
        <v>314</v>
      </c>
      <c r="R1328">
        <v>26</v>
      </c>
      <c r="S1328" s="2">
        <v>37</v>
      </c>
      <c r="T1328" t="s">
        <v>288</v>
      </c>
      <c r="U1328" t="s">
        <v>291</v>
      </c>
      <c r="V1328" t="s">
        <v>292</v>
      </c>
      <c r="W1328" s="32"/>
      <c r="X1328" s="32"/>
      <c r="Y1328" s="26"/>
      <c r="Z1328" s="26"/>
      <c r="AA1328" s="27">
        <f>IF(TA[[#This Row],[Work Start time on Fault]]="NA","",(TA[[#This Row],[Fault Acknowledgement Time ]]-TA[[#This Row],[Fault Time]])*24)</f>
        <v>0</v>
      </c>
      <c r="AB1328" s="27">
        <f>(TA[[#This Row],[Work Start time on Fault]]-TA[[#This Row],[Fault Time]])*24</f>
        <v>0</v>
      </c>
      <c r="AC1328" s="26">
        <f>(TA[[#This Row],[Work Completion time on fault]]-TA[[#This Row],[Fault Time]])*24</f>
        <v>0</v>
      </c>
      <c r="AD1328" s="27">
        <f>IFERROR((TA[[#This Row],[Work Completion time on fault]]-TA[[#This Row],[Fault Time]])*24,"")</f>
        <v>0</v>
      </c>
      <c r="AE1328" t="s">
        <v>319</v>
      </c>
      <c r="AF1328" t="s">
        <v>247</v>
      </c>
      <c r="AG1328" s="2"/>
      <c r="AH1328" s="35">
        <f>1-COS(RADIANS(TA[[#This Row],[Avg. Target Angle during Fault Time (Radians)]]-TA[[#This Row],[Angle of affected equipment ]]))</f>
        <v>0.11705240714107301</v>
      </c>
      <c r="AI1328" s="27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43">
        <f t="shared" si="152"/>
        <v>2026</v>
      </c>
      <c r="C1329" s="116">
        <f t="shared" si="153"/>
        <v>2025</v>
      </c>
      <c r="D1329" s="2" t="s">
        <v>155</v>
      </c>
      <c r="E1329" s="2" t="s">
        <v>155</v>
      </c>
      <c r="F1329" s="30">
        <v>45809</v>
      </c>
      <c r="G1329" s="2">
        <f>DAY(EOMONTH(TA[[#This Row],[Month Year]],0))</f>
        <v>30</v>
      </c>
      <c r="H1329" s="21">
        <v>45838</v>
      </c>
      <c r="I1329" s="32">
        <f>IFERROR(VLOOKUP(TA[[#This Row],[Date]],Raw_Data[[Date]:[Sunset Time (POA&lt;20 W/m2)]],3,0),"")</f>
        <v>0.26111111111111113</v>
      </c>
      <c r="J1329" s="32">
        <f>IFERROR(VLOOKUP(TA[[#This Row],[Date]],Raw_Data[[Date]:[Sunset Time (POA&lt;20 W/m2)]],4,0),"")</f>
        <v>0.74444444444444446</v>
      </c>
      <c r="K1329" s="27">
        <f>IFERROR((TA[[#This Row],[Sunset Time (POA&lt;20 W/m2)]]-TA[[#This Row],[Sunrise Time (POA&gt;20 W/m2)]])*24,"")</f>
        <v>11.6</v>
      </c>
      <c r="L1329" s="2" t="s">
        <v>303</v>
      </c>
      <c r="M1329" s="33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321</v>
      </c>
      <c r="Q1329" s="2" t="s">
        <v>314</v>
      </c>
      <c r="R1329">
        <v>27</v>
      </c>
      <c r="S1329" s="2">
        <v>42</v>
      </c>
      <c r="T1329" t="s">
        <v>288</v>
      </c>
      <c r="U1329" t="s">
        <v>291</v>
      </c>
      <c r="V1329" t="s">
        <v>292</v>
      </c>
      <c r="W1329" s="32">
        <f>IFERROR(VLOOKUP(TA[[#This Row],[Date]],Raw_Data[[Date]:[Sunset Time (POA&lt;20 W/m2)]],3,0),"")</f>
        <v>0.26111111111111113</v>
      </c>
      <c r="X1329" s="32">
        <f>IFERROR(VLOOKUP(TA[[#This Row],[Date]],Raw_Data[[Date]:[Sunset Time (POA&lt;20 W/m2)]],3,0),"")</f>
        <v>0.26111111111111113</v>
      </c>
      <c r="Y1329" s="26"/>
      <c r="Z1329" s="26">
        <v>0.76041666666666663</v>
      </c>
      <c r="AA1329" s="27">
        <f>IF(TA[[#This Row],[Work Start time on Fault]]="NA","",(TA[[#This Row],[Fault Acknowledgement Time ]]-TA[[#This Row],[Fault Time]])*24)</f>
        <v>0</v>
      </c>
      <c r="AB1329" s="27">
        <f>(TA[[#This Row],[Work Start time on Fault]]-TA[[#This Row],[Fault Time]])*24</f>
        <v>-6.2666666666666675</v>
      </c>
      <c r="AC1329" s="26">
        <f>(TA[[#This Row],[Work Completion time on fault]]-TA[[#This Row],[Fault Time]])*24</f>
        <v>11.983333333333333</v>
      </c>
      <c r="AD1329" s="27">
        <f>IFERROR((TA[[#This Row],[Work Completion time on fault]]-TA[[#This Row],[Fault Time]])*24,"")</f>
        <v>11.983333333333333</v>
      </c>
      <c r="AE1329" t="s">
        <v>300</v>
      </c>
      <c r="AF1329" t="s">
        <v>247</v>
      </c>
      <c r="AG1329" s="2"/>
      <c r="AH1329" s="35">
        <f>1-COS(RADIANS(TA[[#This Row],[Avg. Target Angle during Fault Time (Radians)]]-TA[[#This Row],[Angle of affected equipment ]]))</f>
        <v>0.11705240714107301</v>
      </c>
      <c r="AI1329" s="27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43">
        <f t="shared" ref="B1330:B1342" si="154">YEAR(H1330)+IF(MONTH(H1330)&gt;=4,1,0)</f>
        <v>2026</v>
      </c>
      <c r="C1330" s="116">
        <f t="shared" ref="C1330:C1342" si="155">YEAR(H1330)</f>
        <v>2025</v>
      </c>
      <c r="D1330" s="2" t="s">
        <v>155</v>
      </c>
      <c r="E1330" s="2" t="s">
        <v>155</v>
      </c>
      <c r="F1330" s="30">
        <v>45839</v>
      </c>
      <c r="G1330" s="2">
        <f>DAY(EOMONTH(TA[[#This Row],[Month Year]],0))</f>
        <v>31</v>
      </c>
      <c r="H1330" s="21">
        <v>45839</v>
      </c>
      <c r="I1330" s="32">
        <f>IFERROR(VLOOKUP(TA[[#This Row],[Date]],Raw_Data[[Date]:[Sunset Time (POA&lt;20 W/m2)]],3,0),"")</f>
        <v>0.25833333333333336</v>
      </c>
      <c r="J1330" s="32">
        <f>IFERROR(VLOOKUP(TA[[#This Row],[Date]],Raw_Data[[Date]:[Sunset Time (POA&lt;20 W/m2)]],4,0),"")</f>
        <v>0.77083333333333337</v>
      </c>
      <c r="K1330" s="27">
        <f>IFERROR((TA[[#This Row],[Sunset Time (POA&lt;20 W/m2)]]-TA[[#This Row],[Sunrise Time (POA&gt;20 W/m2)]])*24,"")</f>
        <v>12.299999999999999</v>
      </c>
      <c r="L1330" s="2" t="s">
        <v>285</v>
      </c>
      <c r="M1330" s="33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14" t="s">
        <v>309</v>
      </c>
      <c r="Q1330" s="113" t="s">
        <v>309</v>
      </c>
      <c r="R1330">
        <v>131</v>
      </c>
      <c r="S1330" s="2">
        <v>38</v>
      </c>
      <c r="T1330" t="s">
        <v>286</v>
      </c>
      <c r="U1330" t="s">
        <v>291</v>
      </c>
      <c r="V1330" t="s">
        <v>289</v>
      </c>
      <c r="W1330" s="32"/>
      <c r="X1330" s="32"/>
      <c r="Y1330" s="26"/>
      <c r="Z1330" s="26"/>
      <c r="AA1330" s="27">
        <f>IF(TA[[#This Row],[Work Start time on Fault]]="NA","",(TA[[#This Row],[Fault Acknowledgement Time ]]-TA[[#This Row],[Fault Time]])*24)</f>
        <v>0</v>
      </c>
      <c r="AB1330" s="27">
        <f>(TA[[#This Row],[Work Start time on Fault]]-TA[[#This Row],[Fault Time]])*24</f>
        <v>0</v>
      </c>
      <c r="AC1330" s="26">
        <f>(TA[[#This Row],[Work Completion time on fault]]-TA[[#This Row],[Fault Time]])*24</f>
        <v>0</v>
      </c>
      <c r="AD1330" s="27">
        <f>IFERROR((TA[[#This Row],[Work Completion time on fault]]-TA[[#This Row],[Fault Time]])*24,"")</f>
        <v>0</v>
      </c>
      <c r="AE1330" t="s">
        <v>319</v>
      </c>
      <c r="AF1330" t="s">
        <v>247</v>
      </c>
      <c r="AG1330" s="2"/>
      <c r="AH1330" s="35">
        <f>1-COS(RADIANS(TA[[#This Row],[Avg. Target Angle during Fault Time (Radians)]]-TA[[#This Row],[Angle of affected equipment ]]))</f>
        <v>0.11705240714107301</v>
      </c>
      <c r="AI1330" s="27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43">
        <f t="shared" si="154"/>
        <v>2026</v>
      </c>
      <c r="C1331" s="116">
        <f t="shared" si="155"/>
        <v>2025</v>
      </c>
      <c r="D1331" s="2" t="s">
        <v>155</v>
      </c>
      <c r="E1331" s="2" t="s">
        <v>155</v>
      </c>
      <c r="F1331" s="30">
        <v>45839</v>
      </c>
      <c r="G1331" s="2">
        <f>DAY(EOMONTH(TA[[#This Row],[Month Year]],0))</f>
        <v>31</v>
      </c>
      <c r="H1331" s="21">
        <v>45839</v>
      </c>
      <c r="I1331" s="32">
        <f>IFERROR(VLOOKUP(TA[[#This Row],[Date]],Raw_Data[[Date]:[Sunset Time (POA&lt;20 W/m2)]],3,0),"")</f>
        <v>0.25833333333333336</v>
      </c>
      <c r="J1331" s="32">
        <f>IFERROR(VLOOKUP(TA[[#This Row],[Date]],Raw_Data[[Date]:[Sunset Time (POA&lt;20 W/m2)]],4,0),"")</f>
        <v>0.77083333333333337</v>
      </c>
      <c r="K1331" s="27">
        <f>IFERROR((TA[[#This Row],[Sunset Time (POA&lt;20 W/m2)]]-TA[[#This Row],[Sunrise Time (POA&gt;20 W/m2)]])*24,"")</f>
        <v>12.299999999999999</v>
      </c>
      <c r="L1331" s="2" t="s">
        <v>285</v>
      </c>
      <c r="M1331" s="33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14" t="s">
        <v>309</v>
      </c>
      <c r="Q1331" s="113" t="s">
        <v>309</v>
      </c>
      <c r="R1331">
        <v>131</v>
      </c>
      <c r="S1331" s="2">
        <v>39</v>
      </c>
      <c r="T1331" t="s">
        <v>286</v>
      </c>
      <c r="U1331" t="s">
        <v>291</v>
      </c>
      <c r="V1331" t="s">
        <v>289</v>
      </c>
      <c r="W1331" s="32"/>
      <c r="X1331" s="32"/>
      <c r="Y1331" s="26"/>
      <c r="Z1331" s="26"/>
      <c r="AA1331" s="27">
        <f>IF(TA[[#This Row],[Work Start time on Fault]]="NA","",(TA[[#This Row],[Fault Acknowledgement Time ]]-TA[[#This Row],[Fault Time]])*24)</f>
        <v>0</v>
      </c>
      <c r="AB1331" s="27">
        <f>(TA[[#This Row],[Work Start time on Fault]]-TA[[#This Row],[Fault Time]])*24</f>
        <v>0</v>
      </c>
      <c r="AC1331" s="26">
        <f>(TA[[#This Row],[Work Completion time on fault]]-TA[[#This Row],[Fault Time]])*24</f>
        <v>0</v>
      </c>
      <c r="AD1331" s="27">
        <f>IFERROR((TA[[#This Row],[Work Completion time on fault]]-TA[[#This Row],[Fault Time]])*24,"")</f>
        <v>0</v>
      </c>
      <c r="AE1331" t="s">
        <v>319</v>
      </c>
      <c r="AF1331" t="s">
        <v>247</v>
      </c>
      <c r="AG1331" s="2"/>
      <c r="AH1331" s="35">
        <f>1-COS(RADIANS(TA[[#This Row],[Avg. Target Angle during Fault Time (Radians)]]-TA[[#This Row],[Angle of affected equipment ]]))</f>
        <v>0.11705240714107301</v>
      </c>
      <c r="AI1331" s="27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43">
        <f t="shared" si="154"/>
        <v>2026</v>
      </c>
      <c r="C1332" s="116">
        <f t="shared" si="155"/>
        <v>2025</v>
      </c>
      <c r="D1332" s="2" t="s">
        <v>155</v>
      </c>
      <c r="E1332" s="2" t="s">
        <v>155</v>
      </c>
      <c r="F1332" s="30">
        <v>45839</v>
      </c>
      <c r="G1332" s="2">
        <f>DAY(EOMONTH(TA[[#This Row],[Month Year]],0))</f>
        <v>31</v>
      </c>
      <c r="H1332" s="21">
        <v>45839</v>
      </c>
      <c r="I1332" s="32">
        <f>IFERROR(VLOOKUP(TA[[#This Row],[Date]],Raw_Data[[Date]:[Sunset Time (POA&lt;20 W/m2)]],3,0),"")</f>
        <v>0.25833333333333336</v>
      </c>
      <c r="J1332" s="32">
        <f>IFERROR(VLOOKUP(TA[[#This Row],[Date]],Raw_Data[[Date]:[Sunset Time (POA&lt;20 W/m2)]],4,0),"")</f>
        <v>0.77083333333333337</v>
      </c>
      <c r="K1332" s="27">
        <f>IFERROR((TA[[#This Row],[Sunset Time (POA&lt;20 W/m2)]]-TA[[#This Row],[Sunrise Time (POA&gt;20 W/m2)]])*24,"")</f>
        <v>12.299999999999999</v>
      </c>
      <c r="L1332" s="2" t="s">
        <v>287</v>
      </c>
      <c r="M1332" s="33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14" t="s">
        <v>309</v>
      </c>
      <c r="Q1332" s="2" t="s">
        <v>312</v>
      </c>
      <c r="R1332">
        <v>133</v>
      </c>
      <c r="S1332" s="2">
        <v>26</v>
      </c>
      <c r="T1332" t="s">
        <v>288</v>
      </c>
      <c r="U1332" t="s">
        <v>291</v>
      </c>
      <c r="V1332" t="s">
        <v>305</v>
      </c>
      <c r="W1332" s="32">
        <f>IFERROR(VLOOKUP(TA[[#This Row],[Date]],Raw_Data[[Date]:[Sunset Time (POA&lt;20 W/m2)]],3,0),"")</f>
        <v>0.25833333333333336</v>
      </c>
      <c r="X1332" s="32">
        <f>IFERROR(VLOOKUP(TA[[#This Row],[Date]],Raw_Data[[Date]:[Sunset Time (POA&lt;20 W/m2)]],3,0),"")</f>
        <v>0.25833333333333336</v>
      </c>
      <c r="Y1332" s="26"/>
      <c r="Z1332" s="26">
        <v>0.76041666666666663</v>
      </c>
      <c r="AA1332" s="27">
        <f>IF(TA[[#This Row],[Work Start time on Fault]]="NA","",(TA[[#This Row],[Fault Acknowledgement Time ]]-TA[[#This Row],[Fault Time]])*24)</f>
        <v>0</v>
      </c>
      <c r="AB1332" s="27">
        <f>(TA[[#This Row],[Work Start time on Fault]]-TA[[#This Row],[Fault Time]])*24</f>
        <v>-6.2000000000000011</v>
      </c>
      <c r="AC1332" s="26">
        <f>(TA[[#This Row],[Work Completion time on fault]]-TA[[#This Row],[Fault Time]])*24</f>
        <v>12.049999999999997</v>
      </c>
      <c r="AD1332" s="27">
        <f>IFERROR((TA[[#This Row],[Work Completion time on fault]]-TA[[#This Row],[Fault Time]])*24,"")</f>
        <v>12.049999999999997</v>
      </c>
      <c r="AE1332" t="s">
        <v>319</v>
      </c>
      <c r="AF1332" t="s">
        <v>247</v>
      </c>
      <c r="AG1332" s="2"/>
      <c r="AH1332" s="35">
        <f>1-COS(RADIANS(TA[[#This Row],[Avg. Target Angle during Fault Time (Radians)]]-TA[[#This Row],[Angle of affected equipment ]]))</f>
        <v>0.11705240714107301</v>
      </c>
      <c r="AI1332" s="27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43">
        <f t="shared" si="154"/>
        <v>2026</v>
      </c>
      <c r="C1333" s="116">
        <f t="shared" si="155"/>
        <v>2025</v>
      </c>
      <c r="D1333" s="2" t="s">
        <v>155</v>
      </c>
      <c r="E1333" s="2" t="s">
        <v>155</v>
      </c>
      <c r="F1333" s="30">
        <v>45839</v>
      </c>
      <c r="G1333" s="2">
        <f>DAY(EOMONTH(TA[[#This Row],[Month Year]],0))</f>
        <v>31</v>
      </c>
      <c r="H1333" s="21">
        <v>45839</v>
      </c>
      <c r="I1333" s="32">
        <f>IFERROR(VLOOKUP(TA[[#This Row],[Date]],Raw_Data[[Date]:[Sunset Time (POA&lt;20 W/m2)]],3,0),"")</f>
        <v>0.25833333333333336</v>
      </c>
      <c r="J1333" s="32">
        <f>IFERROR(VLOOKUP(TA[[#This Row],[Date]],Raw_Data[[Date]:[Sunset Time (POA&lt;20 W/m2)]],4,0),"")</f>
        <v>0.77083333333333337</v>
      </c>
      <c r="K1333" s="27">
        <f>IFERROR((TA[[#This Row],[Sunset Time (POA&lt;20 W/m2)]]-TA[[#This Row],[Sunrise Time (POA&gt;20 W/m2)]])*24,"")</f>
        <v>12.299999999999999</v>
      </c>
      <c r="L1333" s="2" t="s">
        <v>285</v>
      </c>
      <c r="M1333" s="33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14" t="s">
        <v>307</v>
      </c>
      <c r="Q1333" s="113" t="s">
        <v>308</v>
      </c>
      <c r="R1333">
        <v>7</v>
      </c>
      <c r="S1333" s="2">
        <v>32</v>
      </c>
      <c r="T1333" t="s">
        <v>286</v>
      </c>
      <c r="U1333" t="s">
        <v>291</v>
      </c>
      <c r="V1333" t="s">
        <v>289</v>
      </c>
      <c r="W1333" s="32"/>
      <c r="X1333" s="32"/>
      <c r="Y1333" s="26"/>
      <c r="Z1333" s="26"/>
      <c r="AA1333" s="27">
        <f>IF(TA[[#This Row],[Work Start time on Fault]]="NA","",(TA[[#This Row],[Fault Acknowledgement Time ]]-TA[[#This Row],[Fault Time]])*24)</f>
        <v>0</v>
      </c>
      <c r="AB1333" s="27">
        <f>(TA[[#This Row],[Work Start time on Fault]]-TA[[#This Row],[Fault Time]])*24</f>
        <v>0</v>
      </c>
      <c r="AC1333" s="26">
        <f>(TA[[#This Row],[Work Completion time on fault]]-TA[[#This Row],[Fault Time]])*24</f>
        <v>0</v>
      </c>
      <c r="AD1333" s="27">
        <f>IFERROR((TA[[#This Row],[Work Completion time on fault]]-TA[[#This Row],[Fault Time]])*24,"")</f>
        <v>0</v>
      </c>
      <c r="AE1333" t="s">
        <v>319</v>
      </c>
      <c r="AF1333" t="s">
        <v>247</v>
      </c>
      <c r="AG1333" s="2"/>
      <c r="AH1333" s="35">
        <f>1-COS(RADIANS(TA[[#This Row],[Avg. Target Angle during Fault Time (Radians)]]-TA[[#This Row],[Angle of affected equipment ]]))</f>
        <v>0.11705240714107301</v>
      </c>
      <c r="AI1333" s="27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43">
        <f t="shared" si="154"/>
        <v>2026</v>
      </c>
      <c r="C1334" s="116">
        <f t="shared" si="155"/>
        <v>2025</v>
      </c>
      <c r="D1334" s="2" t="s">
        <v>155</v>
      </c>
      <c r="E1334" s="2" t="s">
        <v>155</v>
      </c>
      <c r="F1334" s="30">
        <v>45839</v>
      </c>
      <c r="G1334" s="2">
        <f>DAY(EOMONTH(TA[[#This Row],[Month Year]],0))</f>
        <v>31</v>
      </c>
      <c r="H1334" s="21">
        <v>45839</v>
      </c>
      <c r="I1334" s="32">
        <f>IFERROR(VLOOKUP(TA[[#This Row],[Date]],Raw_Data[[Date]:[Sunset Time (POA&lt;20 W/m2)]],3,0),"")</f>
        <v>0.25833333333333336</v>
      </c>
      <c r="J1334" s="32">
        <f>IFERROR(VLOOKUP(TA[[#This Row],[Date]],Raw_Data[[Date]:[Sunset Time (POA&lt;20 W/m2)]],4,0),"")</f>
        <v>0.77083333333333337</v>
      </c>
      <c r="K1334" s="27">
        <f>IFERROR((TA[[#This Row],[Sunset Time (POA&lt;20 W/m2)]]-TA[[#This Row],[Sunrise Time (POA&gt;20 W/m2)]])*24,"")</f>
        <v>12.299999999999999</v>
      </c>
      <c r="L1334" s="2" t="s">
        <v>285</v>
      </c>
      <c r="M1334" s="33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14" t="s">
        <v>306</v>
      </c>
      <c r="Q1334" s="113" t="s">
        <v>310</v>
      </c>
      <c r="R1334">
        <v>166</v>
      </c>
      <c r="S1334" s="2">
        <v>91</v>
      </c>
      <c r="T1334" t="s">
        <v>286</v>
      </c>
      <c r="U1334" t="s">
        <v>291</v>
      </c>
      <c r="V1334" t="s">
        <v>289</v>
      </c>
      <c r="W1334" s="32"/>
      <c r="X1334" s="32"/>
      <c r="Y1334" s="26"/>
      <c r="Z1334" s="26"/>
      <c r="AA1334" s="27">
        <f>IF(TA[[#This Row],[Work Start time on Fault]]="NA","",(TA[[#This Row],[Fault Acknowledgement Time ]]-TA[[#This Row],[Fault Time]])*24)</f>
        <v>0</v>
      </c>
      <c r="AB1334" s="27">
        <f>(TA[[#This Row],[Work Start time on Fault]]-TA[[#This Row],[Fault Time]])*24</f>
        <v>0</v>
      </c>
      <c r="AC1334" s="26">
        <f>(TA[[#This Row],[Work Completion time on fault]]-TA[[#This Row],[Fault Time]])*24</f>
        <v>0</v>
      </c>
      <c r="AD1334" s="27">
        <f>IFERROR((TA[[#This Row],[Work Completion time on fault]]-TA[[#This Row],[Fault Time]])*24,"")</f>
        <v>0</v>
      </c>
      <c r="AE1334" t="s">
        <v>319</v>
      </c>
      <c r="AF1334" t="s">
        <v>247</v>
      </c>
      <c r="AG1334" s="2"/>
      <c r="AH1334" s="35">
        <f>1-COS(RADIANS(TA[[#This Row],[Avg. Target Angle during Fault Time (Radians)]]-TA[[#This Row],[Angle of affected equipment ]]))</f>
        <v>0.11705240714107301</v>
      </c>
      <c r="AI1334" s="27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43">
        <f t="shared" si="154"/>
        <v>2026</v>
      </c>
      <c r="C1335" s="116">
        <f t="shared" si="155"/>
        <v>2025</v>
      </c>
      <c r="D1335" s="2" t="s">
        <v>155</v>
      </c>
      <c r="E1335" s="2" t="s">
        <v>155</v>
      </c>
      <c r="F1335" s="30">
        <v>45839</v>
      </c>
      <c r="G1335" s="2">
        <f>DAY(EOMONTH(TA[[#This Row],[Month Year]],0))</f>
        <v>31</v>
      </c>
      <c r="H1335" s="21">
        <v>45839</v>
      </c>
      <c r="I1335" s="32">
        <f>IFERROR(VLOOKUP(TA[[#This Row],[Date]],Raw_Data[[Date]:[Sunset Time (POA&lt;20 W/m2)]],3,0),"")</f>
        <v>0.25833333333333336</v>
      </c>
      <c r="J1335" s="32">
        <f>IFERROR(VLOOKUP(TA[[#This Row],[Date]],Raw_Data[[Date]:[Sunset Time (POA&lt;20 W/m2)]],4,0),"")</f>
        <v>0.77083333333333337</v>
      </c>
      <c r="K1335" s="27">
        <f>IFERROR((TA[[#This Row],[Sunset Time (POA&lt;20 W/m2)]]-TA[[#This Row],[Sunrise Time (POA&gt;20 W/m2)]])*24,"")</f>
        <v>12.299999999999999</v>
      </c>
      <c r="L1335" s="2" t="s">
        <v>285</v>
      </c>
      <c r="M1335" s="33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14" t="s">
        <v>307</v>
      </c>
      <c r="Q1335" s="113" t="s">
        <v>307</v>
      </c>
      <c r="R1335">
        <v>117</v>
      </c>
      <c r="S1335" s="2">
        <v>20</v>
      </c>
      <c r="T1335" t="s">
        <v>286</v>
      </c>
      <c r="U1335" t="s">
        <v>291</v>
      </c>
      <c r="V1335" t="s">
        <v>289</v>
      </c>
      <c r="W1335" s="32"/>
      <c r="X1335" s="32"/>
      <c r="Y1335" s="26"/>
      <c r="Z1335" s="26"/>
      <c r="AA1335" s="27">
        <f>IF(TA[[#This Row],[Work Start time on Fault]]="NA","",(TA[[#This Row],[Fault Acknowledgement Time ]]-TA[[#This Row],[Fault Time]])*24)</f>
        <v>0</v>
      </c>
      <c r="AB1335" s="27">
        <f>(TA[[#This Row],[Work Start time on Fault]]-TA[[#This Row],[Fault Time]])*24</f>
        <v>0</v>
      </c>
      <c r="AC1335" s="26">
        <f>(TA[[#This Row],[Work Completion time on fault]]-TA[[#This Row],[Fault Time]])*24</f>
        <v>0</v>
      </c>
      <c r="AD1335" s="27">
        <f>IFERROR((TA[[#This Row],[Work Completion time on fault]]-TA[[#This Row],[Fault Time]])*24,"")</f>
        <v>0</v>
      </c>
      <c r="AE1335" t="s">
        <v>319</v>
      </c>
      <c r="AF1335" t="s">
        <v>247</v>
      </c>
      <c r="AG1335" s="2"/>
      <c r="AH1335" s="35">
        <f>1-COS(RADIANS(TA[[#This Row],[Avg. Target Angle during Fault Time (Radians)]]-TA[[#This Row],[Angle of affected equipment ]]))</f>
        <v>0.11705240714107301</v>
      </c>
      <c r="AI1335" s="27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43">
        <f t="shared" si="154"/>
        <v>2026</v>
      </c>
      <c r="C1336" s="116">
        <f t="shared" si="155"/>
        <v>2025</v>
      </c>
      <c r="D1336" s="2" t="s">
        <v>155</v>
      </c>
      <c r="E1336" s="2" t="s">
        <v>155</v>
      </c>
      <c r="F1336" s="30">
        <v>45839</v>
      </c>
      <c r="G1336" s="2">
        <f>DAY(EOMONTH(TA[[#This Row],[Month Year]],0))</f>
        <v>31</v>
      </c>
      <c r="H1336" s="21">
        <v>45839</v>
      </c>
      <c r="I1336" s="32">
        <f>IFERROR(VLOOKUP(TA[[#This Row],[Date]],Raw_Data[[Date]:[Sunset Time (POA&lt;20 W/m2)]],3,0),"")</f>
        <v>0.25833333333333336</v>
      </c>
      <c r="J1336" s="32">
        <f>IFERROR(VLOOKUP(TA[[#This Row],[Date]],Raw_Data[[Date]:[Sunset Time (POA&lt;20 W/m2)]],4,0),"")</f>
        <v>0.77083333333333337</v>
      </c>
      <c r="K1336" s="27">
        <f>IFERROR((TA[[#This Row],[Sunset Time (POA&lt;20 W/m2)]]-TA[[#This Row],[Sunrise Time (POA&gt;20 W/m2)]])*24,"")</f>
        <v>12.299999999999999</v>
      </c>
      <c r="L1336" s="2" t="s">
        <v>285</v>
      </c>
      <c r="M1336" s="33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14" t="s">
        <v>307</v>
      </c>
      <c r="Q1336" s="113" t="s">
        <v>307</v>
      </c>
      <c r="R1336">
        <v>118</v>
      </c>
      <c r="S1336" s="2">
        <v>22</v>
      </c>
      <c r="T1336" t="s">
        <v>286</v>
      </c>
      <c r="U1336" t="s">
        <v>291</v>
      </c>
      <c r="V1336" t="s">
        <v>289</v>
      </c>
      <c r="W1336" s="32"/>
      <c r="X1336" s="32"/>
      <c r="Y1336" s="26"/>
      <c r="Z1336" s="26"/>
      <c r="AA1336" s="27">
        <f>IF(TA[[#This Row],[Work Start time on Fault]]="NA","",(TA[[#This Row],[Fault Acknowledgement Time ]]-TA[[#This Row],[Fault Time]])*24)</f>
        <v>0</v>
      </c>
      <c r="AB1336" s="27">
        <f>(TA[[#This Row],[Work Start time on Fault]]-TA[[#This Row],[Fault Time]])*24</f>
        <v>0</v>
      </c>
      <c r="AC1336" s="26">
        <f>(TA[[#This Row],[Work Completion time on fault]]-TA[[#This Row],[Fault Time]])*24</f>
        <v>0</v>
      </c>
      <c r="AD1336" s="27">
        <f>IFERROR((TA[[#This Row],[Work Completion time on fault]]-TA[[#This Row],[Fault Time]])*24,"")</f>
        <v>0</v>
      </c>
      <c r="AE1336" t="s">
        <v>319</v>
      </c>
      <c r="AF1336" t="s">
        <v>247</v>
      </c>
      <c r="AG1336" s="2"/>
      <c r="AH1336" s="35">
        <f>1-COS(RADIANS(TA[[#This Row],[Avg. Target Angle during Fault Time (Radians)]]-TA[[#This Row],[Angle of affected equipment ]]))</f>
        <v>0.11705240714107301</v>
      </c>
      <c r="AI1336" s="27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43">
        <f t="shared" si="154"/>
        <v>2026</v>
      </c>
      <c r="C1337" s="116">
        <f t="shared" si="155"/>
        <v>2025</v>
      </c>
      <c r="D1337" s="2" t="s">
        <v>155</v>
      </c>
      <c r="E1337" s="2" t="s">
        <v>155</v>
      </c>
      <c r="F1337" s="30">
        <v>45839</v>
      </c>
      <c r="G1337" s="2">
        <f>DAY(EOMONTH(TA[[#This Row],[Month Year]],0))</f>
        <v>31</v>
      </c>
      <c r="H1337" s="21">
        <v>45839</v>
      </c>
      <c r="I1337" s="32">
        <f>IFERROR(VLOOKUP(TA[[#This Row],[Date]],Raw_Data[[Date]:[Sunset Time (POA&lt;20 W/m2)]],3,0),"")</f>
        <v>0.25833333333333336</v>
      </c>
      <c r="J1337" s="32">
        <f>IFERROR(VLOOKUP(TA[[#This Row],[Date]],Raw_Data[[Date]:[Sunset Time (POA&lt;20 W/m2)]],4,0),"")</f>
        <v>0.77083333333333337</v>
      </c>
      <c r="K1337" s="27">
        <f>IFERROR((TA[[#This Row],[Sunset Time (POA&lt;20 W/m2)]]-TA[[#This Row],[Sunrise Time (POA&gt;20 W/m2)]])*24,"")</f>
        <v>12.299999999999999</v>
      </c>
      <c r="L1337" s="2" t="s">
        <v>287</v>
      </c>
      <c r="M1337" s="33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314</v>
      </c>
      <c r="Q1337" s="2" t="s">
        <v>320</v>
      </c>
      <c r="R1337">
        <v>45</v>
      </c>
      <c r="S1337" s="2">
        <v>8</v>
      </c>
      <c r="T1337" t="s">
        <v>288</v>
      </c>
      <c r="U1337" t="s">
        <v>291</v>
      </c>
      <c r="V1337" t="s">
        <v>292</v>
      </c>
      <c r="W1337" s="32"/>
      <c r="X1337" s="32"/>
      <c r="Y1337" s="26"/>
      <c r="Z1337" s="26"/>
      <c r="AA1337" s="27">
        <f>IF(TA[[#This Row],[Work Start time on Fault]]="NA","",(TA[[#This Row],[Fault Acknowledgement Time ]]-TA[[#This Row],[Fault Time]])*24)</f>
        <v>0</v>
      </c>
      <c r="AB1337" s="27">
        <f>(TA[[#This Row],[Work Start time on Fault]]-TA[[#This Row],[Fault Time]])*24</f>
        <v>0</v>
      </c>
      <c r="AC1337" s="26">
        <f>(TA[[#This Row],[Work Completion time on fault]]-TA[[#This Row],[Fault Time]])*24</f>
        <v>0</v>
      </c>
      <c r="AD1337" s="27">
        <f>IFERROR((TA[[#This Row],[Work Completion time on fault]]-TA[[#This Row],[Fault Time]])*24,"")</f>
        <v>0</v>
      </c>
      <c r="AE1337" t="s">
        <v>319</v>
      </c>
      <c r="AF1337" t="s">
        <v>247</v>
      </c>
      <c r="AG1337" s="2"/>
      <c r="AH1337" s="35">
        <f>1-COS(RADIANS(TA[[#This Row],[Avg. Target Angle during Fault Time (Radians)]]-TA[[#This Row],[Angle of affected equipment ]]))</f>
        <v>0.11705240714107301</v>
      </c>
      <c r="AI1337" s="27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43">
        <f t="shared" si="154"/>
        <v>2026</v>
      </c>
      <c r="C1338" s="116">
        <f t="shared" si="155"/>
        <v>2025</v>
      </c>
      <c r="D1338" s="2" t="s">
        <v>155</v>
      </c>
      <c r="E1338" s="2" t="s">
        <v>155</v>
      </c>
      <c r="F1338" s="30">
        <v>45839</v>
      </c>
      <c r="G1338" s="2">
        <f>DAY(EOMONTH(TA[[#This Row],[Month Year]],0))</f>
        <v>31</v>
      </c>
      <c r="H1338" s="21">
        <v>45839</v>
      </c>
      <c r="I1338" s="32">
        <f>IFERROR(VLOOKUP(TA[[#This Row],[Date]],Raw_Data[[Date]:[Sunset Time (POA&lt;20 W/m2)]],3,0),"")</f>
        <v>0.25833333333333336</v>
      </c>
      <c r="J1338" s="32">
        <f>IFERROR(VLOOKUP(TA[[#This Row],[Date]],Raw_Data[[Date]:[Sunset Time (POA&lt;20 W/m2)]],4,0),"")</f>
        <v>0.77083333333333337</v>
      </c>
      <c r="K1338" s="27">
        <f>IFERROR((TA[[#This Row],[Sunset Time (POA&lt;20 W/m2)]]-TA[[#This Row],[Sunrise Time (POA&gt;20 W/m2)]])*24,"")</f>
        <v>12.299999999999999</v>
      </c>
      <c r="L1338" s="2" t="s">
        <v>287</v>
      </c>
      <c r="M1338" s="33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314</v>
      </c>
      <c r="Q1338" s="2" t="s">
        <v>320</v>
      </c>
      <c r="R1338">
        <v>47</v>
      </c>
      <c r="S1338" s="2">
        <v>18</v>
      </c>
      <c r="T1338" t="s">
        <v>288</v>
      </c>
      <c r="U1338" t="s">
        <v>291</v>
      </c>
      <c r="V1338" t="s">
        <v>292</v>
      </c>
      <c r="W1338" s="32"/>
      <c r="X1338" s="32"/>
      <c r="Y1338" s="26"/>
      <c r="Z1338" s="26"/>
      <c r="AA1338" s="27">
        <f>IF(TA[[#This Row],[Work Start time on Fault]]="NA","",(TA[[#This Row],[Fault Acknowledgement Time ]]-TA[[#This Row],[Fault Time]])*24)</f>
        <v>0</v>
      </c>
      <c r="AB1338" s="27">
        <f>(TA[[#This Row],[Work Start time on Fault]]-TA[[#This Row],[Fault Time]])*24</f>
        <v>0</v>
      </c>
      <c r="AC1338" s="26">
        <f>(TA[[#This Row],[Work Completion time on fault]]-TA[[#This Row],[Fault Time]])*24</f>
        <v>0</v>
      </c>
      <c r="AD1338" s="27">
        <f>IFERROR((TA[[#This Row],[Work Completion time on fault]]-TA[[#This Row],[Fault Time]])*24,"")</f>
        <v>0</v>
      </c>
      <c r="AE1338" t="s">
        <v>319</v>
      </c>
      <c r="AF1338" t="s">
        <v>247</v>
      </c>
      <c r="AG1338" s="2"/>
      <c r="AH1338" s="35">
        <f>1-COS(RADIANS(TA[[#This Row],[Avg. Target Angle during Fault Time (Radians)]]-TA[[#This Row],[Angle of affected equipment ]]))</f>
        <v>0.11705240714107301</v>
      </c>
      <c r="AI1338" s="27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43">
        <f t="shared" si="154"/>
        <v>2026</v>
      </c>
      <c r="C1339" s="116">
        <f t="shared" si="155"/>
        <v>2025</v>
      </c>
      <c r="D1339" s="2" t="s">
        <v>155</v>
      </c>
      <c r="E1339" s="2" t="s">
        <v>155</v>
      </c>
      <c r="F1339" s="30">
        <v>45839</v>
      </c>
      <c r="G1339" s="2">
        <f>DAY(EOMONTH(TA[[#This Row],[Month Year]],0))</f>
        <v>31</v>
      </c>
      <c r="H1339" s="21">
        <v>45839</v>
      </c>
      <c r="I1339" s="32">
        <f>IFERROR(VLOOKUP(TA[[#This Row],[Date]],Raw_Data[[Date]:[Sunset Time (POA&lt;20 W/m2)]],3,0),"")</f>
        <v>0.25833333333333336</v>
      </c>
      <c r="J1339" s="32">
        <f>IFERROR(VLOOKUP(TA[[#This Row],[Date]],Raw_Data[[Date]:[Sunset Time (POA&lt;20 W/m2)]],4,0),"")</f>
        <v>0.77083333333333337</v>
      </c>
      <c r="K1339" s="27">
        <f>IFERROR((TA[[#This Row],[Sunset Time (POA&lt;20 W/m2)]]-TA[[#This Row],[Sunrise Time (POA&gt;20 W/m2)]])*24,"")</f>
        <v>12.299999999999999</v>
      </c>
      <c r="L1339" s="2" t="s">
        <v>287</v>
      </c>
      <c r="M1339" s="33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321</v>
      </c>
      <c r="Q1339" s="2" t="s">
        <v>314</v>
      </c>
      <c r="R1339">
        <v>30</v>
      </c>
      <c r="S1339" s="2">
        <v>57</v>
      </c>
      <c r="T1339" t="s">
        <v>288</v>
      </c>
      <c r="U1339" t="s">
        <v>291</v>
      </c>
      <c r="V1339" t="s">
        <v>292</v>
      </c>
      <c r="W1339" s="32"/>
      <c r="X1339" s="32"/>
      <c r="Y1339" s="26"/>
      <c r="Z1339" s="26"/>
      <c r="AA1339" s="27">
        <f>IF(TA[[#This Row],[Work Start time on Fault]]="NA","",(TA[[#This Row],[Fault Acknowledgement Time ]]-TA[[#This Row],[Fault Time]])*24)</f>
        <v>0</v>
      </c>
      <c r="AB1339" s="27">
        <f>(TA[[#This Row],[Work Start time on Fault]]-TA[[#This Row],[Fault Time]])*24</f>
        <v>0</v>
      </c>
      <c r="AC1339" s="26">
        <f>(TA[[#This Row],[Work Completion time on fault]]-TA[[#This Row],[Fault Time]])*24</f>
        <v>0</v>
      </c>
      <c r="AD1339" s="27">
        <f>IFERROR((TA[[#This Row],[Work Completion time on fault]]-TA[[#This Row],[Fault Time]])*24,"")</f>
        <v>0</v>
      </c>
      <c r="AE1339" t="s">
        <v>319</v>
      </c>
      <c r="AF1339" t="s">
        <v>247</v>
      </c>
      <c r="AG1339" s="2"/>
      <c r="AH1339" s="35">
        <f>1-COS(RADIANS(TA[[#This Row],[Avg. Target Angle during Fault Time (Radians)]]-TA[[#This Row],[Angle of affected equipment ]]))</f>
        <v>0.11705240714107301</v>
      </c>
      <c r="AI1339" s="27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43">
        <f t="shared" si="154"/>
        <v>2026</v>
      </c>
      <c r="C1340" s="116">
        <f t="shared" si="155"/>
        <v>2025</v>
      </c>
      <c r="D1340" s="2" t="s">
        <v>155</v>
      </c>
      <c r="E1340" s="2" t="s">
        <v>155</v>
      </c>
      <c r="F1340" s="30">
        <v>45839</v>
      </c>
      <c r="G1340" s="2">
        <f>DAY(EOMONTH(TA[[#This Row],[Month Year]],0))</f>
        <v>31</v>
      </c>
      <c r="H1340" s="21">
        <v>45839</v>
      </c>
      <c r="I1340" s="32">
        <f>IFERROR(VLOOKUP(TA[[#This Row],[Date]],Raw_Data[[Date]:[Sunset Time (POA&lt;20 W/m2)]],3,0),"")</f>
        <v>0.25833333333333336</v>
      </c>
      <c r="J1340" s="32">
        <f>IFERROR(VLOOKUP(TA[[#This Row],[Date]],Raw_Data[[Date]:[Sunset Time (POA&lt;20 W/m2)]],4,0),"")</f>
        <v>0.77083333333333337</v>
      </c>
      <c r="K1340" s="27">
        <f>IFERROR((TA[[#This Row],[Sunset Time (POA&lt;20 W/m2)]]-TA[[#This Row],[Sunrise Time (POA&gt;20 W/m2)]])*24,"")</f>
        <v>12.299999999999999</v>
      </c>
      <c r="L1340" s="2" t="s">
        <v>287</v>
      </c>
      <c r="M1340" s="33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321</v>
      </c>
      <c r="Q1340" s="2" t="s">
        <v>314</v>
      </c>
      <c r="R1340">
        <v>31</v>
      </c>
      <c r="S1340" s="2">
        <v>61</v>
      </c>
      <c r="T1340" t="s">
        <v>288</v>
      </c>
      <c r="U1340" t="s">
        <v>291</v>
      </c>
      <c r="V1340" t="s">
        <v>292</v>
      </c>
      <c r="W1340" s="32"/>
      <c r="X1340" s="32"/>
      <c r="Y1340" s="26"/>
      <c r="Z1340" s="26"/>
      <c r="AA1340" s="27">
        <f>IF(TA[[#This Row],[Work Start time on Fault]]="NA","",(TA[[#This Row],[Fault Acknowledgement Time ]]-TA[[#This Row],[Fault Time]])*24)</f>
        <v>0</v>
      </c>
      <c r="AB1340" s="27">
        <f>(TA[[#This Row],[Work Start time on Fault]]-TA[[#This Row],[Fault Time]])*24</f>
        <v>0</v>
      </c>
      <c r="AC1340" s="26">
        <f>(TA[[#This Row],[Work Completion time on fault]]-TA[[#This Row],[Fault Time]])*24</f>
        <v>0</v>
      </c>
      <c r="AD1340" s="27">
        <f>IFERROR((TA[[#This Row],[Work Completion time on fault]]-TA[[#This Row],[Fault Time]])*24,"")</f>
        <v>0</v>
      </c>
      <c r="AE1340" t="s">
        <v>319</v>
      </c>
      <c r="AF1340" t="s">
        <v>247</v>
      </c>
      <c r="AG1340" s="2"/>
      <c r="AH1340" s="35">
        <f>1-COS(RADIANS(TA[[#This Row],[Avg. Target Angle during Fault Time (Radians)]]-TA[[#This Row],[Angle of affected equipment ]]))</f>
        <v>0.11705240714107301</v>
      </c>
      <c r="AI1340" s="27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43">
        <f t="shared" si="154"/>
        <v>2026</v>
      </c>
      <c r="C1341" s="116">
        <f t="shared" si="155"/>
        <v>2025</v>
      </c>
      <c r="D1341" s="2" t="s">
        <v>155</v>
      </c>
      <c r="E1341" s="2" t="s">
        <v>155</v>
      </c>
      <c r="F1341" s="30">
        <v>45839</v>
      </c>
      <c r="G1341" s="2">
        <f>DAY(EOMONTH(TA[[#This Row],[Month Year]],0))</f>
        <v>31</v>
      </c>
      <c r="H1341" s="21">
        <v>45839</v>
      </c>
      <c r="I1341" s="32">
        <f>IFERROR(VLOOKUP(TA[[#This Row],[Date]],Raw_Data[[Date]:[Sunset Time (POA&lt;20 W/m2)]],3,0),"")</f>
        <v>0.25833333333333336</v>
      </c>
      <c r="J1341" s="32">
        <f>IFERROR(VLOOKUP(TA[[#This Row],[Date]],Raw_Data[[Date]:[Sunset Time (POA&lt;20 W/m2)]],4,0),"")</f>
        <v>0.77083333333333337</v>
      </c>
      <c r="K1341" s="27">
        <f>IFERROR((TA[[#This Row],[Sunset Time (POA&lt;20 W/m2)]]-TA[[#This Row],[Sunrise Time (POA&gt;20 W/m2)]])*24,"")</f>
        <v>12.299999999999999</v>
      </c>
      <c r="L1341" s="2" t="s">
        <v>303</v>
      </c>
      <c r="M1341" s="33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321</v>
      </c>
      <c r="Q1341" s="2" t="s">
        <v>314</v>
      </c>
      <c r="R1341">
        <v>26</v>
      </c>
      <c r="S1341" s="2">
        <v>37</v>
      </c>
      <c r="T1341" t="s">
        <v>288</v>
      </c>
      <c r="U1341" t="s">
        <v>291</v>
      </c>
      <c r="V1341" t="s">
        <v>292</v>
      </c>
      <c r="W1341" s="32"/>
      <c r="X1341" s="32"/>
      <c r="Y1341" s="26"/>
      <c r="Z1341" s="26"/>
      <c r="AA1341" s="27">
        <f>IF(TA[[#This Row],[Work Start time on Fault]]="NA","",(TA[[#This Row],[Fault Acknowledgement Time ]]-TA[[#This Row],[Fault Time]])*24)</f>
        <v>0</v>
      </c>
      <c r="AB1341" s="27">
        <f>(TA[[#This Row],[Work Start time on Fault]]-TA[[#This Row],[Fault Time]])*24</f>
        <v>0</v>
      </c>
      <c r="AC1341" s="26">
        <f>(TA[[#This Row],[Work Completion time on fault]]-TA[[#This Row],[Fault Time]])*24</f>
        <v>0</v>
      </c>
      <c r="AD1341" s="27">
        <f>IFERROR((TA[[#This Row],[Work Completion time on fault]]-TA[[#This Row],[Fault Time]])*24,"")</f>
        <v>0</v>
      </c>
      <c r="AE1341" t="s">
        <v>319</v>
      </c>
      <c r="AF1341" t="s">
        <v>247</v>
      </c>
      <c r="AG1341" s="2"/>
      <c r="AH1341" s="35">
        <f>1-COS(RADIANS(TA[[#This Row],[Avg. Target Angle during Fault Time (Radians)]]-TA[[#This Row],[Angle of affected equipment ]]))</f>
        <v>0.11705240714107301</v>
      </c>
      <c r="AI1341" s="27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43">
        <f t="shared" si="154"/>
        <v>2026</v>
      </c>
      <c r="C1342" s="116">
        <f t="shared" si="155"/>
        <v>2025</v>
      </c>
      <c r="D1342" s="2" t="s">
        <v>155</v>
      </c>
      <c r="E1342" s="2" t="s">
        <v>155</v>
      </c>
      <c r="F1342" s="30">
        <v>45839</v>
      </c>
      <c r="G1342" s="2">
        <f>DAY(EOMONTH(TA[[#This Row],[Month Year]],0))</f>
        <v>31</v>
      </c>
      <c r="H1342" s="21">
        <v>45839</v>
      </c>
      <c r="I1342" s="32">
        <f>IFERROR(VLOOKUP(TA[[#This Row],[Date]],Raw_Data[[Date]:[Sunset Time (POA&lt;20 W/m2)]],3,0),"")</f>
        <v>0.25833333333333336</v>
      </c>
      <c r="J1342" s="32">
        <f>IFERROR(VLOOKUP(TA[[#This Row],[Date]],Raw_Data[[Date]:[Sunset Time (POA&lt;20 W/m2)]],4,0),"")</f>
        <v>0.77083333333333337</v>
      </c>
      <c r="K1342" s="27">
        <f>IFERROR((TA[[#This Row],[Sunset Time (POA&lt;20 W/m2)]]-TA[[#This Row],[Sunrise Time (POA&gt;20 W/m2)]])*24,"")</f>
        <v>12.299999999999999</v>
      </c>
      <c r="L1342" s="2" t="s">
        <v>303</v>
      </c>
      <c r="M1342" s="33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321</v>
      </c>
      <c r="Q1342" s="2" t="s">
        <v>314</v>
      </c>
      <c r="R1342">
        <v>27</v>
      </c>
      <c r="S1342" s="2">
        <v>42</v>
      </c>
      <c r="T1342" t="s">
        <v>288</v>
      </c>
      <c r="U1342" t="s">
        <v>291</v>
      </c>
      <c r="V1342" t="s">
        <v>292</v>
      </c>
      <c r="W1342" s="32">
        <f>IFERROR(VLOOKUP(TA[[#This Row],[Date]],Raw_Data[[Date]:[Sunset Time (POA&lt;20 W/m2)]],3,0),"")</f>
        <v>0.25833333333333336</v>
      </c>
      <c r="X1342" s="32">
        <f>IFERROR(VLOOKUP(TA[[#This Row],[Date]],Raw_Data[[Date]:[Sunset Time (POA&lt;20 W/m2)]],3,0),"")</f>
        <v>0.25833333333333336</v>
      </c>
      <c r="Y1342" s="26"/>
      <c r="Z1342" s="26">
        <v>0.76041666666666663</v>
      </c>
      <c r="AA1342" s="27">
        <f>IF(TA[[#This Row],[Work Start time on Fault]]="NA","",(TA[[#This Row],[Fault Acknowledgement Time ]]-TA[[#This Row],[Fault Time]])*24)</f>
        <v>0</v>
      </c>
      <c r="AB1342" s="27">
        <f>(TA[[#This Row],[Work Start time on Fault]]-TA[[#This Row],[Fault Time]])*24</f>
        <v>-6.2000000000000011</v>
      </c>
      <c r="AC1342" s="26">
        <f>(TA[[#This Row],[Work Completion time on fault]]-TA[[#This Row],[Fault Time]])*24</f>
        <v>12.049999999999997</v>
      </c>
      <c r="AD1342" s="27">
        <f>IFERROR((TA[[#This Row],[Work Completion time on fault]]-TA[[#This Row],[Fault Time]])*24,"")</f>
        <v>12.049999999999997</v>
      </c>
      <c r="AE1342" t="s">
        <v>300</v>
      </c>
      <c r="AF1342" t="s">
        <v>247</v>
      </c>
      <c r="AG1342" s="2"/>
      <c r="AH1342" s="35">
        <f>1-COS(RADIANS(TA[[#This Row],[Avg. Target Angle during Fault Time (Radians)]]-TA[[#This Row],[Angle of affected equipment ]]))</f>
        <v>0.11705240714107301</v>
      </c>
      <c r="AI1342" s="27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43">
        <f t="shared" ref="B1343:B1355" si="156">YEAR(H1343)+IF(MONTH(H1343)&gt;=4,1,0)</f>
        <v>2026</v>
      </c>
      <c r="C1343" s="116">
        <f t="shared" ref="C1343:C1355" si="157">YEAR(H1343)</f>
        <v>2025</v>
      </c>
      <c r="D1343" s="2" t="s">
        <v>155</v>
      </c>
      <c r="E1343" s="2" t="s">
        <v>155</v>
      </c>
      <c r="F1343" s="30">
        <v>45839</v>
      </c>
      <c r="G1343" s="2">
        <f>DAY(EOMONTH(TA[[#This Row],[Month Year]],0))</f>
        <v>31</v>
      </c>
      <c r="H1343" s="21">
        <v>45840</v>
      </c>
      <c r="I1343" s="32">
        <f>IFERROR(VLOOKUP(TA[[#This Row],[Date]],Raw_Data[[Date]:[Sunset Time (POA&lt;20 W/m2)]],3,0),"")</f>
        <v>0.26319444444444445</v>
      </c>
      <c r="J1343" s="32">
        <f>IFERROR(VLOOKUP(TA[[#This Row],[Date]],Raw_Data[[Date]:[Sunset Time (POA&lt;20 W/m2)]],4,0),"")</f>
        <v>0.78333333333333333</v>
      </c>
      <c r="K1343" s="27">
        <f>IFERROR((TA[[#This Row],[Sunset Time (POA&lt;20 W/m2)]]-TA[[#This Row],[Sunrise Time (POA&gt;20 W/m2)]])*24,"")</f>
        <v>12.483333333333334</v>
      </c>
      <c r="L1343" s="2" t="s">
        <v>285</v>
      </c>
      <c r="M1343" s="33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14" t="s">
        <v>309</v>
      </c>
      <c r="Q1343" s="113" t="s">
        <v>309</v>
      </c>
      <c r="R1343">
        <v>131</v>
      </c>
      <c r="S1343" s="2">
        <v>38</v>
      </c>
      <c r="T1343" t="s">
        <v>286</v>
      </c>
      <c r="U1343" t="s">
        <v>291</v>
      </c>
      <c r="V1343" t="s">
        <v>289</v>
      </c>
      <c r="W1343" s="32">
        <f>IFERROR(VLOOKUP(TA[[#This Row],[Date]],Raw_Data[[Date]:[Sunset Time (POA&lt;20 W/m2)]],3,0),"")</f>
        <v>0.26319444444444445</v>
      </c>
      <c r="X1343" s="32">
        <f>IFERROR(VLOOKUP(TA[[#This Row],[Date]],Raw_Data[[Date]:[Sunset Time (POA&lt;20 W/m2)]],3,0),"")</f>
        <v>0.26319444444444445</v>
      </c>
      <c r="Y1343" s="26"/>
      <c r="Z1343" s="26"/>
      <c r="AA1343" s="27">
        <f>IF(TA[[#This Row],[Work Start time on Fault]]="NA","",(TA[[#This Row],[Fault Acknowledgement Time ]]-TA[[#This Row],[Fault Time]])*24)</f>
        <v>0</v>
      </c>
      <c r="AB1343" s="27">
        <f>(TA[[#This Row],[Work Start time on Fault]]-TA[[#This Row],[Fault Time]])*24</f>
        <v>-6.3166666666666664</v>
      </c>
      <c r="AC1343" s="26">
        <f>(TA[[#This Row],[Work Completion time on fault]]-TA[[#This Row],[Fault Time]])*24</f>
        <v>-6.3166666666666664</v>
      </c>
      <c r="AD1343" s="27">
        <f>IFERROR((TA[[#This Row],[Work Completion time on fault]]-TA[[#This Row],[Fault Time]])*24,"")</f>
        <v>-6.3166666666666664</v>
      </c>
      <c r="AE1343" t="s">
        <v>319</v>
      </c>
      <c r="AF1343" t="s">
        <v>247</v>
      </c>
      <c r="AG1343" s="2"/>
      <c r="AH1343" s="35">
        <f>1-COS(RADIANS(TA[[#This Row],[Avg. Target Angle during Fault Time (Radians)]]-TA[[#This Row],[Angle of affected equipment ]]))</f>
        <v>0.11705240714107301</v>
      </c>
      <c r="AI1343" s="27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43">
        <f t="shared" si="156"/>
        <v>2026</v>
      </c>
      <c r="C1344" s="116">
        <f t="shared" si="157"/>
        <v>2025</v>
      </c>
      <c r="D1344" s="2" t="s">
        <v>155</v>
      </c>
      <c r="E1344" s="2" t="s">
        <v>155</v>
      </c>
      <c r="F1344" s="30">
        <v>45839</v>
      </c>
      <c r="G1344" s="2">
        <f>DAY(EOMONTH(TA[[#This Row],[Month Year]],0))</f>
        <v>31</v>
      </c>
      <c r="H1344" s="21">
        <v>45840</v>
      </c>
      <c r="I1344" s="32">
        <f>IFERROR(VLOOKUP(TA[[#This Row],[Date]],Raw_Data[[Date]:[Sunset Time (POA&lt;20 W/m2)]],3,0),"")</f>
        <v>0.26319444444444445</v>
      </c>
      <c r="J1344" s="32">
        <f>IFERROR(VLOOKUP(TA[[#This Row],[Date]],Raw_Data[[Date]:[Sunset Time (POA&lt;20 W/m2)]],4,0),"")</f>
        <v>0.78333333333333333</v>
      </c>
      <c r="K1344" s="27">
        <f>IFERROR((TA[[#This Row],[Sunset Time (POA&lt;20 W/m2)]]-TA[[#This Row],[Sunrise Time (POA&gt;20 W/m2)]])*24,"")</f>
        <v>12.483333333333334</v>
      </c>
      <c r="L1344" s="2" t="s">
        <v>285</v>
      </c>
      <c r="M1344" s="33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14" t="s">
        <v>309</v>
      </c>
      <c r="Q1344" s="113" t="s">
        <v>309</v>
      </c>
      <c r="R1344">
        <v>131</v>
      </c>
      <c r="S1344" s="2">
        <v>39</v>
      </c>
      <c r="T1344" t="s">
        <v>286</v>
      </c>
      <c r="U1344" t="s">
        <v>291</v>
      </c>
      <c r="V1344" t="s">
        <v>289</v>
      </c>
      <c r="W1344" s="32">
        <f>IFERROR(VLOOKUP(TA[[#This Row],[Date]],Raw_Data[[Date]:[Sunset Time (POA&lt;20 W/m2)]],3,0),"")</f>
        <v>0.26319444444444445</v>
      </c>
      <c r="X1344" s="32">
        <f>IFERROR(VLOOKUP(TA[[#This Row],[Date]],Raw_Data[[Date]:[Sunset Time (POA&lt;20 W/m2)]],3,0),"")</f>
        <v>0.26319444444444445</v>
      </c>
      <c r="Y1344" s="26"/>
      <c r="Z1344" s="26"/>
      <c r="AA1344" s="27">
        <f>IF(TA[[#This Row],[Work Start time on Fault]]="NA","",(TA[[#This Row],[Fault Acknowledgement Time ]]-TA[[#This Row],[Fault Time]])*24)</f>
        <v>0</v>
      </c>
      <c r="AB1344" s="27">
        <f>(TA[[#This Row],[Work Start time on Fault]]-TA[[#This Row],[Fault Time]])*24</f>
        <v>-6.3166666666666664</v>
      </c>
      <c r="AC1344" s="26">
        <f>(TA[[#This Row],[Work Completion time on fault]]-TA[[#This Row],[Fault Time]])*24</f>
        <v>-6.3166666666666664</v>
      </c>
      <c r="AD1344" s="27">
        <f>IFERROR((TA[[#This Row],[Work Completion time on fault]]-TA[[#This Row],[Fault Time]])*24,"")</f>
        <v>-6.3166666666666664</v>
      </c>
      <c r="AE1344" t="s">
        <v>319</v>
      </c>
      <c r="AF1344" t="s">
        <v>247</v>
      </c>
      <c r="AG1344" s="2"/>
      <c r="AH1344" s="35">
        <f>1-COS(RADIANS(TA[[#This Row],[Avg. Target Angle during Fault Time (Radians)]]-TA[[#This Row],[Angle of affected equipment ]]))</f>
        <v>0.11705240714107301</v>
      </c>
      <c r="AI1344" s="27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43">
        <f t="shared" si="156"/>
        <v>2026</v>
      </c>
      <c r="C1345" s="116">
        <f t="shared" si="157"/>
        <v>2025</v>
      </c>
      <c r="D1345" s="2" t="s">
        <v>155</v>
      </c>
      <c r="E1345" s="2" t="s">
        <v>155</v>
      </c>
      <c r="F1345" s="30">
        <v>45839</v>
      </c>
      <c r="G1345" s="2">
        <f>DAY(EOMONTH(TA[[#This Row],[Month Year]],0))</f>
        <v>31</v>
      </c>
      <c r="H1345" s="21">
        <v>45840</v>
      </c>
      <c r="I1345" s="32">
        <f>IFERROR(VLOOKUP(TA[[#This Row],[Date]],Raw_Data[[Date]:[Sunset Time (POA&lt;20 W/m2)]],3,0),"")</f>
        <v>0.26319444444444445</v>
      </c>
      <c r="J1345" s="32">
        <f>IFERROR(VLOOKUP(TA[[#This Row],[Date]],Raw_Data[[Date]:[Sunset Time (POA&lt;20 W/m2)]],4,0),"")</f>
        <v>0.78333333333333333</v>
      </c>
      <c r="K1345" s="27">
        <f>IFERROR((TA[[#This Row],[Sunset Time (POA&lt;20 W/m2)]]-TA[[#This Row],[Sunrise Time (POA&gt;20 W/m2)]])*24,"")</f>
        <v>12.483333333333334</v>
      </c>
      <c r="L1345" s="2" t="s">
        <v>287</v>
      </c>
      <c r="M1345" s="33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14" t="s">
        <v>309</v>
      </c>
      <c r="Q1345" s="2" t="s">
        <v>312</v>
      </c>
      <c r="R1345">
        <v>133</v>
      </c>
      <c r="S1345" s="2">
        <v>26</v>
      </c>
      <c r="T1345" t="s">
        <v>288</v>
      </c>
      <c r="U1345" t="s">
        <v>291</v>
      </c>
      <c r="V1345" t="s">
        <v>305</v>
      </c>
      <c r="W1345" s="32">
        <f>IFERROR(VLOOKUP(TA[[#This Row],[Date]],Raw_Data[[Date]:[Sunset Time (POA&lt;20 W/m2)]],3,0),"")</f>
        <v>0.26319444444444445</v>
      </c>
      <c r="X1345" s="32">
        <f>IFERROR(VLOOKUP(TA[[#This Row],[Date]],Raw_Data[[Date]:[Sunset Time (POA&lt;20 W/m2)]],3,0),"")</f>
        <v>0.26319444444444445</v>
      </c>
      <c r="Y1345" s="26"/>
      <c r="Z1345" s="26">
        <v>0.76041666666666663</v>
      </c>
      <c r="AA1345" s="27">
        <f>IF(TA[[#This Row],[Work Start time on Fault]]="NA","",(TA[[#This Row],[Fault Acknowledgement Time ]]-TA[[#This Row],[Fault Time]])*24)</f>
        <v>0</v>
      </c>
      <c r="AB1345" s="27">
        <f>(TA[[#This Row],[Work Start time on Fault]]-TA[[#This Row],[Fault Time]])*24</f>
        <v>-6.3166666666666664</v>
      </c>
      <c r="AC1345" s="26">
        <f>(TA[[#This Row],[Work Completion time on fault]]-TA[[#This Row],[Fault Time]])*24</f>
        <v>11.933333333333332</v>
      </c>
      <c r="AD1345" s="27">
        <f>IFERROR((TA[[#This Row],[Work Completion time on fault]]-TA[[#This Row],[Fault Time]])*24,"")</f>
        <v>11.933333333333332</v>
      </c>
      <c r="AE1345" t="s">
        <v>319</v>
      </c>
      <c r="AF1345" t="s">
        <v>247</v>
      </c>
      <c r="AG1345" s="2"/>
      <c r="AH1345" s="35">
        <f>1-COS(RADIANS(TA[[#This Row],[Avg. Target Angle during Fault Time (Radians)]]-TA[[#This Row],[Angle of affected equipment ]]))</f>
        <v>0.11705240714107301</v>
      </c>
      <c r="AI1345" s="27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43">
        <f t="shared" si="156"/>
        <v>2026</v>
      </c>
      <c r="C1346" s="116">
        <f t="shared" si="157"/>
        <v>2025</v>
      </c>
      <c r="D1346" s="2" t="s">
        <v>155</v>
      </c>
      <c r="E1346" s="2" t="s">
        <v>155</v>
      </c>
      <c r="F1346" s="30">
        <v>45839</v>
      </c>
      <c r="G1346" s="2">
        <f>DAY(EOMONTH(TA[[#This Row],[Month Year]],0))</f>
        <v>31</v>
      </c>
      <c r="H1346" s="21">
        <v>45840</v>
      </c>
      <c r="I1346" s="32">
        <f>IFERROR(VLOOKUP(TA[[#This Row],[Date]],Raw_Data[[Date]:[Sunset Time (POA&lt;20 W/m2)]],3,0),"")</f>
        <v>0.26319444444444445</v>
      </c>
      <c r="J1346" s="32">
        <f>IFERROR(VLOOKUP(TA[[#This Row],[Date]],Raw_Data[[Date]:[Sunset Time (POA&lt;20 W/m2)]],4,0),"")</f>
        <v>0.78333333333333333</v>
      </c>
      <c r="K1346" s="27">
        <f>IFERROR((TA[[#This Row],[Sunset Time (POA&lt;20 W/m2)]]-TA[[#This Row],[Sunrise Time (POA&gt;20 W/m2)]])*24,"")</f>
        <v>12.483333333333334</v>
      </c>
      <c r="L1346" s="2" t="s">
        <v>285</v>
      </c>
      <c r="M1346" s="33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14" t="s">
        <v>307</v>
      </c>
      <c r="Q1346" s="113" t="s">
        <v>308</v>
      </c>
      <c r="R1346">
        <v>7</v>
      </c>
      <c r="S1346" s="2">
        <v>32</v>
      </c>
      <c r="T1346" t="s">
        <v>286</v>
      </c>
      <c r="U1346" t="s">
        <v>291</v>
      </c>
      <c r="V1346" t="s">
        <v>289</v>
      </c>
      <c r="W1346" s="32">
        <f>IFERROR(VLOOKUP(TA[[#This Row],[Date]],Raw_Data[[Date]:[Sunset Time (POA&lt;20 W/m2)]],3,0),"")</f>
        <v>0.26319444444444445</v>
      </c>
      <c r="X1346" s="32">
        <f>IFERROR(VLOOKUP(TA[[#This Row],[Date]],Raw_Data[[Date]:[Sunset Time (POA&lt;20 W/m2)]],3,0),"")</f>
        <v>0.26319444444444445</v>
      </c>
      <c r="Y1346" s="26"/>
      <c r="Z1346" s="26"/>
      <c r="AA1346" s="27">
        <f>IF(TA[[#This Row],[Work Start time on Fault]]="NA","",(TA[[#This Row],[Fault Acknowledgement Time ]]-TA[[#This Row],[Fault Time]])*24)</f>
        <v>0</v>
      </c>
      <c r="AB1346" s="27">
        <f>(TA[[#This Row],[Work Start time on Fault]]-TA[[#This Row],[Fault Time]])*24</f>
        <v>-6.3166666666666664</v>
      </c>
      <c r="AC1346" s="26">
        <f>(TA[[#This Row],[Work Completion time on fault]]-TA[[#This Row],[Fault Time]])*24</f>
        <v>-6.3166666666666664</v>
      </c>
      <c r="AD1346" s="27">
        <f>IFERROR((TA[[#This Row],[Work Completion time on fault]]-TA[[#This Row],[Fault Time]])*24,"")</f>
        <v>-6.3166666666666664</v>
      </c>
      <c r="AE1346" t="s">
        <v>319</v>
      </c>
      <c r="AF1346" t="s">
        <v>247</v>
      </c>
      <c r="AG1346" s="2"/>
      <c r="AH1346" s="35">
        <f>1-COS(RADIANS(TA[[#This Row],[Avg. Target Angle during Fault Time (Radians)]]-TA[[#This Row],[Angle of affected equipment ]]))</f>
        <v>0.11705240714107301</v>
      </c>
      <c r="AI1346" s="27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43">
        <f t="shared" si="156"/>
        <v>2026</v>
      </c>
      <c r="C1347" s="116">
        <f t="shared" si="157"/>
        <v>2025</v>
      </c>
      <c r="D1347" s="2" t="s">
        <v>155</v>
      </c>
      <c r="E1347" s="2" t="s">
        <v>155</v>
      </c>
      <c r="F1347" s="30">
        <v>45839</v>
      </c>
      <c r="G1347" s="2">
        <f>DAY(EOMONTH(TA[[#This Row],[Month Year]],0))</f>
        <v>31</v>
      </c>
      <c r="H1347" s="21">
        <v>45840</v>
      </c>
      <c r="I1347" s="32">
        <f>IFERROR(VLOOKUP(TA[[#This Row],[Date]],Raw_Data[[Date]:[Sunset Time (POA&lt;20 W/m2)]],3,0),"")</f>
        <v>0.26319444444444445</v>
      </c>
      <c r="J1347" s="32">
        <f>IFERROR(VLOOKUP(TA[[#This Row],[Date]],Raw_Data[[Date]:[Sunset Time (POA&lt;20 W/m2)]],4,0),"")</f>
        <v>0.78333333333333333</v>
      </c>
      <c r="K1347" s="27">
        <f>IFERROR((TA[[#This Row],[Sunset Time (POA&lt;20 W/m2)]]-TA[[#This Row],[Sunrise Time (POA&gt;20 W/m2)]])*24,"")</f>
        <v>12.483333333333334</v>
      </c>
      <c r="L1347" s="2" t="s">
        <v>285</v>
      </c>
      <c r="M1347" s="33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14" t="s">
        <v>306</v>
      </c>
      <c r="Q1347" s="113" t="s">
        <v>310</v>
      </c>
      <c r="R1347">
        <v>166</v>
      </c>
      <c r="S1347" s="2">
        <v>91</v>
      </c>
      <c r="T1347" t="s">
        <v>286</v>
      </c>
      <c r="U1347" t="s">
        <v>291</v>
      </c>
      <c r="V1347" t="s">
        <v>289</v>
      </c>
      <c r="W1347" s="32">
        <f>IFERROR(VLOOKUP(TA[[#This Row],[Date]],Raw_Data[[Date]:[Sunset Time (POA&lt;20 W/m2)]],3,0),"")</f>
        <v>0.26319444444444445</v>
      </c>
      <c r="X1347" s="32">
        <f>IFERROR(VLOOKUP(TA[[#This Row],[Date]],Raw_Data[[Date]:[Sunset Time (POA&lt;20 W/m2)]],3,0),"")</f>
        <v>0.26319444444444445</v>
      </c>
      <c r="Y1347" s="26"/>
      <c r="Z1347" s="26"/>
      <c r="AA1347" s="27">
        <f>IF(TA[[#This Row],[Work Start time on Fault]]="NA","",(TA[[#This Row],[Fault Acknowledgement Time ]]-TA[[#This Row],[Fault Time]])*24)</f>
        <v>0</v>
      </c>
      <c r="AB1347" s="27">
        <f>(TA[[#This Row],[Work Start time on Fault]]-TA[[#This Row],[Fault Time]])*24</f>
        <v>-6.3166666666666664</v>
      </c>
      <c r="AC1347" s="26">
        <f>(TA[[#This Row],[Work Completion time on fault]]-TA[[#This Row],[Fault Time]])*24</f>
        <v>-6.3166666666666664</v>
      </c>
      <c r="AD1347" s="27">
        <f>IFERROR((TA[[#This Row],[Work Completion time on fault]]-TA[[#This Row],[Fault Time]])*24,"")</f>
        <v>-6.3166666666666664</v>
      </c>
      <c r="AE1347" t="s">
        <v>319</v>
      </c>
      <c r="AF1347" t="s">
        <v>247</v>
      </c>
      <c r="AG1347" s="2"/>
      <c r="AH1347" s="35">
        <f>1-COS(RADIANS(TA[[#This Row],[Avg. Target Angle during Fault Time (Radians)]]-TA[[#This Row],[Angle of affected equipment ]]))</f>
        <v>0.11705240714107301</v>
      </c>
      <c r="AI1347" s="27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43">
        <f t="shared" si="156"/>
        <v>2026</v>
      </c>
      <c r="C1348" s="116">
        <f t="shared" si="157"/>
        <v>2025</v>
      </c>
      <c r="D1348" s="2" t="s">
        <v>155</v>
      </c>
      <c r="E1348" s="2" t="s">
        <v>155</v>
      </c>
      <c r="F1348" s="30">
        <v>45839</v>
      </c>
      <c r="G1348" s="2">
        <f>DAY(EOMONTH(TA[[#This Row],[Month Year]],0))</f>
        <v>31</v>
      </c>
      <c r="H1348" s="21">
        <v>45840</v>
      </c>
      <c r="I1348" s="32">
        <f>IFERROR(VLOOKUP(TA[[#This Row],[Date]],Raw_Data[[Date]:[Sunset Time (POA&lt;20 W/m2)]],3,0),"")</f>
        <v>0.26319444444444445</v>
      </c>
      <c r="J1348" s="32">
        <f>IFERROR(VLOOKUP(TA[[#This Row],[Date]],Raw_Data[[Date]:[Sunset Time (POA&lt;20 W/m2)]],4,0),"")</f>
        <v>0.78333333333333333</v>
      </c>
      <c r="K1348" s="27">
        <f>IFERROR((TA[[#This Row],[Sunset Time (POA&lt;20 W/m2)]]-TA[[#This Row],[Sunrise Time (POA&gt;20 W/m2)]])*24,"")</f>
        <v>12.483333333333334</v>
      </c>
      <c r="L1348" s="2" t="s">
        <v>285</v>
      </c>
      <c r="M1348" s="33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14" t="s">
        <v>307</v>
      </c>
      <c r="Q1348" s="113" t="s">
        <v>307</v>
      </c>
      <c r="R1348">
        <v>117</v>
      </c>
      <c r="S1348" s="2">
        <v>20</v>
      </c>
      <c r="T1348" t="s">
        <v>286</v>
      </c>
      <c r="U1348" t="s">
        <v>291</v>
      </c>
      <c r="V1348" t="s">
        <v>289</v>
      </c>
      <c r="W1348" s="32">
        <f>IFERROR(VLOOKUP(TA[[#This Row],[Date]],Raw_Data[[Date]:[Sunset Time (POA&lt;20 W/m2)]],3,0),"")</f>
        <v>0.26319444444444445</v>
      </c>
      <c r="X1348" s="32">
        <f>IFERROR(VLOOKUP(TA[[#This Row],[Date]],Raw_Data[[Date]:[Sunset Time (POA&lt;20 W/m2)]],3,0),"")</f>
        <v>0.26319444444444445</v>
      </c>
      <c r="Y1348" s="26"/>
      <c r="Z1348" s="26"/>
      <c r="AA1348" s="27">
        <f>IF(TA[[#This Row],[Work Start time on Fault]]="NA","",(TA[[#This Row],[Fault Acknowledgement Time ]]-TA[[#This Row],[Fault Time]])*24)</f>
        <v>0</v>
      </c>
      <c r="AB1348" s="27">
        <f>(TA[[#This Row],[Work Start time on Fault]]-TA[[#This Row],[Fault Time]])*24</f>
        <v>-6.3166666666666664</v>
      </c>
      <c r="AC1348" s="26">
        <f>(TA[[#This Row],[Work Completion time on fault]]-TA[[#This Row],[Fault Time]])*24</f>
        <v>-6.3166666666666664</v>
      </c>
      <c r="AD1348" s="27">
        <f>IFERROR((TA[[#This Row],[Work Completion time on fault]]-TA[[#This Row],[Fault Time]])*24,"")</f>
        <v>-6.3166666666666664</v>
      </c>
      <c r="AE1348" t="s">
        <v>319</v>
      </c>
      <c r="AF1348" t="s">
        <v>247</v>
      </c>
      <c r="AG1348" s="2"/>
      <c r="AH1348" s="35">
        <f>1-COS(RADIANS(TA[[#This Row],[Avg. Target Angle during Fault Time (Radians)]]-TA[[#This Row],[Angle of affected equipment ]]))</f>
        <v>0.11705240714107301</v>
      </c>
      <c r="AI1348" s="27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43">
        <f t="shared" si="156"/>
        <v>2026</v>
      </c>
      <c r="C1349" s="116">
        <f t="shared" si="157"/>
        <v>2025</v>
      </c>
      <c r="D1349" s="2" t="s">
        <v>155</v>
      </c>
      <c r="E1349" s="2" t="s">
        <v>155</v>
      </c>
      <c r="F1349" s="30">
        <v>45839</v>
      </c>
      <c r="G1349" s="2">
        <f>DAY(EOMONTH(TA[[#This Row],[Month Year]],0))</f>
        <v>31</v>
      </c>
      <c r="H1349" s="21">
        <v>45840</v>
      </c>
      <c r="I1349" s="32">
        <f>IFERROR(VLOOKUP(TA[[#This Row],[Date]],Raw_Data[[Date]:[Sunset Time (POA&lt;20 W/m2)]],3,0),"")</f>
        <v>0.26319444444444445</v>
      </c>
      <c r="J1349" s="32">
        <f>IFERROR(VLOOKUP(TA[[#This Row],[Date]],Raw_Data[[Date]:[Sunset Time (POA&lt;20 W/m2)]],4,0),"")</f>
        <v>0.78333333333333333</v>
      </c>
      <c r="K1349" s="27">
        <f>IFERROR((TA[[#This Row],[Sunset Time (POA&lt;20 W/m2)]]-TA[[#This Row],[Sunrise Time (POA&gt;20 W/m2)]])*24,"")</f>
        <v>12.483333333333334</v>
      </c>
      <c r="L1349" s="2" t="s">
        <v>285</v>
      </c>
      <c r="M1349" s="33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14" t="s">
        <v>307</v>
      </c>
      <c r="Q1349" s="113" t="s">
        <v>307</v>
      </c>
      <c r="R1349">
        <v>118</v>
      </c>
      <c r="S1349" s="2">
        <v>22</v>
      </c>
      <c r="T1349" t="s">
        <v>286</v>
      </c>
      <c r="U1349" t="s">
        <v>291</v>
      </c>
      <c r="V1349" t="s">
        <v>289</v>
      </c>
      <c r="W1349" s="32">
        <f>IFERROR(VLOOKUP(TA[[#This Row],[Date]],Raw_Data[[Date]:[Sunset Time (POA&lt;20 W/m2)]],3,0),"")</f>
        <v>0.26319444444444445</v>
      </c>
      <c r="X1349" s="32">
        <f>IFERROR(VLOOKUP(TA[[#This Row],[Date]],Raw_Data[[Date]:[Sunset Time (POA&lt;20 W/m2)]],3,0),"")</f>
        <v>0.26319444444444445</v>
      </c>
      <c r="Y1349" s="26"/>
      <c r="Z1349" s="26"/>
      <c r="AA1349" s="27">
        <f>IF(TA[[#This Row],[Work Start time on Fault]]="NA","",(TA[[#This Row],[Fault Acknowledgement Time ]]-TA[[#This Row],[Fault Time]])*24)</f>
        <v>0</v>
      </c>
      <c r="AB1349" s="27">
        <f>(TA[[#This Row],[Work Start time on Fault]]-TA[[#This Row],[Fault Time]])*24</f>
        <v>-6.3166666666666664</v>
      </c>
      <c r="AC1349" s="26">
        <f>(TA[[#This Row],[Work Completion time on fault]]-TA[[#This Row],[Fault Time]])*24</f>
        <v>-6.3166666666666664</v>
      </c>
      <c r="AD1349" s="27">
        <f>IFERROR((TA[[#This Row],[Work Completion time on fault]]-TA[[#This Row],[Fault Time]])*24,"")</f>
        <v>-6.3166666666666664</v>
      </c>
      <c r="AE1349" t="s">
        <v>319</v>
      </c>
      <c r="AF1349" t="s">
        <v>247</v>
      </c>
      <c r="AG1349" s="2"/>
      <c r="AH1349" s="35">
        <f>1-COS(RADIANS(TA[[#This Row],[Avg. Target Angle during Fault Time (Radians)]]-TA[[#This Row],[Angle of affected equipment ]]))</f>
        <v>0.11705240714107301</v>
      </c>
      <c r="AI1349" s="27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43">
        <f t="shared" si="156"/>
        <v>2026</v>
      </c>
      <c r="C1350" s="116">
        <f t="shared" si="157"/>
        <v>2025</v>
      </c>
      <c r="D1350" s="2" t="s">
        <v>155</v>
      </c>
      <c r="E1350" s="2" t="s">
        <v>155</v>
      </c>
      <c r="F1350" s="30">
        <v>45839</v>
      </c>
      <c r="G1350" s="2">
        <f>DAY(EOMONTH(TA[[#This Row],[Month Year]],0))</f>
        <v>31</v>
      </c>
      <c r="H1350" s="21">
        <v>45840</v>
      </c>
      <c r="I1350" s="32">
        <f>IFERROR(VLOOKUP(TA[[#This Row],[Date]],Raw_Data[[Date]:[Sunset Time (POA&lt;20 W/m2)]],3,0),"")</f>
        <v>0.26319444444444445</v>
      </c>
      <c r="J1350" s="32">
        <f>IFERROR(VLOOKUP(TA[[#This Row],[Date]],Raw_Data[[Date]:[Sunset Time (POA&lt;20 W/m2)]],4,0),"")</f>
        <v>0.78333333333333333</v>
      </c>
      <c r="K1350" s="27">
        <f>IFERROR((TA[[#This Row],[Sunset Time (POA&lt;20 W/m2)]]-TA[[#This Row],[Sunrise Time (POA&gt;20 W/m2)]])*24,"")</f>
        <v>12.483333333333334</v>
      </c>
      <c r="L1350" s="2" t="s">
        <v>287</v>
      </c>
      <c r="M1350" s="33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314</v>
      </c>
      <c r="Q1350" s="2" t="s">
        <v>320</v>
      </c>
      <c r="R1350">
        <v>45</v>
      </c>
      <c r="S1350" s="2">
        <v>8</v>
      </c>
      <c r="T1350" t="s">
        <v>288</v>
      </c>
      <c r="U1350" t="s">
        <v>291</v>
      </c>
      <c r="V1350" t="s">
        <v>292</v>
      </c>
      <c r="W1350" s="32">
        <f>IFERROR(VLOOKUP(TA[[#This Row],[Date]],Raw_Data[[Date]:[Sunset Time (POA&lt;20 W/m2)]],3,0),"")</f>
        <v>0.26319444444444445</v>
      </c>
      <c r="X1350" s="32">
        <f>IFERROR(VLOOKUP(TA[[#This Row],[Date]],Raw_Data[[Date]:[Sunset Time (POA&lt;20 W/m2)]],3,0),"")</f>
        <v>0.26319444444444445</v>
      </c>
      <c r="Y1350" s="26"/>
      <c r="Z1350" s="26"/>
      <c r="AA1350" s="27">
        <f>IF(TA[[#This Row],[Work Start time on Fault]]="NA","",(TA[[#This Row],[Fault Acknowledgement Time ]]-TA[[#This Row],[Fault Time]])*24)</f>
        <v>0</v>
      </c>
      <c r="AB1350" s="27">
        <f>(TA[[#This Row],[Work Start time on Fault]]-TA[[#This Row],[Fault Time]])*24</f>
        <v>-6.3166666666666664</v>
      </c>
      <c r="AC1350" s="26">
        <f>(TA[[#This Row],[Work Completion time on fault]]-TA[[#This Row],[Fault Time]])*24</f>
        <v>-6.3166666666666664</v>
      </c>
      <c r="AD1350" s="27">
        <f>IFERROR((TA[[#This Row],[Work Completion time on fault]]-TA[[#This Row],[Fault Time]])*24,"")</f>
        <v>-6.3166666666666664</v>
      </c>
      <c r="AE1350" t="s">
        <v>319</v>
      </c>
      <c r="AF1350" t="s">
        <v>247</v>
      </c>
      <c r="AG1350" s="2"/>
      <c r="AH1350" s="35">
        <f>1-COS(RADIANS(TA[[#This Row],[Avg. Target Angle during Fault Time (Radians)]]-TA[[#This Row],[Angle of affected equipment ]]))</f>
        <v>0.11705240714107301</v>
      </c>
      <c r="AI1350" s="27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43">
        <f t="shared" si="156"/>
        <v>2026</v>
      </c>
      <c r="C1351" s="116">
        <f t="shared" si="157"/>
        <v>2025</v>
      </c>
      <c r="D1351" s="2" t="s">
        <v>155</v>
      </c>
      <c r="E1351" s="2" t="s">
        <v>155</v>
      </c>
      <c r="F1351" s="30">
        <v>45839</v>
      </c>
      <c r="G1351" s="2">
        <f>DAY(EOMONTH(TA[[#This Row],[Month Year]],0))</f>
        <v>31</v>
      </c>
      <c r="H1351" s="21">
        <v>45840</v>
      </c>
      <c r="I1351" s="32">
        <f>IFERROR(VLOOKUP(TA[[#This Row],[Date]],Raw_Data[[Date]:[Sunset Time (POA&lt;20 W/m2)]],3,0),"")</f>
        <v>0.26319444444444445</v>
      </c>
      <c r="J1351" s="32">
        <f>IFERROR(VLOOKUP(TA[[#This Row],[Date]],Raw_Data[[Date]:[Sunset Time (POA&lt;20 W/m2)]],4,0),"")</f>
        <v>0.78333333333333333</v>
      </c>
      <c r="K1351" s="27">
        <f>IFERROR((TA[[#This Row],[Sunset Time (POA&lt;20 W/m2)]]-TA[[#This Row],[Sunrise Time (POA&gt;20 W/m2)]])*24,"")</f>
        <v>12.483333333333334</v>
      </c>
      <c r="L1351" s="2" t="s">
        <v>287</v>
      </c>
      <c r="M1351" s="33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314</v>
      </c>
      <c r="Q1351" s="2" t="s">
        <v>320</v>
      </c>
      <c r="R1351">
        <v>47</v>
      </c>
      <c r="S1351" s="2">
        <v>18</v>
      </c>
      <c r="T1351" t="s">
        <v>288</v>
      </c>
      <c r="U1351" t="s">
        <v>291</v>
      </c>
      <c r="V1351" t="s">
        <v>292</v>
      </c>
      <c r="W1351" s="32">
        <f>IFERROR(VLOOKUP(TA[[#This Row],[Date]],Raw_Data[[Date]:[Sunset Time (POA&lt;20 W/m2)]],3,0),"")</f>
        <v>0.26319444444444445</v>
      </c>
      <c r="X1351" s="32">
        <f>IFERROR(VLOOKUP(TA[[#This Row],[Date]],Raw_Data[[Date]:[Sunset Time (POA&lt;20 W/m2)]],3,0),"")</f>
        <v>0.26319444444444445</v>
      </c>
      <c r="Y1351" s="26"/>
      <c r="Z1351" s="26"/>
      <c r="AA1351" s="27">
        <f>IF(TA[[#This Row],[Work Start time on Fault]]="NA","",(TA[[#This Row],[Fault Acknowledgement Time ]]-TA[[#This Row],[Fault Time]])*24)</f>
        <v>0</v>
      </c>
      <c r="AB1351" s="27">
        <f>(TA[[#This Row],[Work Start time on Fault]]-TA[[#This Row],[Fault Time]])*24</f>
        <v>-6.3166666666666664</v>
      </c>
      <c r="AC1351" s="26">
        <f>(TA[[#This Row],[Work Completion time on fault]]-TA[[#This Row],[Fault Time]])*24</f>
        <v>-6.3166666666666664</v>
      </c>
      <c r="AD1351" s="27">
        <f>IFERROR((TA[[#This Row],[Work Completion time on fault]]-TA[[#This Row],[Fault Time]])*24,"")</f>
        <v>-6.3166666666666664</v>
      </c>
      <c r="AE1351" t="s">
        <v>319</v>
      </c>
      <c r="AF1351" t="s">
        <v>247</v>
      </c>
      <c r="AG1351" s="2"/>
      <c r="AH1351" s="35">
        <f>1-COS(RADIANS(TA[[#This Row],[Avg. Target Angle during Fault Time (Radians)]]-TA[[#This Row],[Angle of affected equipment ]]))</f>
        <v>0.11705240714107301</v>
      </c>
      <c r="AI1351" s="27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43">
        <f t="shared" si="156"/>
        <v>2026</v>
      </c>
      <c r="C1352" s="116">
        <f t="shared" si="157"/>
        <v>2025</v>
      </c>
      <c r="D1352" s="2" t="s">
        <v>155</v>
      </c>
      <c r="E1352" s="2" t="s">
        <v>155</v>
      </c>
      <c r="F1352" s="30">
        <v>45839</v>
      </c>
      <c r="G1352" s="2">
        <f>DAY(EOMONTH(TA[[#This Row],[Month Year]],0))</f>
        <v>31</v>
      </c>
      <c r="H1352" s="21">
        <v>45840</v>
      </c>
      <c r="I1352" s="32">
        <f>IFERROR(VLOOKUP(TA[[#This Row],[Date]],Raw_Data[[Date]:[Sunset Time (POA&lt;20 W/m2)]],3,0),"")</f>
        <v>0.26319444444444445</v>
      </c>
      <c r="J1352" s="32">
        <f>IFERROR(VLOOKUP(TA[[#This Row],[Date]],Raw_Data[[Date]:[Sunset Time (POA&lt;20 W/m2)]],4,0),"")</f>
        <v>0.78333333333333333</v>
      </c>
      <c r="K1352" s="27">
        <f>IFERROR((TA[[#This Row],[Sunset Time (POA&lt;20 W/m2)]]-TA[[#This Row],[Sunrise Time (POA&gt;20 W/m2)]])*24,"")</f>
        <v>12.483333333333334</v>
      </c>
      <c r="L1352" s="2" t="s">
        <v>287</v>
      </c>
      <c r="M1352" s="33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321</v>
      </c>
      <c r="Q1352" s="2" t="s">
        <v>314</v>
      </c>
      <c r="R1352">
        <v>30</v>
      </c>
      <c r="S1352" s="2">
        <v>57</v>
      </c>
      <c r="T1352" t="s">
        <v>288</v>
      </c>
      <c r="U1352" t="s">
        <v>291</v>
      </c>
      <c r="V1352" t="s">
        <v>292</v>
      </c>
      <c r="W1352" s="32">
        <f>IFERROR(VLOOKUP(TA[[#This Row],[Date]],Raw_Data[[Date]:[Sunset Time (POA&lt;20 W/m2)]],3,0),"")</f>
        <v>0.26319444444444445</v>
      </c>
      <c r="X1352" s="32">
        <f>IFERROR(VLOOKUP(TA[[#This Row],[Date]],Raw_Data[[Date]:[Sunset Time (POA&lt;20 W/m2)]],3,0),"")</f>
        <v>0.26319444444444445</v>
      </c>
      <c r="Y1352" s="26"/>
      <c r="Z1352" s="26"/>
      <c r="AA1352" s="27">
        <f>IF(TA[[#This Row],[Work Start time on Fault]]="NA","",(TA[[#This Row],[Fault Acknowledgement Time ]]-TA[[#This Row],[Fault Time]])*24)</f>
        <v>0</v>
      </c>
      <c r="AB1352" s="27">
        <f>(TA[[#This Row],[Work Start time on Fault]]-TA[[#This Row],[Fault Time]])*24</f>
        <v>-6.3166666666666664</v>
      </c>
      <c r="AC1352" s="26">
        <f>(TA[[#This Row],[Work Completion time on fault]]-TA[[#This Row],[Fault Time]])*24</f>
        <v>-6.3166666666666664</v>
      </c>
      <c r="AD1352" s="27">
        <f>IFERROR((TA[[#This Row],[Work Completion time on fault]]-TA[[#This Row],[Fault Time]])*24,"")</f>
        <v>-6.3166666666666664</v>
      </c>
      <c r="AE1352" t="s">
        <v>319</v>
      </c>
      <c r="AF1352" t="s">
        <v>247</v>
      </c>
      <c r="AG1352" s="2"/>
      <c r="AH1352" s="35">
        <f>1-COS(RADIANS(TA[[#This Row],[Avg. Target Angle during Fault Time (Radians)]]-TA[[#This Row],[Angle of affected equipment ]]))</f>
        <v>0.11705240714107301</v>
      </c>
      <c r="AI1352" s="27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43">
        <f t="shared" si="156"/>
        <v>2026</v>
      </c>
      <c r="C1353" s="116">
        <f t="shared" si="157"/>
        <v>2025</v>
      </c>
      <c r="D1353" s="2" t="s">
        <v>155</v>
      </c>
      <c r="E1353" s="2" t="s">
        <v>155</v>
      </c>
      <c r="F1353" s="30">
        <v>45839</v>
      </c>
      <c r="G1353" s="2">
        <f>DAY(EOMONTH(TA[[#This Row],[Month Year]],0))</f>
        <v>31</v>
      </c>
      <c r="H1353" s="21">
        <v>45840</v>
      </c>
      <c r="I1353" s="32">
        <f>IFERROR(VLOOKUP(TA[[#This Row],[Date]],Raw_Data[[Date]:[Sunset Time (POA&lt;20 W/m2)]],3,0),"")</f>
        <v>0.26319444444444445</v>
      </c>
      <c r="J1353" s="32">
        <f>IFERROR(VLOOKUP(TA[[#This Row],[Date]],Raw_Data[[Date]:[Sunset Time (POA&lt;20 W/m2)]],4,0),"")</f>
        <v>0.78333333333333333</v>
      </c>
      <c r="K1353" s="27">
        <f>IFERROR((TA[[#This Row],[Sunset Time (POA&lt;20 W/m2)]]-TA[[#This Row],[Sunrise Time (POA&gt;20 W/m2)]])*24,"")</f>
        <v>12.483333333333334</v>
      </c>
      <c r="L1353" s="2" t="s">
        <v>287</v>
      </c>
      <c r="M1353" s="33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321</v>
      </c>
      <c r="Q1353" s="2" t="s">
        <v>314</v>
      </c>
      <c r="R1353">
        <v>31</v>
      </c>
      <c r="S1353" s="2">
        <v>61</v>
      </c>
      <c r="T1353" t="s">
        <v>288</v>
      </c>
      <c r="U1353" t="s">
        <v>291</v>
      </c>
      <c r="V1353" t="s">
        <v>292</v>
      </c>
      <c r="W1353" s="32">
        <f>IFERROR(VLOOKUP(TA[[#This Row],[Date]],Raw_Data[[Date]:[Sunset Time (POA&lt;20 W/m2)]],3,0),"")</f>
        <v>0.26319444444444445</v>
      </c>
      <c r="X1353" s="32">
        <f>IFERROR(VLOOKUP(TA[[#This Row],[Date]],Raw_Data[[Date]:[Sunset Time (POA&lt;20 W/m2)]],3,0),"")</f>
        <v>0.26319444444444445</v>
      </c>
      <c r="Y1353" s="26"/>
      <c r="Z1353" s="26"/>
      <c r="AA1353" s="27">
        <f>IF(TA[[#This Row],[Work Start time on Fault]]="NA","",(TA[[#This Row],[Fault Acknowledgement Time ]]-TA[[#This Row],[Fault Time]])*24)</f>
        <v>0</v>
      </c>
      <c r="AB1353" s="27">
        <f>(TA[[#This Row],[Work Start time on Fault]]-TA[[#This Row],[Fault Time]])*24</f>
        <v>-6.3166666666666664</v>
      </c>
      <c r="AC1353" s="26">
        <f>(TA[[#This Row],[Work Completion time on fault]]-TA[[#This Row],[Fault Time]])*24</f>
        <v>-6.3166666666666664</v>
      </c>
      <c r="AD1353" s="27">
        <f>IFERROR((TA[[#This Row],[Work Completion time on fault]]-TA[[#This Row],[Fault Time]])*24,"")</f>
        <v>-6.3166666666666664</v>
      </c>
      <c r="AE1353" t="s">
        <v>319</v>
      </c>
      <c r="AF1353" t="s">
        <v>247</v>
      </c>
      <c r="AG1353" s="2"/>
      <c r="AH1353" s="35">
        <f>1-COS(RADIANS(TA[[#This Row],[Avg. Target Angle during Fault Time (Radians)]]-TA[[#This Row],[Angle of affected equipment ]]))</f>
        <v>0.11705240714107301</v>
      </c>
      <c r="AI1353" s="27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43">
        <f t="shared" si="156"/>
        <v>2026</v>
      </c>
      <c r="C1354" s="116">
        <f t="shared" si="157"/>
        <v>2025</v>
      </c>
      <c r="D1354" s="2" t="s">
        <v>155</v>
      </c>
      <c r="E1354" s="2" t="s">
        <v>155</v>
      </c>
      <c r="F1354" s="30">
        <v>45839</v>
      </c>
      <c r="G1354" s="2">
        <f>DAY(EOMONTH(TA[[#This Row],[Month Year]],0))</f>
        <v>31</v>
      </c>
      <c r="H1354" s="21">
        <v>45840</v>
      </c>
      <c r="I1354" s="32">
        <f>IFERROR(VLOOKUP(TA[[#This Row],[Date]],Raw_Data[[Date]:[Sunset Time (POA&lt;20 W/m2)]],3,0),"")</f>
        <v>0.26319444444444445</v>
      </c>
      <c r="J1354" s="32">
        <f>IFERROR(VLOOKUP(TA[[#This Row],[Date]],Raw_Data[[Date]:[Sunset Time (POA&lt;20 W/m2)]],4,0),"")</f>
        <v>0.78333333333333333</v>
      </c>
      <c r="K1354" s="27">
        <f>IFERROR((TA[[#This Row],[Sunset Time (POA&lt;20 W/m2)]]-TA[[#This Row],[Sunrise Time (POA&gt;20 W/m2)]])*24,"")</f>
        <v>12.483333333333334</v>
      </c>
      <c r="L1354" s="2" t="s">
        <v>303</v>
      </c>
      <c r="M1354" s="33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321</v>
      </c>
      <c r="Q1354" s="2" t="s">
        <v>314</v>
      </c>
      <c r="R1354">
        <v>26</v>
      </c>
      <c r="S1354" s="2">
        <v>37</v>
      </c>
      <c r="T1354" t="s">
        <v>288</v>
      </c>
      <c r="U1354" t="s">
        <v>291</v>
      </c>
      <c r="V1354" t="s">
        <v>292</v>
      </c>
      <c r="W1354" s="32">
        <f>IFERROR(VLOOKUP(TA[[#This Row],[Date]],Raw_Data[[Date]:[Sunset Time (POA&lt;20 W/m2)]],3,0),"")</f>
        <v>0.26319444444444445</v>
      </c>
      <c r="X1354" s="32">
        <f>IFERROR(VLOOKUP(TA[[#This Row],[Date]],Raw_Data[[Date]:[Sunset Time (POA&lt;20 W/m2)]],3,0),"")</f>
        <v>0.26319444444444445</v>
      </c>
      <c r="Y1354" s="26"/>
      <c r="Z1354" s="26"/>
      <c r="AA1354" s="27">
        <f>IF(TA[[#This Row],[Work Start time on Fault]]="NA","",(TA[[#This Row],[Fault Acknowledgement Time ]]-TA[[#This Row],[Fault Time]])*24)</f>
        <v>0</v>
      </c>
      <c r="AB1354" s="27">
        <f>(TA[[#This Row],[Work Start time on Fault]]-TA[[#This Row],[Fault Time]])*24</f>
        <v>-6.3166666666666664</v>
      </c>
      <c r="AC1354" s="26">
        <f>(TA[[#This Row],[Work Completion time on fault]]-TA[[#This Row],[Fault Time]])*24</f>
        <v>-6.3166666666666664</v>
      </c>
      <c r="AD1354" s="27">
        <f>IFERROR((TA[[#This Row],[Work Completion time on fault]]-TA[[#This Row],[Fault Time]])*24,"")</f>
        <v>-6.3166666666666664</v>
      </c>
      <c r="AE1354" t="s">
        <v>319</v>
      </c>
      <c r="AF1354" t="s">
        <v>247</v>
      </c>
      <c r="AG1354" s="2"/>
      <c r="AH1354" s="35">
        <f>1-COS(RADIANS(TA[[#This Row],[Avg. Target Angle during Fault Time (Radians)]]-TA[[#This Row],[Angle of affected equipment ]]))</f>
        <v>0.11705240714107301</v>
      </c>
      <c r="AI1354" s="27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43">
        <f t="shared" si="156"/>
        <v>2026</v>
      </c>
      <c r="C1355" s="116">
        <f t="shared" si="157"/>
        <v>2025</v>
      </c>
      <c r="D1355" s="2" t="s">
        <v>155</v>
      </c>
      <c r="E1355" s="2" t="s">
        <v>155</v>
      </c>
      <c r="F1355" s="30">
        <v>45839</v>
      </c>
      <c r="G1355" s="2">
        <f>DAY(EOMONTH(TA[[#This Row],[Month Year]],0))</f>
        <v>31</v>
      </c>
      <c r="H1355" s="21">
        <v>45840</v>
      </c>
      <c r="I1355" s="32">
        <f>IFERROR(VLOOKUP(TA[[#This Row],[Date]],Raw_Data[[Date]:[Sunset Time (POA&lt;20 W/m2)]],3,0),"")</f>
        <v>0.26319444444444445</v>
      </c>
      <c r="J1355" s="32">
        <f>IFERROR(VLOOKUP(TA[[#This Row],[Date]],Raw_Data[[Date]:[Sunset Time (POA&lt;20 W/m2)]],4,0),"")</f>
        <v>0.78333333333333333</v>
      </c>
      <c r="K1355" s="27">
        <f>IFERROR((TA[[#This Row],[Sunset Time (POA&lt;20 W/m2)]]-TA[[#This Row],[Sunrise Time (POA&gt;20 W/m2)]])*24,"")</f>
        <v>12.483333333333334</v>
      </c>
      <c r="L1355" s="2" t="s">
        <v>303</v>
      </c>
      <c r="M1355" s="33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321</v>
      </c>
      <c r="Q1355" s="2" t="s">
        <v>314</v>
      </c>
      <c r="R1355">
        <v>27</v>
      </c>
      <c r="S1355" s="2">
        <v>42</v>
      </c>
      <c r="T1355" t="s">
        <v>288</v>
      </c>
      <c r="U1355" t="s">
        <v>291</v>
      </c>
      <c r="V1355" t="s">
        <v>292</v>
      </c>
      <c r="W1355" s="32">
        <f>IFERROR(VLOOKUP(TA[[#This Row],[Date]],Raw_Data[[Date]:[Sunset Time (POA&lt;20 W/m2)]],3,0),"")</f>
        <v>0.26319444444444445</v>
      </c>
      <c r="X1355" s="32">
        <f>IFERROR(VLOOKUP(TA[[#This Row],[Date]],Raw_Data[[Date]:[Sunset Time (POA&lt;20 W/m2)]],3,0),"")</f>
        <v>0.26319444444444445</v>
      </c>
      <c r="Y1355" s="26"/>
      <c r="Z1355" s="26">
        <v>0.76041666666666663</v>
      </c>
      <c r="AA1355" s="27">
        <f>IF(TA[[#This Row],[Work Start time on Fault]]="NA","",(TA[[#This Row],[Fault Acknowledgement Time ]]-TA[[#This Row],[Fault Time]])*24)</f>
        <v>0</v>
      </c>
      <c r="AB1355" s="27">
        <f>(TA[[#This Row],[Work Start time on Fault]]-TA[[#This Row],[Fault Time]])*24</f>
        <v>-6.3166666666666664</v>
      </c>
      <c r="AC1355" s="26">
        <f>(TA[[#This Row],[Work Completion time on fault]]-TA[[#This Row],[Fault Time]])*24</f>
        <v>11.933333333333332</v>
      </c>
      <c r="AD1355" s="27">
        <f>IFERROR((TA[[#This Row],[Work Completion time on fault]]-TA[[#This Row],[Fault Time]])*24,"")</f>
        <v>11.933333333333332</v>
      </c>
      <c r="AE1355" t="s">
        <v>300</v>
      </c>
      <c r="AF1355" t="s">
        <v>247</v>
      </c>
      <c r="AG1355" s="2"/>
      <c r="AH1355" s="35">
        <f>1-COS(RADIANS(TA[[#This Row],[Avg. Target Angle during Fault Time (Radians)]]-TA[[#This Row],[Angle of affected equipment ]]))</f>
        <v>0.11705240714107301</v>
      </c>
      <c r="AI1355" s="27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43">
        <f t="shared" ref="B1356:B1368" si="158">YEAR(H1356)+IF(MONTH(H1356)&gt;=4,1,0)</f>
        <v>2026</v>
      </c>
      <c r="C1356" s="116">
        <f t="shared" ref="C1356:C1368" si="159">YEAR(H1356)</f>
        <v>2025</v>
      </c>
      <c r="D1356" s="2" t="s">
        <v>155</v>
      </c>
      <c r="E1356" s="2" t="s">
        <v>155</v>
      </c>
      <c r="F1356" s="30">
        <v>45839</v>
      </c>
      <c r="G1356" s="2">
        <f>DAY(EOMONTH(TA[[#This Row],[Month Year]],0))</f>
        <v>31</v>
      </c>
      <c r="H1356" s="21">
        <v>45841</v>
      </c>
      <c r="I1356" s="32">
        <f>IFERROR(VLOOKUP(TA[[#This Row],[Date]],Raw_Data[[Date]:[Sunset Time (POA&lt;20 W/m2)]],3,0),"")</f>
        <v>0.25763888888888886</v>
      </c>
      <c r="J1356" s="32">
        <f>IFERROR(VLOOKUP(TA[[#This Row],[Date]],Raw_Data[[Date]:[Sunset Time (POA&lt;20 W/m2)]],4,0),"")</f>
        <v>0.77430555555555558</v>
      </c>
      <c r="K1356" s="27">
        <f>IFERROR((TA[[#This Row],[Sunset Time (POA&lt;20 W/m2)]]-TA[[#This Row],[Sunrise Time (POA&gt;20 W/m2)]])*24,"")</f>
        <v>12.400000000000002</v>
      </c>
      <c r="L1356" s="2" t="s">
        <v>285</v>
      </c>
      <c r="M1356" s="33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14" t="s">
        <v>309</v>
      </c>
      <c r="Q1356" s="113" t="s">
        <v>309</v>
      </c>
      <c r="R1356">
        <v>131</v>
      </c>
      <c r="S1356" s="2">
        <v>38</v>
      </c>
      <c r="T1356" t="s">
        <v>286</v>
      </c>
      <c r="U1356" t="s">
        <v>291</v>
      </c>
      <c r="V1356" t="s">
        <v>289</v>
      </c>
      <c r="W1356" s="32"/>
      <c r="X1356" s="32"/>
      <c r="Y1356" s="26"/>
      <c r="Z1356" s="26"/>
      <c r="AA1356" s="27">
        <f>IF(TA[[#This Row],[Work Start time on Fault]]="NA","",(TA[[#This Row],[Fault Acknowledgement Time ]]-TA[[#This Row],[Fault Time]])*24)</f>
        <v>0</v>
      </c>
      <c r="AB1356" s="27">
        <f>(TA[[#This Row],[Work Start time on Fault]]-TA[[#This Row],[Fault Time]])*24</f>
        <v>0</v>
      </c>
      <c r="AC1356" s="26">
        <f>(TA[[#This Row],[Work Completion time on fault]]-TA[[#This Row],[Fault Time]])*24</f>
        <v>0</v>
      </c>
      <c r="AD1356" s="27">
        <f>IFERROR((TA[[#This Row],[Work Completion time on fault]]-TA[[#This Row],[Fault Time]])*24,"")</f>
        <v>0</v>
      </c>
      <c r="AE1356" t="s">
        <v>319</v>
      </c>
      <c r="AF1356" t="s">
        <v>247</v>
      </c>
      <c r="AG1356" s="2"/>
      <c r="AH1356" s="35">
        <f>1-COS(RADIANS(TA[[#This Row],[Avg. Target Angle during Fault Time (Radians)]]-TA[[#This Row],[Angle of affected equipment ]]))</f>
        <v>0.11705240714107301</v>
      </c>
      <c r="AI1356" s="27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43">
        <f t="shared" si="158"/>
        <v>2026</v>
      </c>
      <c r="C1357" s="116">
        <f t="shared" si="159"/>
        <v>2025</v>
      </c>
      <c r="D1357" s="2" t="s">
        <v>155</v>
      </c>
      <c r="E1357" s="2" t="s">
        <v>155</v>
      </c>
      <c r="F1357" s="30">
        <v>45839</v>
      </c>
      <c r="G1357" s="2">
        <f>DAY(EOMONTH(TA[[#This Row],[Month Year]],0))</f>
        <v>31</v>
      </c>
      <c r="H1357" s="21">
        <v>45841</v>
      </c>
      <c r="I1357" s="32">
        <f>IFERROR(VLOOKUP(TA[[#This Row],[Date]],Raw_Data[[Date]:[Sunset Time (POA&lt;20 W/m2)]],3,0),"")</f>
        <v>0.25763888888888886</v>
      </c>
      <c r="J1357" s="32">
        <f>IFERROR(VLOOKUP(TA[[#This Row],[Date]],Raw_Data[[Date]:[Sunset Time (POA&lt;20 W/m2)]],4,0),"")</f>
        <v>0.77430555555555558</v>
      </c>
      <c r="K1357" s="27">
        <f>IFERROR((TA[[#This Row],[Sunset Time (POA&lt;20 W/m2)]]-TA[[#This Row],[Sunrise Time (POA&gt;20 W/m2)]])*24,"")</f>
        <v>12.400000000000002</v>
      </c>
      <c r="L1357" s="2" t="s">
        <v>285</v>
      </c>
      <c r="M1357" s="33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14" t="s">
        <v>309</v>
      </c>
      <c r="Q1357" s="113" t="s">
        <v>309</v>
      </c>
      <c r="R1357">
        <v>131</v>
      </c>
      <c r="S1357" s="2">
        <v>39</v>
      </c>
      <c r="T1357" t="s">
        <v>286</v>
      </c>
      <c r="U1357" t="s">
        <v>291</v>
      </c>
      <c r="V1357" t="s">
        <v>289</v>
      </c>
      <c r="W1357" s="32"/>
      <c r="X1357" s="32"/>
      <c r="Y1357" s="26"/>
      <c r="Z1357" s="26"/>
      <c r="AA1357" s="27">
        <f>IF(TA[[#This Row],[Work Start time on Fault]]="NA","",(TA[[#This Row],[Fault Acknowledgement Time ]]-TA[[#This Row],[Fault Time]])*24)</f>
        <v>0</v>
      </c>
      <c r="AB1357" s="27">
        <f>(TA[[#This Row],[Work Start time on Fault]]-TA[[#This Row],[Fault Time]])*24</f>
        <v>0</v>
      </c>
      <c r="AC1357" s="26">
        <f>(TA[[#This Row],[Work Completion time on fault]]-TA[[#This Row],[Fault Time]])*24</f>
        <v>0</v>
      </c>
      <c r="AD1357" s="27">
        <f>IFERROR((TA[[#This Row],[Work Completion time on fault]]-TA[[#This Row],[Fault Time]])*24,"")</f>
        <v>0</v>
      </c>
      <c r="AE1357" t="s">
        <v>319</v>
      </c>
      <c r="AF1357" t="s">
        <v>247</v>
      </c>
      <c r="AG1357" s="2"/>
      <c r="AH1357" s="35">
        <f>1-COS(RADIANS(TA[[#This Row],[Avg. Target Angle during Fault Time (Radians)]]-TA[[#This Row],[Angle of affected equipment ]]))</f>
        <v>0.11705240714107301</v>
      </c>
      <c r="AI1357" s="27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43">
        <f t="shared" si="158"/>
        <v>2026</v>
      </c>
      <c r="C1358" s="116">
        <f t="shared" si="159"/>
        <v>2025</v>
      </c>
      <c r="D1358" s="2" t="s">
        <v>155</v>
      </c>
      <c r="E1358" s="2" t="s">
        <v>155</v>
      </c>
      <c r="F1358" s="30">
        <v>45839</v>
      </c>
      <c r="G1358" s="2">
        <f>DAY(EOMONTH(TA[[#This Row],[Month Year]],0))</f>
        <v>31</v>
      </c>
      <c r="H1358" s="21">
        <v>45841</v>
      </c>
      <c r="I1358" s="32">
        <f>IFERROR(VLOOKUP(TA[[#This Row],[Date]],Raw_Data[[Date]:[Sunset Time (POA&lt;20 W/m2)]],3,0),"")</f>
        <v>0.25763888888888886</v>
      </c>
      <c r="J1358" s="32">
        <f>IFERROR(VLOOKUP(TA[[#This Row],[Date]],Raw_Data[[Date]:[Sunset Time (POA&lt;20 W/m2)]],4,0),"")</f>
        <v>0.77430555555555558</v>
      </c>
      <c r="K1358" s="27">
        <f>IFERROR((TA[[#This Row],[Sunset Time (POA&lt;20 W/m2)]]-TA[[#This Row],[Sunrise Time (POA&gt;20 W/m2)]])*24,"")</f>
        <v>12.400000000000002</v>
      </c>
      <c r="L1358" s="2" t="s">
        <v>287</v>
      </c>
      <c r="M1358" s="33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14" t="s">
        <v>309</v>
      </c>
      <c r="Q1358" s="2" t="s">
        <v>312</v>
      </c>
      <c r="R1358">
        <v>133</v>
      </c>
      <c r="S1358" s="2">
        <v>26</v>
      </c>
      <c r="T1358" t="s">
        <v>288</v>
      </c>
      <c r="U1358" t="s">
        <v>291</v>
      </c>
      <c r="V1358" t="s">
        <v>305</v>
      </c>
      <c r="W1358" s="32">
        <f>IFERROR(VLOOKUP(TA[[#This Row],[Date]],Raw_Data[[Date]:[Sunset Time (POA&lt;20 W/m2)]],3,0),"")</f>
        <v>0.25763888888888886</v>
      </c>
      <c r="X1358" s="32">
        <f>IFERROR(VLOOKUP(TA[[#This Row],[Date]],Raw_Data[[Date]:[Sunset Time (POA&lt;20 W/m2)]],3,0),"")</f>
        <v>0.25763888888888886</v>
      </c>
      <c r="Y1358" s="26"/>
      <c r="Z1358" s="26">
        <v>0.76041666666666663</v>
      </c>
      <c r="AA1358" s="27">
        <f>IF(TA[[#This Row],[Work Start time on Fault]]="NA","",(TA[[#This Row],[Fault Acknowledgement Time ]]-TA[[#This Row],[Fault Time]])*24)</f>
        <v>0</v>
      </c>
      <c r="AB1358" s="27">
        <f>(TA[[#This Row],[Work Start time on Fault]]-TA[[#This Row],[Fault Time]])*24</f>
        <v>-6.1833333333333327</v>
      </c>
      <c r="AC1358" s="26">
        <f>(TA[[#This Row],[Work Completion time on fault]]-TA[[#This Row],[Fault Time]])*24</f>
        <v>12.066666666666666</v>
      </c>
      <c r="AD1358" s="27">
        <f>IFERROR((TA[[#This Row],[Work Completion time on fault]]-TA[[#This Row],[Fault Time]])*24,"")</f>
        <v>12.066666666666666</v>
      </c>
      <c r="AE1358" t="s">
        <v>319</v>
      </c>
      <c r="AF1358" t="s">
        <v>247</v>
      </c>
      <c r="AG1358" s="2"/>
      <c r="AH1358" s="35">
        <f>1-COS(RADIANS(TA[[#This Row],[Avg. Target Angle during Fault Time (Radians)]]-TA[[#This Row],[Angle of affected equipment ]]))</f>
        <v>0.11705240714107301</v>
      </c>
      <c r="AI1358" s="27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43">
        <f t="shared" si="158"/>
        <v>2026</v>
      </c>
      <c r="C1359" s="116">
        <f t="shared" si="159"/>
        <v>2025</v>
      </c>
      <c r="D1359" s="2" t="s">
        <v>155</v>
      </c>
      <c r="E1359" s="2" t="s">
        <v>155</v>
      </c>
      <c r="F1359" s="30">
        <v>45839</v>
      </c>
      <c r="G1359" s="2">
        <f>DAY(EOMONTH(TA[[#This Row],[Month Year]],0))</f>
        <v>31</v>
      </c>
      <c r="H1359" s="21">
        <v>45841</v>
      </c>
      <c r="I1359" s="32">
        <f>IFERROR(VLOOKUP(TA[[#This Row],[Date]],Raw_Data[[Date]:[Sunset Time (POA&lt;20 W/m2)]],3,0),"")</f>
        <v>0.25763888888888886</v>
      </c>
      <c r="J1359" s="32">
        <f>IFERROR(VLOOKUP(TA[[#This Row],[Date]],Raw_Data[[Date]:[Sunset Time (POA&lt;20 W/m2)]],4,0),"")</f>
        <v>0.77430555555555558</v>
      </c>
      <c r="K1359" s="27">
        <f>IFERROR((TA[[#This Row],[Sunset Time (POA&lt;20 W/m2)]]-TA[[#This Row],[Sunrise Time (POA&gt;20 W/m2)]])*24,"")</f>
        <v>12.400000000000002</v>
      </c>
      <c r="L1359" s="2" t="s">
        <v>285</v>
      </c>
      <c r="M1359" s="33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14" t="s">
        <v>307</v>
      </c>
      <c r="Q1359" s="113" t="s">
        <v>308</v>
      </c>
      <c r="R1359">
        <v>7</v>
      </c>
      <c r="S1359" s="2">
        <v>32</v>
      </c>
      <c r="T1359" t="s">
        <v>286</v>
      </c>
      <c r="U1359" t="s">
        <v>291</v>
      </c>
      <c r="V1359" t="s">
        <v>289</v>
      </c>
      <c r="W1359" s="32"/>
      <c r="X1359" s="32"/>
      <c r="Y1359" s="26"/>
      <c r="Z1359" s="26"/>
      <c r="AA1359" s="27">
        <f>IF(TA[[#This Row],[Work Start time on Fault]]="NA","",(TA[[#This Row],[Fault Acknowledgement Time ]]-TA[[#This Row],[Fault Time]])*24)</f>
        <v>0</v>
      </c>
      <c r="AB1359" s="27">
        <f>(TA[[#This Row],[Work Start time on Fault]]-TA[[#This Row],[Fault Time]])*24</f>
        <v>0</v>
      </c>
      <c r="AC1359" s="26">
        <f>(TA[[#This Row],[Work Completion time on fault]]-TA[[#This Row],[Fault Time]])*24</f>
        <v>0</v>
      </c>
      <c r="AD1359" s="27">
        <f>IFERROR((TA[[#This Row],[Work Completion time on fault]]-TA[[#This Row],[Fault Time]])*24,"")</f>
        <v>0</v>
      </c>
      <c r="AE1359" t="s">
        <v>319</v>
      </c>
      <c r="AF1359" t="s">
        <v>247</v>
      </c>
      <c r="AG1359" s="2"/>
      <c r="AH1359" s="35">
        <f>1-COS(RADIANS(TA[[#This Row],[Avg. Target Angle during Fault Time (Radians)]]-TA[[#This Row],[Angle of affected equipment ]]))</f>
        <v>0.11705240714107301</v>
      </c>
      <c r="AI1359" s="27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43">
        <f t="shared" si="158"/>
        <v>2026</v>
      </c>
      <c r="C1360" s="116">
        <f t="shared" si="159"/>
        <v>2025</v>
      </c>
      <c r="D1360" s="2" t="s">
        <v>155</v>
      </c>
      <c r="E1360" s="2" t="s">
        <v>155</v>
      </c>
      <c r="F1360" s="30">
        <v>45839</v>
      </c>
      <c r="G1360" s="2">
        <f>DAY(EOMONTH(TA[[#This Row],[Month Year]],0))</f>
        <v>31</v>
      </c>
      <c r="H1360" s="21">
        <v>45841</v>
      </c>
      <c r="I1360" s="32">
        <f>IFERROR(VLOOKUP(TA[[#This Row],[Date]],Raw_Data[[Date]:[Sunset Time (POA&lt;20 W/m2)]],3,0),"")</f>
        <v>0.25763888888888886</v>
      </c>
      <c r="J1360" s="32">
        <f>IFERROR(VLOOKUP(TA[[#This Row],[Date]],Raw_Data[[Date]:[Sunset Time (POA&lt;20 W/m2)]],4,0),"")</f>
        <v>0.77430555555555558</v>
      </c>
      <c r="K1360" s="27">
        <f>IFERROR((TA[[#This Row],[Sunset Time (POA&lt;20 W/m2)]]-TA[[#This Row],[Sunrise Time (POA&gt;20 W/m2)]])*24,"")</f>
        <v>12.400000000000002</v>
      </c>
      <c r="L1360" s="2" t="s">
        <v>285</v>
      </c>
      <c r="M1360" s="33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14" t="s">
        <v>306</v>
      </c>
      <c r="Q1360" s="113" t="s">
        <v>310</v>
      </c>
      <c r="R1360">
        <v>166</v>
      </c>
      <c r="S1360" s="2">
        <v>91</v>
      </c>
      <c r="T1360" t="s">
        <v>286</v>
      </c>
      <c r="U1360" t="s">
        <v>291</v>
      </c>
      <c r="V1360" t="s">
        <v>289</v>
      </c>
      <c r="W1360" s="32"/>
      <c r="X1360" s="32"/>
      <c r="Y1360" s="26"/>
      <c r="Z1360" s="26"/>
      <c r="AA1360" s="27">
        <f>IF(TA[[#This Row],[Work Start time on Fault]]="NA","",(TA[[#This Row],[Fault Acknowledgement Time ]]-TA[[#This Row],[Fault Time]])*24)</f>
        <v>0</v>
      </c>
      <c r="AB1360" s="27">
        <f>(TA[[#This Row],[Work Start time on Fault]]-TA[[#This Row],[Fault Time]])*24</f>
        <v>0</v>
      </c>
      <c r="AC1360" s="26">
        <f>(TA[[#This Row],[Work Completion time on fault]]-TA[[#This Row],[Fault Time]])*24</f>
        <v>0</v>
      </c>
      <c r="AD1360" s="27">
        <f>IFERROR((TA[[#This Row],[Work Completion time on fault]]-TA[[#This Row],[Fault Time]])*24,"")</f>
        <v>0</v>
      </c>
      <c r="AE1360" t="s">
        <v>319</v>
      </c>
      <c r="AF1360" t="s">
        <v>247</v>
      </c>
      <c r="AG1360" s="2"/>
      <c r="AH1360" s="35">
        <f>1-COS(RADIANS(TA[[#This Row],[Avg. Target Angle during Fault Time (Radians)]]-TA[[#This Row],[Angle of affected equipment ]]))</f>
        <v>0.11705240714107301</v>
      </c>
      <c r="AI1360" s="27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43">
        <f t="shared" si="158"/>
        <v>2026</v>
      </c>
      <c r="C1361" s="116">
        <f t="shared" si="159"/>
        <v>2025</v>
      </c>
      <c r="D1361" s="2" t="s">
        <v>155</v>
      </c>
      <c r="E1361" s="2" t="s">
        <v>155</v>
      </c>
      <c r="F1361" s="30">
        <v>45839</v>
      </c>
      <c r="G1361" s="2">
        <f>DAY(EOMONTH(TA[[#This Row],[Month Year]],0))</f>
        <v>31</v>
      </c>
      <c r="H1361" s="21">
        <v>45841</v>
      </c>
      <c r="I1361" s="32">
        <f>IFERROR(VLOOKUP(TA[[#This Row],[Date]],Raw_Data[[Date]:[Sunset Time (POA&lt;20 W/m2)]],3,0),"")</f>
        <v>0.25763888888888886</v>
      </c>
      <c r="J1361" s="32">
        <f>IFERROR(VLOOKUP(TA[[#This Row],[Date]],Raw_Data[[Date]:[Sunset Time (POA&lt;20 W/m2)]],4,0),"")</f>
        <v>0.77430555555555558</v>
      </c>
      <c r="K1361" s="27">
        <f>IFERROR((TA[[#This Row],[Sunset Time (POA&lt;20 W/m2)]]-TA[[#This Row],[Sunrise Time (POA&gt;20 W/m2)]])*24,"")</f>
        <v>12.400000000000002</v>
      </c>
      <c r="L1361" s="2" t="s">
        <v>285</v>
      </c>
      <c r="M1361" s="33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14" t="s">
        <v>307</v>
      </c>
      <c r="Q1361" s="113" t="s">
        <v>307</v>
      </c>
      <c r="R1361">
        <v>117</v>
      </c>
      <c r="S1361" s="2">
        <v>20</v>
      </c>
      <c r="T1361" t="s">
        <v>286</v>
      </c>
      <c r="U1361" t="s">
        <v>291</v>
      </c>
      <c r="V1361" t="s">
        <v>289</v>
      </c>
      <c r="W1361" s="32"/>
      <c r="X1361" s="32"/>
      <c r="Y1361" s="26"/>
      <c r="Z1361" s="26"/>
      <c r="AA1361" s="27">
        <f>IF(TA[[#This Row],[Work Start time on Fault]]="NA","",(TA[[#This Row],[Fault Acknowledgement Time ]]-TA[[#This Row],[Fault Time]])*24)</f>
        <v>0</v>
      </c>
      <c r="AB1361" s="27">
        <f>(TA[[#This Row],[Work Start time on Fault]]-TA[[#This Row],[Fault Time]])*24</f>
        <v>0</v>
      </c>
      <c r="AC1361" s="26">
        <f>(TA[[#This Row],[Work Completion time on fault]]-TA[[#This Row],[Fault Time]])*24</f>
        <v>0</v>
      </c>
      <c r="AD1361" s="27">
        <f>IFERROR((TA[[#This Row],[Work Completion time on fault]]-TA[[#This Row],[Fault Time]])*24,"")</f>
        <v>0</v>
      </c>
      <c r="AE1361" t="s">
        <v>319</v>
      </c>
      <c r="AF1361" t="s">
        <v>247</v>
      </c>
      <c r="AG1361" s="2"/>
      <c r="AH1361" s="35">
        <f>1-COS(RADIANS(TA[[#This Row],[Avg. Target Angle during Fault Time (Radians)]]-TA[[#This Row],[Angle of affected equipment ]]))</f>
        <v>0.11705240714107301</v>
      </c>
      <c r="AI1361" s="27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43">
        <f t="shared" si="158"/>
        <v>2026</v>
      </c>
      <c r="C1362" s="116">
        <f t="shared" si="159"/>
        <v>2025</v>
      </c>
      <c r="D1362" s="2" t="s">
        <v>155</v>
      </c>
      <c r="E1362" s="2" t="s">
        <v>155</v>
      </c>
      <c r="F1362" s="30">
        <v>45839</v>
      </c>
      <c r="G1362" s="2">
        <f>DAY(EOMONTH(TA[[#This Row],[Month Year]],0))</f>
        <v>31</v>
      </c>
      <c r="H1362" s="21">
        <v>45841</v>
      </c>
      <c r="I1362" s="32">
        <f>IFERROR(VLOOKUP(TA[[#This Row],[Date]],Raw_Data[[Date]:[Sunset Time (POA&lt;20 W/m2)]],3,0),"")</f>
        <v>0.25763888888888886</v>
      </c>
      <c r="J1362" s="32">
        <f>IFERROR(VLOOKUP(TA[[#This Row],[Date]],Raw_Data[[Date]:[Sunset Time (POA&lt;20 W/m2)]],4,0),"")</f>
        <v>0.77430555555555558</v>
      </c>
      <c r="K1362" s="27">
        <f>IFERROR((TA[[#This Row],[Sunset Time (POA&lt;20 W/m2)]]-TA[[#This Row],[Sunrise Time (POA&gt;20 W/m2)]])*24,"")</f>
        <v>12.400000000000002</v>
      </c>
      <c r="L1362" s="2" t="s">
        <v>285</v>
      </c>
      <c r="M1362" s="33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14" t="s">
        <v>307</v>
      </c>
      <c r="Q1362" s="113" t="s">
        <v>307</v>
      </c>
      <c r="R1362">
        <v>118</v>
      </c>
      <c r="S1362" s="2">
        <v>22</v>
      </c>
      <c r="T1362" t="s">
        <v>286</v>
      </c>
      <c r="U1362" t="s">
        <v>291</v>
      </c>
      <c r="V1362" t="s">
        <v>289</v>
      </c>
      <c r="W1362" s="32"/>
      <c r="X1362" s="32"/>
      <c r="Y1362" s="26"/>
      <c r="Z1362" s="26"/>
      <c r="AA1362" s="27">
        <f>IF(TA[[#This Row],[Work Start time on Fault]]="NA","",(TA[[#This Row],[Fault Acknowledgement Time ]]-TA[[#This Row],[Fault Time]])*24)</f>
        <v>0</v>
      </c>
      <c r="AB1362" s="27">
        <f>(TA[[#This Row],[Work Start time on Fault]]-TA[[#This Row],[Fault Time]])*24</f>
        <v>0</v>
      </c>
      <c r="AC1362" s="26">
        <f>(TA[[#This Row],[Work Completion time on fault]]-TA[[#This Row],[Fault Time]])*24</f>
        <v>0</v>
      </c>
      <c r="AD1362" s="27">
        <f>IFERROR((TA[[#This Row],[Work Completion time on fault]]-TA[[#This Row],[Fault Time]])*24,"")</f>
        <v>0</v>
      </c>
      <c r="AE1362" t="s">
        <v>319</v>
      </c>
      <c r="AF1362" t="s">
        <v>247</v>
      </c>
      <c r="AG1362" s="2"/>
      <c r="AH1362" s="35">
        <f>1-COS(RADIANS(TA[[#This Row],[Avg. Target Angle during Fault Time (Radians)]]-TA[[#This Row],[Angle of affected equipment ]]))</f>
        <v>0.11705240714107301</v>
      </c>
      <c r="AI1362" s="27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43">
        <f t="shared" si="158"/>
        <v>2026</v>
      </c>
      <c r="C1363" s="116">
        <f t="shared" si="159"/>
        <v>2025</v>
      </c>
      <c r="D1363" s="2" t="s">
        <v>155</v>
      </c>
      <c r="E1363" s="2" t="s">
        <v>155</v>
      </c>
      <c r="F1363" s="30">
        <v>45839</v>
      </c>
      <c r="G1363" s="2">
        <f>DAY(EOMONTH(TA[[#This Row],[Month Year]],0))</f>
        <v>31</v>
      </c>
      <c r="H1363" s="21">
        <v>45841</v>
      </c>
      <c r="I1363" s="32">
        <f>IFERROR(VLOOKUP(TA[[#This Row],[Date]],Raw_Data[[Date]:[Sunset Time (POA&lt;20 W/m2)]],3,0),"")</f>
        <v>0.25763888888888886</v>
      </c>
      <c r="J1363" s="32">
        <f>IFERROR(VLOOKUP(TA[[#This Row],[Date]],Raw_Data[[Date]:[Sunset Time (POA&lt;20 W/m2)]],4,0),"")</f>
        <v>0.77430555555555558</v>
      </c>
      <c r="K1363" s="27">
        <f>IFERROR((TA[[#This Row],[Sunset Time (POA&lt;20 W/m2)]]-TA[[#This Row],[Sunrise Time (POA&gt;20 W/m2)]])*24,"")</f>
        <v>12.400000000000002</v>
      </c>
      <c r="L1363" s="2" t="s">
        <v>287</v>
      </c>
      <c r="M1363" s="33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314</v>
      </c>
      <c r="Q1363" s="2" t="s">
        <v>320</v>
      </c>
      <c r="R1363">
        <v>45</v>
      </c>
      <c r="S1363" s="2">
        <v>8</v>
      </c>
      <c r="T1363" t="s">
        <v>288</v>
      </c>
      <c r="U1363" t="s">
        <v>291</v>
      </c>
      <c r="V1363" t="s">
        <v>292</v>
      </c>
      <c r="W1363" s="32"/>
      <c r="X1363" s="32"/>
      <c r="Y1363" s="26"/>
      <c r="Z1363" s="26"/>
      <c r="AA1363" s="27">
        <f>IF(TA[[#This Row],[Work Start time on Fault]]="NA","",(TA[[#This Row],[Fault Acknowledgement Time ]]-TA[[#This Row],[Fault Time]])*24)</f>
        <v>0</v>
      </c>
      <c r="AB1363" s="27">
        <f>(TA[[#This Row],[Work Start time on Fault]]-TA[[#This Row],[Fault Time]])*24</f>
        <v>0</v>
      </c>
      <c r="AC1363" s="26">
        <f>(TA[[#This Row],[Work Completion time on fault]]-TA[[#This Row],[Fault Time]])*24</f>
        <v>0</v>
      </c>
      <c r="AD1363" s="27">
        <f>IFERROR((TA[[#This Row],[Work Completion time on fault]]-TA[[#This Row],[Fault Time]])*24,"")</f>
        <v>0</v>
      </c>
      <c r="AE1363" t="s">
        <v>319</v>
      </c>
      <c r="AF1363" t="s">
        <v>247</v>
      </c>
      <c r="AG1363" s="2"/>
      <c r="AH1363" s="35">
        <f>1-COS(RADIANS(TA[[#This Row],[Avg. Target Angle during Fault Time (Radians)]]-TA[[#This Row],[Angle of affected equipment ]]))</f>
        <v>0.11705240714107301</v>
      </c>
      <c r="AI1363" s="27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43">
        <f t="shared" si="158"/>
        <v>2026</v>
      </c>
      <c r="C1364" s="116">
        <f t="shared" si="159"/>
        <v>2025</v>
      </c>
      <c r="D1364" s="2" t="s">
        <v>155</v>
      </c>
      <c r="E1364" s="2" t="s">
        <v>155</v>
      </c>
      <c r="F1364" s="30">
        <v>45839</v>
      </c>
      <c r="G1364" s="2">
        <f>DAY(EOMONTH(TA[[#This Row],[Month Year]],0))</f>
        <v>31</v>
      </c>
      <c r="H1364" s="21">
        <v>45841</v>
      </c>
      <c r="I1364" s="32">
        <f>IFERROR(VLOOKUP(TA[[#This Row],[Date]],Raw_Data[[Date]:[Sunset Time (POA&lt;20 W/m2)]],3,0),"")</f>
        <v>0.25763888888888886</v>
      </c>
      <c r="J1364" s="32">
        <f>IFERROR(VLOOKUP(TA[[#This Row],[Date]],Raw_Data[[Date]:[Sunset Time (POA&lt;20 W/m2)]],4,0),"")</f>
        <v>0.77430555555555558</v>
      </c>
      <c r="K1364" s="27">
        <f>IFERROR((TA[[#This Row],[Sunset Time (POA&lt;20 W/m2)]]-TA[[#This Row],[Sunrise Time (POA&gt;20 W/m2)]])*24,"")</f>
        <v>12.400000000000002</v>
      </c>
      <c r="L1364" s="2" t="s">
        <v>287</v>
      </c>
      <c r="M1364" s="33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314</v>
      </c>
      <c r="Q1364" s="2" t="s">
        <v>320</v>
      </c>
      <c r="R1364">
        <v>47</v>
      </c>
      <c r="S1364" s="2">
        <v>18</v>
      </c>
      <c r="T1364" t="s">
        <v>288</v>
      </c>
      <c r="U1364" t="s">
        <v>291</v>
      </c>
      <c r="V1364" t="s">
        <v>292</v>
      </c>
      <c r="W1364" s="32"/>
      <c r="X1364" s="32"/>
      <c r="Y1364" s="26"/>
      <c r="Z1364" s="26"/>
      <c r="AA1364" s="27">
        <f>IF(TA[[#This Row],[Work Start time on Fault]]="NA","",(TA[[#This Row],[Fault Acknowledgement Time ]]-TA[[#This Row],[Fault Time]])*24)</f>
        <v>0</v>
      </c>
      <c r="AB1364" s="27">
        <f>(TA[[#This Row],[Work Start time on Fault]]-TA[[#This Row],[Fault Time]])*24</f>
        <v>0</v>
      </c>
      <c r="AC1364" s="26">
        <f>(TA[[#This Row],[Work Completion time on fault]]-TA[[#This Row],[Fault Time]])*24</f>
        <v>0</v>
      </c>
      <c r="AD1364" s="27">
        <f>IFERROR((TA[[#This Row],[Work Completion time on fault]]-TA[[#This Row],[Fault Time]])*24,"")</f>
        <v>0</v>
      </c>
      <c r="AE1364" t="s">
        <v>319</v>
      </c>
      <c r="AF1364" t="s">
        <v>247</v>
      </c>
      <c r="AG1364" s="2"/>
      <c r="AH1364" s="35">
        <f>1-COS(RADIANS(TA[[#This Row],[Avg. Target Angle during Fault Time (Radians)]]-TA[[#This Row],[Angle of affected equipment ]]))</f>
        <v>0.11705240714107301</v>
      </c>
      <c r="AI1364" s="27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43">
        <f t="shared" si="158"/>
        <v>2026</v>
      </c>
      <c r="C1365" s="116">
        <f t="shared" si="159"/>
        <v>2025</v>
      </c>
      <c r="D1365" s="2" t="s">
        <v>155</v>
      </c>
      <c r="E1365" s="2" t="s">
        <v>155</v>
      </c>
      <c r="F1365" s="30">
        <v>45839</v>
      </c>
      <c r="G1365" s="2">
        <f>DAY(EOMONTH(TA[[#This Row],[Month Year]],0))</f>
        <v>31</v>
      </c>
      <c r="H1365" s="21">
        <v>45841</v>
      </c>
      <c r="I1365" s="32">
        <f>IFERROR(VLOOKUP(TA[[#This Row],[Date]],Raw_Data[[Date]:[Sunset Time (POA&lt;20 W/m2)]],3,0),"")</f>
        <v>0.25763888888888886</v>
      </c>
      <c r="J1365" s="32">
        <f>IFERROR(VLOOKUP(TA[[#This Row],[Date]],Raw_Data[[Date]:[Sunset Time (POA&lt;20 W/m2)]],4,0),"")</f>
        <v>0.77430555555555558</v>
      </c>
      <c r="K1365" s="27">
        <f>IFERROR((TA[[#This Row],[Sunset Time (POA&lt;20 W/m2)]]-TA[[#This Row],[Sunrise Time (POA&gt;20 W/m2)]])*24,"")</f>
        <v>12.400000000000002</v>
      </c>
      <c r="L1365" s="2" t="s">
        <v>287</v>
      </c>
      <c r="M1365" s="33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321</v>
      </c>
      <c r="Q1365" s="2" t="s">
        <v>314</v>
      </c>
      <c r="R1365">
        <v>30</v>
      </c>
      <c r="S1365" s="2">
        <v>57</v>
      </c>
      <c r="T1365" t="s">
        <v>288</v>
      </c>
      <c r="U1365" t="s">
        <v>291</v>
      </c>
      <c r="V1365" t="s">
        <v>292</v>
      </c>
      <c r="W1365" s="32"/>
      <c r="X1365" s="32"/>
      <c r="Y1365" s="26"/>
      <c r="Z1365" s="26"/>
      <c r="AA1365" s="27">
        <f>IF(TA[[#This Row],[Work Start time on Fault]]="NA","",(TA[[#This Row],[Fault Acknowledgement Time ]]-TA[[#This Row],[Fault Time]])*24)</f>
        <v>0</v>
      </c>
      <c r="AB1365" s="27">
        <f>(TA[[#This Row],[Work Start time on Fault]]-TA[[#This Row],[Fault Time]])*24</f>
        <v>0</v>
      </c>
      <c r="AC1365" s="26">
        <f>(TA[[#This Row],[Work Completion time on fault]]-TA[[#This Row],[Fault Time]])*24</f>
        <v>0</v>
      </c>
      <c r="AD1365" s="27">
        <f>IFERROR((TA[[#This Row],[Work Completion time on fault]]-TA[[#This Row],[Fault Time]])*24,"")</f>
        <v>0</v>
      </c>
      <c r="AE1365" t="s">
        <v>319</v>
      </c>
      <c r="AF1365" t="s">
        <v>247</v>
      </c>
      <c r="AG1365" s="2"/>
      <c r="AH1365" s="35">
        <f>1-COS(RADIANS(TA[[#This Row],[Avg. Target Angle during Fault Time (Radians)]]-TA[[#This Row],[Angle of affected equipment ]]))</f>
        <v>0.11705240714107301</v>
      </c>
      <c r="AI1365" s="27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43">
        <f t="shared" si="158"/>
        <v>2026</v>
      </c>
      <c r="C1366" s="116">
        <f t="shared" si="159"/>
        <v>2025</v>
      </c>
      <c r="D1366" s="2" t="s">
        <v>155</v>
      </c>
      <c r="E1366" s="2" t="s">
        <v>155</v>
      </c>
      <c r="F1366" s="30">
        <v>45839</v>
      </c>
      <c r="G1366" s="2">
        <f>DAY(EOMONTH(TA[[#This Row],[Month Year]],0))</f>
        <v>31</v>
      </c>
      <c r="H1366" s="21">
        <v>45841</v>
      </c>
      <c r="I1366" s="32">
        <f>IFERROR(VLOOKUP(TA[[#This Row],[Date]],Raw_Data[[Date]:[Sunset Time (POA&lt;20 W/m2)]],3,0),"")</f>
        <v>0.25763888888888886</v>
      </c>
      <c r="J1366" s="32">
        <f>IFERROR(VLOOKUP(TA[[#This Row],[Date]],Raw_Data[[Date]:[Sunset Time (POA&lt;20 W/m2)]],4,0),"")</f>
        <v>0.77430555555555558</v>
      </c>
      <c r="K1366" s="27">
        <f>IFERROR((TA[[#This Row],[Sunset Time (POA&lt;20 W/m2)]]-TA[[#This Row],[Sunrise Time (POA&gt;20 W/m2)]])*24,"")</f>
        <v>12.400000000000002</v>
      </c>
      <c r="L1366" s="2" t="s">
        <v>287</v>
      </c>
      <c r="M1366" s="33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321</v>
      </c>
      <c r="Q1366" s="2" t="s">
        <v>314</v>
      </c>
      <c r="R1366">
        <v>31</v>
      </c>
      <c r="S1366" s="2">
        <v>61</v>
      </c>
      <c r="T1366" t="s">
        <v>288</v>
      </c>
      <c r="U1366" t="s">
        <v>291</v>
      </c>
      <c r="V1366" t="s">
        <v>292</v>
      </c>
      <c r="W1366" s="32"/>
      <c r="X1366" s="32"/>
      <c r="Y1366" s="26"/>
      <c r="Z1366" s="26"/>
      <c r="AA1366" s="27">
        <f>IF(TA[[#This Row],[Work Start time on Fault]]="NA","",(TA[[#This Row],[Fault Acknowledgement Time ]]-TA[[#This Row],[Fault Time]])*24)</f>
        <v>0</v>
      </c>
      <c r="AB1366" s="27">
        <f>(TA[[#This Row],[Work Start time on Fault]]-TA[[#This Row],[Fault Time]])*24</f>
        <v>0</v>
      </c>
      <c r="AC1366" s="26">
        <f>(TA[[#This Row],[Work Completion time on fault]]-TA[[#This Row],[Fault Time]])*24</f>
        <v>0</v>
      </c>
      <c r="AD1366" s="27">
        <f>IFERROR((TA[[#This Row],[Work Completion time on fault]]-TA[[#This Row],[Fault Time]])*24,"")</f>
        <v>0</v>
      </c>
      <c r="AE1366" t="s">
        <v>319</v>
      </c>
      <c r="AF1366" t="s">
        <v>247</v>
      </c>
      <c r="AG1366" s="2"/>
      <c r="AH1366" s="35">
        <f>1-COS(RADIANS(TA[[#This Row],[Avg. Target Angle during Fault Time (Radians)]]-TA[[#This Row],[Angle of affected equipment ]]))</f>
        <v>0.11705240714107301</v>
      </c>
      <c r="AI1366" s="27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43">
        <f t="shared" si="158"/>
        <v>2026</v>
      </c>
      <c r="C1367" s="116">
        <f t="shared" si="159"/>
        <v>2025</v>
      </c>
      <c r="D1367" s="2" t="s">
        <v>155</v>
      </c>
      <c r="E1367" s="2" t="s">
        <v>155</v>
      </c>
      <c r="F1367" s="30">
        <v>45839</v>
      </c>
      <c r="G1367" s="2">
        <f>DAY(EOMONTH(TA[[#This Row],[Month Year]],0))</f>
        <v>31</v>
      </c>
      <c r="H1367" s="21">
        <v>45841</v>
      </c>
      <c r="I1367" s="32">
        <f>IFERROR(VLOOKUP(TA[[#This Row],[Date]],Raw_Data[[Date]:[Sunset Time (POA&lt;20 W/m2)]],3,0),"")</f>
        <v>0.25763888888888886</v>
      </c>
      <c r="J1367" s="32">
        <f>IFERROR(VLOOKUP(TA[[#This Row],[Date]],Raw_Data[[Date]:[Sunset Time (POA&lt;20 W/m2)]],4,0),"")</f>
        <v>0.77430555555555558</v>
      </c>
      <c r="K1367" s="27">
        <f>IFERROR((TA[[#This Row],[Sunset Time (POA&lt;20 W/m2)]]-TA[[#This Row],[Sunrise Time (POA&gt;20 W/m2)]])*24,"")</f>
        <v>12.400000000000002</v>
      </c>
      <c r="L1367" s="2" t="s">
        <v>303</v>
      </c>
      <c r="M1367" s="33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321</v>
      </c>
      <c r="Q1367" s="2" t="s">
        <v>314</v>
      </c>
      <c r="R1367">
        <v>26</v>
      </c>
      <c r="S1367" s="2">
        <v>37</v>
      </c>
      <c r="T1367" t="s">
        <v>288</v>
      </c>
      <c r="U1367" t="s">
        <v>291</v>
      </c>
      <c r="V1367" t="s">
        <v>292</v>
      </c>
      <c r="W1367" s="32"/>
      <c r="X1367" s="32"/>
      <c r="Y1367" s="26"/>
      <c r="Z1367" s="26"/>
      <c r="AA1367" s="27">
        <f>IF(TA[[#This Row],[Work Start time on Fault]]="NA","",(TA[[#This Row],[Fault Acknowledgement Time ]]-TA[[#This Row],[Fault Time]])*24)</f>
        <v>0</v>
      </c>
      <c r="AB1367" s="27">
        <f>(TA[[#This Row],[Work Start time on Fault]]-TA[[#This Row],[Fault Time]])*24</f>
        <v>0</v>
      </c>
      <c r="AC1367" s="26">
        <f>(TA[[#This Row],[Work Completion time on fault]]-TA[[#This Row],[Fault Time]])*24</f>
        <v>0</v>
      </c>
      <c r="AD1367" s="27">
        <f>IFERROR((TA[[#This Row],[Work Completion time on fault]]-TA[[#This Row],[Fault Time]])*24,"")</f>
        <v>0</v>
      </c>
      <c r="AE1367" t="s">
        <v>319</v>
      </c>
      <c r="AF1367" t="s">
        <v>247</v>
      </c>
      <c r="AG1367" s="2"/>
      <c r="AH1367" s="35">
        <f>1-COS(RADIANS(TA[[#This Row],[Avg. Target Angle during Fault Time (Radians)]]-TA[[#This Row],[Angle of affected equipment ]]))</f>
        <v>0.11705240714107301</v>
      </c>
      <c r="AI1367" s="27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43">
        <f t="shared" si="158"/>
        <v>2026</v>
      </c>
      <c r="C1368" s="116">
        <f t="shared" si="159"/>
        <v>2025</v>
      </c>
      <c r="D1368" s="2" t="s">
        <v>155</v>
      </c>
      <c r="E1368" s="2" t="s">
        <v>155</v>
      </c>
      <c r="F1368" s="30">
        <v>45839</v>
      </c>
      <c r="G1368" s="2">
        <f>DAY(EOMONTH(TA[[#This Row],[Month Year]],0))</f>
        <v>31</v>
      </c>
      <c r="H1368" s="21">
        <v>45841</v>
      </c>
      <c r="I1368" s="32">
        <f>IFERROR(VLOOKUP(TA[[#This Row],[Date]],Raw_Data[[Date]:[Sunset Time (POA&lt;20 W/m2)]],3,0),"")</f>
        <v>0.25763888888888886</v>
      </c>
      <c r="J1368" s="32">
        <f>IFERROR(VLOOKUP(TA[[#This Row],[Date]],Raw_Data[[Date]:[Sunset Time (POA&lt;20 W/m2)]],4,0),"")</f>
        <v>0.77430555555555558</v>
      </c>
      <c r="K1368" s="27">
        <f>IFERROR((TA[[#This Row],[Sunset Time (POA&lt;20 W/m2)]]-TA[[#This Row],[Sunrise Time (POA&gt;20 W/m2)]])*24,"")</f>
        <v>12.400000000000002</v>
      </c>
      <c r="L1368" s="2" t="s">
        <v>303</v>
      </c>
      <c r="M1368" s="33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321</v>
      </c>
      <c r="Q1368" s="2" t="s">
        <v>314</v>
      </c>
      <c r="R1368">
        <v>27</v>
      </c>
      <c r="S1368" s="2">
        <v>42</v>
      </c>
      <c r="T1368" t="s">
        <v>288</v>
      </c>
      <c r="U1368" t="s">
        <v>291</v>
      </c>
      <c r="V1368" t="s">
        <v>292</v>
      </c>
      <c r="W1368" s="32">
        <f>IFERROR(VLOOKUP(TA[[#This Row],[Date]],Raw_Data[[Date]:[Sunset Time (POA&lt;20 W/m2)]],3,0),"")</f>
        <v>0.25763888888888886</v>
      </c>
      <c r="X1368" s="32">
        <f>IFERROR(VLOOKUP(TA[[#This Row],[Date]],Raw_Data[[Date]:[Sunset Time (POA&lt;20 W/m2)]],3,0),"")</f>
        <v>0.25763888888888886</v>
      </c>
      <c r="Y1368" s="26"/>
      <c r="Z1368" s="26">
        <v>0.76041666666666663</v>
      </c>
      <c r="AA1368" s="27">
        <f>IF(TA[[#This Row],[Work Start time on Fault]]="NA","",(TA[[#This Row],[Fault Acknowledgement Time ]]-TA[[#This Row],[Fault Time]])*24)</f>
        <v>0</v>
      </c>
      <c r="AB1368" s="27">
        <f>(TA[[#This Row],[Work Start time on Fault]]-TA[[#This Row],[Fault Time]])*24</f>
        <v>-6.1833333333333327</v>
      </c>
      <c r="AC1368" s="26">
        <f>(TA[[#This Row],[Work Completion time on fault]]-TA[[#This Row],[Fault Time]])*24</f>
        <v>12.066666666666666</v>
      </c>
      <c r="AD1368" s="27">
        <f>IFERROR((TA[[#This Row],[Work Completion time on fault]]-TA[[#This Row],[Fault Time]])*24,"")</f>
        <v>12.066666666666666</v>
      </c>
      <c r="AE1368" t="s">
        <v>300</v>
      </c>
      <c r="AF1368" t="s">
        <v>247</v>
      </c>
      <c r="AG1368" s="2"/>
      <c r="AH1368" s="35">
        <f>1-COS(RADIANS(TA[[#This Row],[Avg. Target Angle during Fault Time (Radians)]]-TA[[#This Row],[Angle of affected equipment ]]))</f>
        <v>0.11705240714107301</v>
      </c>
      <c r="AI1368" s="27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43">
        <f t="shared" ref="B1369:B1381" si="160">YEAR(H1369)+IF(MONTH(H1369)&gt;=4,1,0)</f>
        <v>2026</v>
      </c>
      <c r="C1369" s="116">
        <f t="shared" ref="C1369:C1381" si="161">YEAR(H1369)</f>
        <v>2025</v>
      </c>
      <c r="D1369" s="2" t="s">
        <v>155</v>
      </c>
      <c r="E1369" s="2" t="s">
        <v>155</v>
      </c>
      <c r="F1369" s="30">
        <v>45839</v>
      </c>
      <c r="G1369" s="2">
        <f>DAY(EOMONTH(TA[[#This Row],[Month Year]],0))</f>
        <v>31</v>
      </c>
      <c r="H1369" s="21">
        <v>45842</v>
      </c>
      <c r="I1369" s="32">
        <f>IFERROR(VLOOKUP(TA[[#This Row],[Date]],Raw_Data[[Date]:[Sunset Time (POA&lt;20 W/m2)]],3,0),"")</f>
        <v>0.25347222222222221</v>
      </c>
      <c r="J1369" s="32">
        <f>IFERROR(VLOOKUP(TA[[#This Row],[Date]],Raw_Data[[Date]:[Sunset Time (POA&lt;20 W/m2)]],4,0),"")</f>
        <v>0.7729166666666667</v>
      </c>
      <c r="K1369" s="27">
        <f>IFERROR((TA[[#This Row],[Sunset Time (POA&lt;20 W/m2)]]-TA[[#This Row],[Sunrise Time (POA&gt;20 W/m2)]])*24,"")</f>
        <v>12.466666666666669</v>
      </c>
      <c r="L1369" s="2" t="s">
        <v>285</v>
      </c>
      <c r="M1369" s="33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14" t="s">
        <v>309</v>
      </c>
      <c r="Q1369" s="113" t="s">
        <v>309</v>
      </c>
      <c r="R1369">
        <v>131</v>
      </c>
      <c r="S1369" s="2">
        <v>38</v>
      </c>
      <c r="T1369" t="s">
        <v>286</v>
      </c>
      <c r="U1369" t="s">
        <v>291</v>
      </c>
      <c r="V1369" t="s">
        <v>289</v>
      </c>
      <c r="W1369" s="32"/>
      <c r="X1369" s="32"/>
      <c r="Y1369" s="26"/>
      <c r="Z1369" s="26"/>
      <c r="AA1369" s="27">
        <f>IF(TA[[#This Row],[Work Start time on Fault]]="NA","",(TA[[#This Row],[Fault Acknowledgement Time ]]-TA[[#This Row],[Fault Time]])*24)</f>
        <v>0</v>
      </c>
      <c r="AB1369" s="27">
        <f>(TA[[#This Row],[Work Start time on Fault]]-TA[[#This Row],[Fault Time]])*24</f>
        <v>0</v>
      </c>
      <c r="AC1369" s="26">
        <f>(TA[[#This Row],[Work Completion time on fault]]-TA[[#This Row],[Fault Time]])*24</f>
        <v>0</v>
      </c>
      <c r="AD1369" s="27">
        <f>IFERROR((TA[[#This Row],[Work Completion time on fault]]-TA[[#This Row],[Fault Time]])*24,"")</f>
        <v>0</v>
      </c>
      <c r="AE1369" t="s">
        <v>319</v>
      </c>
      <c r="AF1369" t="s">
        <v>247</v>
      </c>
      <c r="AG1369" s="2"/>
      <c r="AH1369" s="35">
        <f>1-COS(RADIANS(TA[[#This Row],[Avg. Target Angle during Fault Time (Radians)]]-TA[[#This Row],[Angle of affected equipment ]]))</f>
        <v>0.11705240714107301</v>
      </c>
      <c r="AI1369" s="27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43">
        <f t="shared" si="160"/>
        <v>2026</v>
      </c>
      <c r="C1370" s="116">
        <f t="shared" si="161"/>
        <v>2025</v>
      </c>
      <c r="D1370" s="2" t="s">
        <v>155</v>
      </c>
      <c r="E1370" s="2" t="s">
        <v>155</v>
      </c>
      <c r="F1370" s="30">
        <v>45839</v>
      </c>
      <c r="G1370" s="2">
        <f>DAY(EOMONTH(TA[[#This Row],[Month Year]],0))</f>
        <v>31</v>
      </c>
      <c r="H1370" s="21">
        <v>45842</v>
      </c>
      <c r="I1370" s="32">
        <f>IFERROR(VLOOKUP(TA[[#This Row],[Date]],Raw_Data[[Date]:[Sunset Time (POA&lt;20 W/m2)]],3,0),"")</f>
        <v>0.25347222222222221</v>
      </c>
      <c r="J1370" s="32">
        <f>IFERROR(VLOOKUP(TA[[#This Row],[Date]],Raw_Data[[Date]:[Sunset Time (POA&lt;20 W/m2)]],4,0),"")</f>
        <v>0.7729166666666667</v>
      </c>
      <c r="K1370" s="27">
        <f>IFERROR((TA[[#This Row],[Sunset Time (POA&lt;20 W/m2)]]-TA[[#This Row],[Sunrise Time (POA&gt;20 W/m2)]])*24,"")</f>
        <v>12.466666666666669</v>
      </c>
      <c r="L1370" s="2" t="s">
        <v>285</v>
      </c>
      <c r="M1370" s="33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14" t="s">
        <v>309</v>
      </c>
      <c r="Q1370" s="113" t="s">
        <v>309</v>
      </c>
      <c r="R1370">
        <v>131</v>
      </c>
      <c r="S1370" s="2">
        <v>39</v>
      </c>
      <c r="T1370" t="s">
        <v>286</v>
      </c>
      <c r="U1370" t="s">
        <v>291</v>
      </c>
      <c r="V1370" t="s">
        <v>289</v>
      </c>
      <c r="W1370" s="32"/>
      <c r="X1370" s="32"/>
      <c r="Y1370" s="26"/>
      <c r="Z1370" s="26"/>
      <c r="AA1370" s="27">
        <f>IF(TA[[#This Row],[Work Start time on Fault]]="NA","",(TA[[#This Row],[Fault Acknowledgement Time ]]-TA[[#This Row],[Fault Time]])*24)</f>
        <v>0</v>
      </c>
      <c r="AB1370" s="27">
        <f>(TA[[#This Row],[Work Start time on Fault]]-TA[[#This Row],[Fault Time]])*24</f>
        <v>0</v>
      </c>
      <c r="AC1370" s="26">
        <f>(TA[[#This Row],[Work Completion time on fault]]-TA[[#This Row],[Fault Time]])*24</f>
        <v>0</v>
      </c>
      <c r="AD1370" s="27">
        <f>IFERROR((TA[[#This Row],[Work Completion time on fault]]-TA[[#This Row],[Fault Time]])*24,"")</f>
        <v>0</v>
      </c>
      <c r="AE1370" t="s">
        <v>319</v>
      </c>
      <c r="AF1370" t="s">
        <v>247</v>
      </c>
      <c r="AG1370" s="2"/>
      <c r="AH1370" s="35">
        <f>1-COS(RADIANS(TA[[#This Row],[Avg. Target Angle during Fault Time (Radians)]]-TA[[#This Row],[Angle of affected equipment ]]))</f>
        <v>0.11705240714107301</v>
      </c>
      <c r="AI1370" s="27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43">
        <f t="shared" si="160"/>
        <v>2026</v>
      </c>
      <c r="C1371" s="116">
        <f t="shared" si="161"/>
        <v>2025</v>
      </c>
      <c r="D1371" s="2" t="s">
        <v>155</v>
      </c>
      <c r="E1371" s="2" t="s">
        <v>155</v>
      </c>
      <c r="F1371" s="30">
        <v>45839</v>
      </c>
      <c r="G1371" s="2">
        <f>DAY(EOMONTH(TA[[#This Row],[Month Year]],0))</f>
        <v>31</v>
      </c>
      <c r="H1371" s="21">
        <v>45842</v>
      </c>
      <c r="I1371" s="32">
        <f>IFERROR(VLOOKUP(TA[[#This Row],[Date]],Raw_Data[[Date]:[Sunset Time (POA&lt;20 W/m2)]],3,0),"")</f>
        <v>0.25347222222222221</v>
      </c>
      <c r="J1371" s="32">
        <f>IFERROR(VLOOKUP(TA[[#This Row],[Date]],Raw_Data[[Date]:[Sunset Time (POA&lt;20 W/m2)]],4,0),"")</f>
        <v>0.7729166666666667</v>
      </c>
      <c r="K1371" s="27">
        <f>IFERROR((TA[[#This Row],[Sunset Time (POA&lt;20 W/m2)]]-TA[[#This Row],[Sunrise Time (POA&gt;20 W/m2)]])*24,"")</f>
        <v>12.466666666666669</v>
      </c>
      <c r="L1371" s="2" t="s">
        <v>287</v>
      </c>
      <c r="M1371" s="33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14" t="s">
        <v>309</v>
      </c>
      <c r="Q1371" s="2" t="s">
        <v>312</v>
      </c>
      <c r="R1371">
        <v>133</v>
      </c>
      <c r="S1371" s="2">
        <v>26</v>
      </c>
      <c r="T1371" t="s">
        <v>288</v>
      </c>
      <c r="U1371" t="s">
        <v>291</v>
      </c>
      <c r="V1371" t="s">
        <v>305</v>
      </c>
      <c r="W1371" s="32">
        <f>IFERROR(VLOOKUP(TA[[#This Row],[Date]],Raw_Data[[Date]:[Sunset Time (POA&lt;20 W/m2)]],3,0),"")</f>
        <v>0.25347222222222221</v>
      </c>
      <c r="X1371" s="32">
        <f>IFERROR(VLOOKUP(TA[[#This Row],[Date]],Raw_Data[[Date]:[Sunset Time (POA&lt;20 W/m2)]],3,0),"")</f>
        <v>0.25347222222222221</v>
      </c>
      <c r="Y1371" s="26"/>
      <c r="Z1371" s="26">
        <v>0.76041666666666663</v>
      </c>
      <c r="AA1371" s="27">
        <f>IF(TA[[#This Row],[Work Start time on Fault]]="NA","",(TA[[#This Row],[Fault Acknowledgement Time ]]-TA[[#This Row],[Fault Time]])*24)</f>
        <v>0</v>
      </c>
      <c r="AB1371" s="27">
        <f>(TA[[#This Row],[Work Start time on Fault]]-TA[[#This Row],[Fault Time]])*24</f>
        <v>-6.083333333333333</v>
      </c>
      <c r="AC1371" s="26">
        <f>(TA[[#This Row],[Work Completion time on fault]]-TA[[#This Row],[Fault Time]])*24</f>
        <v>12.166666666666666</v>
      </c>
      <c r="AD1371" s="27">
        <f>IFERROR((TA[[#This Row],[Work Completion time on fault]]-TA[[#This Row],[Fault Time]])*24,"")</f>
        <v>12.166666666666666</v>
      </c>
      <c r="AE1371" t="s">
        <v>319</v>
      </c>
      <c r="AF1371" t="s">
        <v>247</v>
      </c>
      <c r="AG1371" s="2"/>
      <c r="AH1371" s="35">
        <f>1-COS(RADIANS(TA[[#This Row],[Avg. Target Angle during Fault Time (Radians)]]-TA[[#This Row],[Angle of affected equipment ]]))</f>
        <v>0.11705240714107301</v>
      </c>
      <c r="AI1371" s="27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43">
        <f t="shared" si="160"/>
        <v>2026</v>
      </c>
      <c r="C1372" s="116">
        <f t="shared" si="161"/>
        <v>2025</v>
      </c>
      <c r="D1372" s="2" t="s">
        <v>155</v>
      </c>
      <c r="E1372" s="2" t="s">
        <v>155</v>
      </c>
      <c r="F1372" s="30">
        <v>45839</v>
      </c>
      <c r="G1372" s="2">
        <f>DAY(EOMONTH(TA[[#This Row],[Month Year]],0))</f>
        <v>31</v>
      </c>
      <c r="H1372" s="21">
        <v>45842</v>
      </c>
      <c r="I1372" s="32">
        <f>IFERROR(VLOOKUP(TA[[#This Row],[Date]],Raw_Data[[Date]:[Sunset Time (POA&lt;20 W/m2)]],3,0),"")</f>
        <v>0.25347222222222221</v>
      </c>
      <c r="J1372" s="32">
        <f>IFERROR(VLOOKUP(TA[[#This Row],[Date]],Raw_Data[[Date]:[Sunset Time (POA&lt;20 W/m2)]],4,0),"")</f>
        <v>0.7729166666666667</v>
      </c>
      <c r="K1372" s="27">
        <f>IFERROR((TA[[#This Row],[Sunset Time (POA&lt;20 W/m2)]]-TA[[#This Row],[Sunrise Time (POA&gt;20 W/m2)]])*24,"")</f>
        <v>12.466666666666669</v>
      </c>
      <c r="L1372" s="2" t="s">
        <v>285</v>
      </c>
      <c r="M1372" s="33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14" t="s">
        <v>307</v>
      </c>
      <c r="Q1372" s="113" t="s">
        <v>308</v>
      </c>
      <c r="R1372">
        <v>7</v>
      </c>
      <c r="S1372" s="2">
        <v>32</v>
      </c>
      <c r="T1372" t="s">
        <v>286</v>
      </c>
      <c r="U1372" t="s">
        <v>291</v>
      </c>
      <c r="V1372" t="s">
        <v>289</v>
      </c>
      <c r="W1372" s="32"/>
      <c r="X1372" s="32"/>
      <c r="Y1372" s="26"/>
      <c r="Z1372" s="26"/>
      <c r="AA1372" s="27">
        <f>IF(TA[[#This Row],[Work Start time on Fault]]="NA","",(TA[[#This Row],[Fault Acknowledgement Time ]]-TA[[#This Row],[Fault Time]])*24)</f>
        <v>0</v>
      </c>
      <c r="AB1372" s="27">
        <f>(TA[[#This Row],[Work Start time on Fault]]-TA[[#This Row],[Fault Time]])*24</f>
        <v>0</v>
      </c>
      <c r="AC1372" s="26">
        <f>(TA[[#This Row],[Work Completion time on fault]]-TA[[#This Row],[Fault Time]])*24</f>
        <v>0</v>
      </c>
      <c r="AD1372" s="27">
        <f>IFERROR((TA[[#This Row],[Work Completion time on fault]]-TA[[#This Row],[Fault Time]])*24,"")</f>
        <v>0</v>
      </c>
      <c r="AE1372" t="s">
        <v>319</v>
      </c>
      <c r="AF1372" t="s">
        <v>247</v>
      </c>
      <c r="AG1372" s="2"/>
      <c r="AH1372" s="35">
        <f>1-COS(RADIANS(TA[[#This Row],[Avg. Target Angle during Fault Time (Radians)]]-TA[[#This Row],[Angle of affected equipment ]]))</f>
        <v>0.11705240714107301</v>
      </c>
      <c r="AI1372" s="27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43">
        <f t="shared" si="160"/>
        <v>2026</v>
      </c>
      <c r="C1373" s="116">
        <f t="shared" si="161"/>
        <v>2025</v>
      </c>
      <c r="D1373" s="2" t="s">
        <v>155</v>
      </c>
      <c r="E1373" s="2" t="s">
        <v>155</v>
      </c>
      <c r="F1373" s="30">
        <v>45839</v>
      </c>
      <c r="G1373" s="2">
        <f>DAY(EOMONTH(TA[[#This Row],[Month Year]],0))</f>
        <v>31</v>
      </c>
      <c r="H1373" s="21">
        <v>45842</v>
      </c>
      <c r="I1373" s="32">
        <f>IFERROR(VLOOKUP(TA[[#This Row],[Date]],Raw_Data[[Date]:[Sunset Time (POA&lt;20 W/m2)]],3,0),"")</f>
        <v>0.25347222222222221</v>
      </c>
      <c r="J1373" s="32">
        <f>IFERROR(VLOOKUP(TA[[#This Row],[Date]],Raw_Data[[Date]:[Sunset Time (POA&lt;20 W/m2)]],4,0),"")</f>
        <v>0.7729166666666667</v>
      </c>
      <c r="K1373" s="27">
        <f>IFERROR((TA[[#This Row],[Sunset Time (POA&lt;20 W/m2)]]-TA[[#This Row],[Sunrise Time (POA&gt;20 W/m2)]])*24,"")</f>
        <v>12.466666666666669</v>
      </c>
      <c r="L1373" s="2" t="s">
        <v>285</v>
      </c>
      <c r="M1373" s="33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14" t="s">
        <v>306</v>
      </c>
      <c r="Q1373" s="113" t="s">
        <v>310</v>
      </c>
      <c r="R1373">
        <v>166</v>
      </c>
      <c r="S1373" s="2">
        <v>91</v>
      </c>
      <c r="T1373" t="s">
        <v>286</v>
      </c>
      <c r="U1373" t="s">
        <v>291</v>
      </c>
      <c r="V1373" t="s">
        <v>289</v>
      </c>
      <c r="W1373" s="32"/>
      <c r="X1373" s="32"/>
      <c r="Y1373" s="26"/>
      <c r="Z1373" s="26"/>
      <c r="AA1373" s="27">
        <f>IF(TA[[#This Row],[Work Start time on Fault]]="NA","",(TA[[#This Row],[Fault Acknowledgement Time ]]-TA[[#This Row],[Fault Time]])*24)</f>
        <v>0</v>
      </c>
      <c r="AB1373" s="27">
        <f>(TA[[#This Row],[Work Start time on Fault]]-TA[[#This Row],[Fault Time]])*24</f>
        <v>0</v>
      </c>
      <c r="AC1373" s="26">
        <f>(TA[[#This Row],[Work Completion time on fault]]-TA[[#This Row],[Fault Time]])*24</f>
        <v>0</v>
      </c>
      <c r="AD1373" s="27">
        <f>IFERROR((TA[[#This Row],[Work Completion time on fault]]-TA[[#This Row],[Fault Time]])*24,"")</f>
        <v>0</v>
      </c>
      <c r="AE1373" t="s">
        <v>319</v>
      </c>
      <c r="AF1373" t="s">
        <v>247</v>
      </c>
      <c r="AG1373" s="2"/>
      <c r="AH1373" s="35">
        <f>1-COS(RADIANS(TA[[#This Row],[Avg. Target Angle during Fault Time (Radians)]]-TA[[#This Row],[Angle of affected equipment ]]))</f>
        <v>0.11705240714107301</v>
      </c>
      <c r="AI1373" s="27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43">
        <f t="shared" si="160"/>
        <v>2026</v>
      </c>
      <c r="C1374" s="116">
        <f t="shared" si="161"/>
        <v>2025</v>
      </c>
      <c r="D1374" s="2" t="s">
        <v>155</v>
      </c>
      <c r="E1374" s="2" t="s">
        <v>155</v>
      </c>
      <c r="F1374" s="30">
        <v>45839</v>
      </c>
      <c r="G1374" s="2">
        <f>DAY(EOMONTH(TA[[#This Row],[Month Year]],0))</f>
        <v>31</v>
      </c>
      <c r="H1374" s="21">
        <v>45842</v>
      </c>
      <c r="I1374" s="32">
        <f>IFERROR(VLOOKUP(TA[[#This Row],[Date]],Raw_Data[[Date]:[Sunset Time (POA&lt;20 W/m2)]],3,0),"")</f>
        <v>0.25347222222222221</v>
      </c>
      <c r="J1374" s="32">
        <f>IFERROR(VLOOKUP(TA[[#This Row],[Date]],Raw_Data[[Date]:[Sunset Time (POA&lt;20 W/m2)]],4,0),"")</f>
        <v>0.7729166666666667</v>
      </c>
      <c r="K1374" s="27">
        <f>IFERROR((TA[[#This Row],[Sunset Time (POA&lt;20 W/m2)]]-TA[[#This Row],[Sunrise Time (POA&gt;20 W/m2)]])*24,"")</f>
        <v>12.466666666666669</v>
      </c>
      <c r="L1374" s="2" t="s">
        <v>285</v>
      </c>
      <c r="M1374" s="33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14" t="s">
        <v>307</v>
      </c>
      <c r="Q1374" s="113" t="s">
        <v>307</v>
      </c>
      <c r="R1374">
        <v>117</v>
      </c>
      <c r="S1374" s="2">
        <v>20</v>
      </c>
      <c r="T1374" t="s">
        <v>286</v>
      </c>
      <c r="U1374" t="s">
        <v>291</v>
      </c>
      <c r="V1374" t="s">
        <v>289</v>
      </c>
      <c r="W1374" s="32"/>
      <c r="X1374" s="32"/>
      <c r="Y1374" s="26"/>
      <c r="Z1374" s="26"/>
      <c r="AA1374" s="27">
        <f>IF(TA[[#This Row],[Work Start time on Fault]]="NA","",(TA[[#This Row],[Fault Acknowledgement Time ]]-TA[[#This Row],[Fault Time]])*24)</f>
        <v>0</v>
      </c>
      <c r="AB1374" s="27">
        <f>(TA[[#This Row],[Work Start time on Fault]]-TA[[#This Row],[Fault Time]])*24</f>
        <v>0</v>
      </c>
      <c r="AC1374" s="26">
        <f>(TA[[#This Row],[Work Completion time on fault]]-TA[[#This Row],[Fault Time]])*24</f>
        <v>0</v>
      </c>
      <c r="AD1374" s="27">
        <f>IFERROR((TA[[#This Row],[Work Completion time on fault]]-TA[[#This Row],[Fault Time]])*24,"")</f>
        <v>0</v>
      </c>
      <c r="AE1374" t="s">
        <v>319</v>
      </c>
      <c r="AF1374" t="s">
        <v>247</v>
      </c>
      <c r="AG1374" s="2"/>
      <c r="AH1374" s="35">
        <f>1-COS(RADIANS(TA[[#This Row],[Avg. Target Angle during Fault Time (Radians)]]-TA[[#This Row],[Angle of affected equipment ]]))</f>
        <v>0.11705240714107301</v>
      </c>
      <c r="AI1374" s="27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43">
        <f t="shared" si="160"/>
        <v>2026</v>
      </c>
      <c r="C1375" s="116">
        <f t="shared" si="161"/>
        <v>2025</v>
      </c>
      <c r="D1375" s="2" t="s">
        <v>155</v>
      </c>
      <c r="E1375" s="2" t="s">
        <v>155</v>
      </c>
      <c r="F1375" s="30">
        <v>45839</v>
      </c>
      <c r="G1375" s="2">
        <f>DAY(EOMONTH(TA[[#This Row],[Month Year]],0))</f>
        <v>31</v>
      </c>
      <c r="H1375" s="21">
        <v>45842</v>
      </c>
      <c r="I1375" s="32">
        <f>IFERROR(VLOOKUP(TA[[#This Row],[Date]],Raw_Data[[Date]:[Sunset Time (POA&lt;20 W/m2)]],3,0),"")</f>
        <v>0.25347222222222221</v>
      </c>
      <c r="J1375" s="32">
        <f>IFERROR(VLOOKUP(TA[[#This Row],[Date]],Raw_Data[[Date]:[Sunset Time (POA&lt;20 W/m2)]],4,0),"")</f>
        <v>0.7729166666666667</v>
      </c>
      <c r="K1375" s="27">
        <f>IFERROR((TA[[#This Row],[Sunset Time (POA&lt;20 W/m2)]]-TA[[#This Row],[Sunrise Time (POA&gt;20 W/m2)]])*24,"")</f>
        <v>12.466666666666669</v>
      </c>
      <c r="L1375" s="2" t="s">
        <v>285</v>
      </c>
      <c r="M1375" s="33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14" t="s">
        <v>307</v>
      </c>
      <c r="Q1375" s="113" t="s">
        <v>307</v>
      </c>
      <c r="R1375">
        <v>118</v>
      </c>
      <c r="S1375" s="2">
        <v>22</v>
      </c>
      <c r="T1375" t="s">
        <v>286</v>
      </c>
      <c r="U1375" t="s">
        <v>291</v>
      </c>
      <c r="V1375" t="s">
        <v>289</v>
      </c>
      <c r="W1375" s="32"/>
      <c r="X1375" s="32"/>
      <c r="Y1375" s="26"/>
      <c r="Z1375" s="26"/>
      <c r="AA1375" s="27">
        <f>IF(TA[[#This Row],[Work Start time on Fault]]="NA","",(TA[[#This Row],[Fault Acknowledgement Time ]]-TA[[#This Row],[Fault Time]])*24)</f>
        <v>0</v>
      </c>
      <c r="AB1375" s="27">
        <f>(TA[[#This Row],[Work Start time on Fault]]-TA[[#This Row],[Fault Time]])*24</f>
        <v>0</v>
      </c>
      <c r="AC1375" s="26">
        <f>(TA[[#This Row],[Work Completion time on fault]]-TA[[#This Row],[Fault Time]])*24</f>
        <v>0</v>
      </c>
      <c r="AD1375" s="27">
        <f>IFERROR((TA[[#This Row],[Work Completion time on fault]]-TA[[#This Row],[Fault Time]])*24,"")</f>
        <v>0</v>
      </c>
      <c r="AE1375" t="s">
        <v>319</v>
      </c>
      <c r="AF1375" t="s">
        <v>247</v>
      </c>
      <c r="AG1375" s="2"/>
      <c r="AH1375" s="35">
        <f>1-COS(RADIANS(TA[[#This Row],[Avg. Target Angle during Fault Time (Radians)]]-TA[[#This Row],[Angle of affected equipment ]]))</f>
        <v>0.11705240714107301</v>
      </c>
      <c r="AI1375" s="27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43">
        <f t="shared" si="160"/>
        <v>2026</v>
      </c>
      <c r="C1376" s="116">
        <f t="shared" si="161"/>
        <v>2025</v>
      </c>
      <c r="D1376" s="2" t="s">
        <v>155</v>
      </c>
      <c r="E1376" s="2" t="s">
        <v>155</v>
      </c>
      <c r="F1376" s="30">
        <v>45839</v>
      </c>
      <c r="G1376" s="2">
        <f>DAY(EOMONTH(TA[[#This Row],[Month Year]],0))</f>
        <v>31</v>
      </c>
      <c r="H1376" s="21">
        <v>45842</v>
      </c>
      <c r="I1376" s="32">
        <f>IFERROR(VLOOKUP(TA[[#This Row],[Date]],Raw_Data[[Date]:[Sunset Time (POA&lt;20 W/m2)]],3,0),"")</f>
        <v>0.25347222222222221</v>
      </c>
      <c r="J1376" s="32">
        <f>IFERROR(VLOOKUP(TA[[#This Row],[Date]],Raw_Data[[Date]:[Sunset Time (POA&lt;20 W/m2)]],4,0),"")</f>
        <v>0.7729166666666667</v>
      </c>
      <c r="K1376" s="27">
        <f>IFERROR((TA[[#This Row],[Sunset Time (POA&lt;20 W/m2)]]-TA[[#This Row],[Sunrise Time (POA&gt;20 W/m2)]])*24,"")</f>
        <v>12.466666666666669</v>
      </c>
      <c r="L1376" s="2" t="s">
        <v>287</v>
      </c>
      <c r="M1376" s="33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314</v>
      </c>
      <c r="Q1376" s="2" t="s">
        <v>320</v>
      </c>
      <c r="R1376">
        <v>45</v>
      </c>
      <c r="S1376" s="2">
        <v>8</v>
      </c>
      <c r="T1376" t="s">
        <v>288</v>
      </c>
      <c r="U1376" t="s">
        <v>291</v>
      </c>
      <c r="V1376" t="s">
        <v>292</v>
      </c>
      <c r="W1376" s="32"/>
      <c r="X1376" s="32"/>
      <c r="Y1376" s="26"/>
      <c r="Z1376" s="26"/>
      <c r="AA1376" s="27">
        <f>IF(TA[[#This Row],[Work Start time on Fault]]="NA","",(TA[[#This Row],[Fault Acknowledgement Time ]]-TA[[#This Row],[Fault Time]])*24)</f>
        <v>0</v>
      </c>
      <c r="AB1376" s="27">
        <f>(TA[[#This Row],[Work Start time on Fault]]-TA[[#This Row],[Fault Time]])*24</f>
        <v>0</v>
      </c>
      <c r="AC1376" s="26">
        <f>(TA[[#This Row],[Work Completion time on fault]]-TA[[#This Row],[Fault Time]])*24</f>
        <v>0</v>
      </c>
      <c r="AD1376" s="27">
        <f>IFERROR((TA[[#This Row],[Work Completion time on fault]]-TA[[#This Row],[Fault Time]])*24,"")</f>
        <v>0</v>
      </c>
      <c r="AE1376" t="s">
        <v>319</v>
      </c>
      <c r="AF1376" t="s">
        <v>247</v>
      </c>
      <c r="AG1376" s="2"/>
      <c r="AH1376" s="35">
        <f>1-COS(RADIANS(TA[[#This Row],[Avg. Target Angle during Fault Time (Radians)]]-TA[[#This Row],[Angle of affected equipment ]]))</f>
        <v>0.11705240714107301</v>
      </c>
      <c r="AI1376" s="27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43">
        <f t="shared" si="160"/>
        <v>2026</v>
      </c>
      <c r="C1377" s="116">
        <f t="shared" si="161"/>
        <v>2025</v>
      </c>
      <c r="D1377" s="2" t="s">
        <v>155</v>
      </c>
      <c r="E1377" s="2" t="s">
        <v>155</v>
      </c>
      <c r="F1377" s="30">
        <v>45839</v>
      </c>
      <c r="G1377" s="2">
        <f>DAY(EOMONTH(TA[[#This Row],[Month Year]],0))</f>
        <v>31</v>
      </c>
      <c r="H1377" s="21">
        <v>45842</v>
      </c>
      <c r="I1377" s="32">
        <f>IFERROR(VLOOKUP(TA[[#This Row],[Date]],Raw_Data[[Date]:[Sunset Time (POA&lt;20 W/m2)]],3,0),"")</f>
        <v>0.25347222222222221</v>
      </c>
      <c r="J1377" s="32">
        <f>IFERROR(VLOOKUP(TA[[#This Row],[Date]],Raw_Data[[Date]:[Sunset Time (POA&lt;20 W/m2)]],4,0),"")</f>
        <v>0.7729166666666667</v>
      </c>
      <c r="K1377" s="27">
        <f>IFERROR((TA[[#This Row],[Sunset Time (POA&lt;20 W/m2)]]-TA[[#This Row],[Sunrise Time (POA&gt;20 W/m2)]])*24,"")</f>
        <v>12.466666666666669</v>
      </c>
      <c r="L1377" s="2" t="s">
        <v>287</v>
      </c>
      <c r="M1377" s="33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314</v>
      </c>
      <c r="Q1377" s="2" t="s">
        <v>320</v>
      </c>
      <c r="R1377">
        <v>47</v>
      </c>
      <c r="S1377" s="2">
        <v>18</v>
      </c>
      <c r="T1377" t="s">
        <v>288</v>
      </c>
      <c r="U1377" t="s">
        <v>291</v>
      </c>
      <c r="V1377" t="s">
        <v>292</v>
      </c>
      <c r="W1377" s="32"/>
      <c r="X1377" s="32"/>
      <c r="Y1377" s="26"/>
      <c r="Z1377" s="26"/>
      <c r="AA1377" s="27">
        <f>IF(TA[[#This Row],[Work Start time on Fault]]="NA","",(TA[[#This Row],[Fault Acknowledgement Time ]]-TA[[#This Row],[Fault Time]])*24)</f>
        <v>0</v>
      </c>
      <c r="AB1377" s="27">
        <f>(TA[[#This Row],[Work Start time on Fault]]-TA[[#This Row],[Fault Time]])*24</f>
        <v>0</v>
      </c>
      <c r="AC1377" s="26">
        <f>(TA[[#This Row],[Work Completion time on fault]]-TA[[#This Row],[Fault Time]])*24</f>
        <v>0</v>
      </c>
      <c r="AD1377" s="27">
        <f>IFERROR((TA[[#This Row],[Work Completion time on fault]]-TA[[#This Row],[Fault Time]])*24,"")</f>
        <v>0</v>
      </c>
      <c r="AE1377" t="s">
        <v>319</v>
      </c>
      <c r="AF1377" t="s">
        <v>247</v>
      </c>
      <c r="AG1377" s="2"/>
      <c r="AH1377" s="35">
        <f>1-COS(RADIANS(TA[[#This Row],[Avg. Target Angle during Fault Time (Radians)]]-TA[[#This Row],[Angle of affected equipment ]]))</f>
        <v>0.11705240714107301</v>
      </c>
      <c r="AI1377" s="27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43">
        <f t="shared" si="160"/>
        <v>2026</v>
      </c>
      <c r="C1378" s="116">
        <f t="shared" si="161"/>
        <v>2025</v>
      </c>
      <c r="D1378" s="2" t="s">
        <v>155</v>
      </c>
      <c r="E1378" s="2" t="s">
        <v>155</v>
      </c>
      <c r="F1378" s="30">
        <v>45839</v>
      </c>
      <c r="G1378" s="2">
        <f>DAY(EOMONTH(TA[[#This Row],[Month Year]],0))</f>
        <v>31</v>
      </c>
      <c r="H1378" s="21">
        <v>45842</v>
      </c>
      <c r="I1378" s="32">
        <f>IFERROR(VLOOKUP(TA[[#This Row],[Date]],Raw_Data[[Date]:[Sunset Time (POA&lt;20 W/m2)]],3,0),"")</f>
        <v>0.25347222222222221</v>
      </c>
      <c r="J1378" s="32">
        <f>IFERROR(VLOOKUP(TA[[#This Row],[Date]],Raw_Data[[Date]:[Sunset Time (POA&lt;20 W/m2)]],4,0),"")</f>
        <v>0.7729166666666667</v>
      </c>
      <c r="K1378" s="27">
        <f>IFERROR((TA[[#This Row],[Sunset Time (POA&lt;20 W/m2)]]-TA[[#This Row],[Sunrise Time (POA&gt;20 W/m2)]])*24,"")</f>
        <v>12.466666666666669</v>
      </c>
      <c r="L1378" s="2" t="s">
        <v>287</v>
      </c>
      <c r="M1378" s="33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321</v>
      </c>
      <c r="Q1378" s="2" t="s">
        <v>314</v>
      </c>
      <c r="R1378">
        <v>30</v>
      </c>
      <c r="S1378" s="2">
        <v>57</v>
      </c>
      <c r="T1378" t="s">
        <v>288</v>
      </c>
      <c r="U1378" t="s">
        <v>291</v>
      </c>
      <c r="V1378" t="s">
        <v>292</v>
      </c>
      <c r="W1378" s="32"/>
      <c r="X1378" s="32"/>
      <c r="Y1378" s="26"/>
      <c r="Z1378" s="26"/>
      <c r="AA1378" s="27">
        <f>IF(TA[[#This Row],[Work Start time on Fault]]="NA","",(TA[[#This Row],[Fault Acknowledgement Time ]]-TA[[#This Row],[Fault Time]])*24)</f>
        <v>0</v>
      </c>
      <c r="AB1378" s="27">
        <f>(TA[[#This Row],[Work Start time on Fault]]-TA[[#This Row],[Fault Time]])*24</f>
        <v>0</v>
      </c>
      <c r="AC1378" s="26">
        <f>(TA[[#This Row],[Work Completion time on fault]]-TA[[#This Row],[Fault Time]])*24</f>
        <v>0</v>
      </c>
      <c r="AD1378" s="27">
        <f>IFERROR((TA[[#This Row],[Work Completion time on fault]]-TA[[#This Row],[Fault Time]])*24,"")</f>
        <v>0</v>
      </c>
      <c r="AE1378" t="s">
        <v>319</v>
      </c>
      <c r="AF1378" t="s">
        <v>247</v>
      </c>
      <c r="AG1378" s="2"/>
      <c r="AH1378" s="35">
        <f>1-COS(RADIANS(TA[[#This Row],[Avg. Target Angle during Fault Time (Radians)]]-TA[[#This Row],[Angle of affected equipment ]]))</f>
        <v>0.11705240714107301</v>
      </c>
      <c r="AI1378" s="27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43">
        <f t="shared" si="160"/>
        <v>2026</v>
      </c>
      <c r="C1379" s="116">
        <f t="shared" si="161"/>
        <v>2025</v>
      </c>
      <c r="D1379" s="2" t="s">
        <v>155</v>
      </c>
      <c r="E1379" s="2" t="s">
        <v>155</v>
      </c>
      <c r="F1379" s="30">
        <v>45839</v>
      </c>
      <c r="G1379" s="2">
        <f>DAY(EOMONTH(TA[[#This Row],[Month Year]],0))</f>
        <v>31</v>
      </c>
      <c r="H1379" s="21">
        <v>45842</v>
      </c>
      <c r="I1379" s="32">
        <f>IFERROR(VLOOKUP(TA[[#This Row],[Date]],Raw_Data[[Date]:[Sunset Time (POA&lt;20 W/m2)]],3,0),"")</f>
        <v>0.25347222222222221</v>
      </c>
      <c r="J1379" s="32">
        <f>IFERROR(VLOOKUP(TA[[#This Row],[Date]],Raw_Data[[Date]:[Sunset Time (POA&lt;20 W/m2)]],4,0),"")</f>
        <v>0.7729166666666667</v>
      </c>
      <c r="K1379" s="27">
        <f>IFERROR((TA[[#This Row],[Sunset Time (POA&lt;20 W/m2)]]-TA[[#This Row],[Sunrise Time (POA&gt;20 W/m2)]])*24,"")</f>
        <v>12.466666666666669</v>
      </c>
      <c r="L1379" s="2" t="s">
        <v>287</v>
      </c>
      <c r="M1379" s="33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321</v>
      </c>
      <c r="Q1379" s="2" t="s">
        <v>314</v>
      </c>
      <c r="R1379">
        <v>31</v>
      </c>
      <c r="S1379" s="2">
        <v>61</v>
      </c>
      <c r="T1379" t="s">
        <v>288</v>
      </c>
      <c r="U1379" t="s">
        <v>291</v>
      </c>
      <c r="V1379" t="s">
        <v>292</v>
      </c>
      <c r="W1379" s="32"/>
      <c r="X1379" s="32"/>
      <c r="Y1379" s="26"/>
      <c r="Z1379" s="26"/>
      <c r="AA1379" s="27">
        <f>IF(TA[[#This Row],[Work Start time on Fault]]="NA","",(TA[[#This Row],[Fault Acknowledgement Time ]]-TA[[#This Row],[Fault Time]])*24)</f>
        <v>0</v>
      </c>
      <c r="AB1379" s="27">
        <f>(TA[[#This Row],[Work Start time on Fault]]-TA[[#This Row],[Fault Time]])*24</f>
        <v>0</v>
      </c>
      <c r="AC1379" s="26">
        <f>(TA[[#This Row],[Work Completion time on fault]]-TA[[#This Row],[Fault Time]])*24</f>
        <v>0</v>
      </c>
      <c r="AD1379" s="27">
        <f>IFERROR((TA[[#This Row],[Work Completion time on fault]]-TA[[#This Row],[Fault Time]])*24,"")</f>
        <v>0</v>
      </c>
      <c r="AE1379" t="s">
        <v>319</v>
      </c>
      <c r="AF1379" t="s">
        <v>247</v>
      </c>
      <c r="AG1379" s="2"/>
      <c r="AH1379" s="35">
        <f>1-COS(RADIANS(TA[[#This Row],[Avg. Target Angle during Fault Time (Radians)]]-TA[[#This Row],[Angle of affected equipment ]]))</f>
        <v>0.11705240714107301</v>
      </c>
      <c r="AI1379" s="27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43">
        <f t="shared" si="160"/>
        <v>2026</v>
      </c>
      <c r="C1380" s="116">
        <f t="shared" si="161"/>
        <v>2025</v>
      </c>
      <c r="D1380" s="2" t="s">
        <v>155</v>
      </c>
      <c r="E1380" s="2" t="s">
        <v>155</v>
      </c>
      <c r="F1380" s="30">
        <v>45839</v>
      </c>
      <c r="G1380" s="2">
        <f>DAY(EOMONTH(TA[[#This Row],[Month Year]],0))</f>
        <v>31</v>
      </c>
      <c r="H1380" s="21">
        <v>45842</v>
      </c>
      <c r="I1380" s="32">
        <f>IFERROR(VLOOKUP(TA[[#This Row],[Date]],Raw_Data[[Date]:[Sunset Time (POA&lt;20 W/m2)]],3,0),"")</f>
        <v>0.25347222222222221</v>
      </c>
      <c r="J1380" s="32">
        <f>IFERROR(VLOOKUP(TA[[#This Row],[Date]],Raw_Data[[Date]:[Sunset Time (POA&lt;20 W/m2)]],4,0),"")</f>
        <v>0.7729166666666667</v>
      </c>
      <c r="K1380" s="27">
        <f>IFERROR((TA[[#This Row],[Sunset Time (POA&lt;20 W/m2)]]-TA[[#This Row],[Sunrise Time (POA&gt;20 W/m2)]])*24,"")</f>
        <v>12.466666666666669</v>
      </c>
      <c r="L1380" s="2" t="s">
        <v>303</v>
      </c>
      <c r="M1380" s="33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321</v>
      </c>
      <c r="Q1380" s="2" t="s">
        <v>314</v>
      </c>
      <c r="R1380">
        <v>26</v>
      </c>
      <c r="S1380" s="2">
        <v>37</v>
      </c>
      <c r="T1380" t="s">
        <v>288</v>
      </c>
      <c r="U1380" t="s">
        <v>291</v>
      </c>
      <c r="V1380" t="s">
        <v>292</v>
      </c>
      <c r="W1380" s="32"/>
      <c r="X1380" s="32"/>
      <c r="Y1380" s="26"/>
      <c r="Z1380" s="26"/>
      <c r="AA1380" s="27">
        <f>IF(TA[[#This Row],[Work Start time on Fault]]="NA","",(TA[[#This Row],[Fault Acknowledgement Time ]]-TA[[#This Row],[Fault Time]])*24)</f>
        <v>0</v>
      </c>
      <c r="AB1380" s="27">
        <f>(TA[[#This Row],[Work Start time on Fault]]-TA[[#This Row],[Fault Time]])*24</f>
        <v>0</v>
      </c>
      <c r="AC1380" s="26">
        <f>(TA[[#This Row],[Work Completion time on fault]]-TA[[#This Row],[Fault Time]])*24</f>
        <v>0</v>
      </c>
      <c r="AD1380" s="27">
        <f>IFERROR((TA[[#This Row],[Work Completion time on fault]]-TA[[#This Row],[Fault Time]])*24,"")</f>
        <v>0</v>
      </c>
      <c r="AE1380" t="s">
        <v>319</v>
      </c>
      <c r="AF1380" t="s">
        <v>247</v>
      </c>
      <c r="AG1380" s="2"/>
      <c r="AH1380" s="35">
        <f>1-COS(RADIANS(TA[[#This Row],[Avg. Target Angle during Fault Time (Radians)]]-TA[[#This Row],[Angle of affected equipment ]]))</f>
        <v>0.11705240714107301</v>
      </c>
      <c r="AI1380" s="27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43">
        <f t="shared" si="160"/>
        <v>2026</v>
      </c>
      <c r="C1381" s="116">
        <f t="shared" si="161"/>
        <v>2025</v>
      </c>
      <c r="D1381" s="2" t="s">
        <v>155</v>
      </c>
      <c r="E1381" s="2" t="s">
        <v>155</v>
      </c>
      <c r="F1381" s="30">
        <v>45839</v>
      </c>
      <c r="G1381" s="2">
        <f>DAY(EOMONTH(TA[[#This Row],[Month Year]],0))</f>
        <v>31</v>
      </c>
      <c r="H1381" s="21">
        <v>45842</v>
      </c>
      <c r="I1381" s="32">
        <f>IFERROR(VLOOKUP(TA[[#This Row],[Date]],Raw_Data[[Date]:[Sunset Time (POA&lt;20 W/m2)]],3,0),"")</f>
        <v>0.25347222222222221</v>
      </c>
      <c r="J1381" s="32">
        <f>IFERROR(VLOOKUP(TA[[#This Row],[Date]],Raw_Data[[Date]:[Sunset Time (POA&lt;20 W/m2)]],4,0),"")</f>
        <v>0.7729166666666667</v>
      </c>
      <c r="K1381" s="27">
        <f>IFERROR((TA[[#This Row],[Sunset Time (POA&lt;20 W/m2)]]-TA[[#This Row],[Sunrise Time (POA&gt;20 W/m2)]])*24,"")</f>
        <v>12.466666666666669</v>
      </c>
      <c r="L1381" s="2" t="s">
        <v>303</v>
      </c>
      <c r="M1381" s="33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321</v>
      </c>
      <c r="Q1381" s="2" t="s">
        <v>314</v>
      </c>
      <c r="R1381">
        <v>27</v>
      </c>
      <c r="S1381" s="2">
        <v>42</v>
      </c>
      <c r="T1381" t="s">
        <v>288</v>
      </c>
      <c r="U1381" t="s">
        <v>291</v>
      </c>
      <c r="V1381" t="s">
        <v>292</v>
      </c>
      <c r="W1381" s="32">
        <f>IFERROR(VLOOKUP(TA[[#This Row],[Date]],Raw_Data[[Date]:[Sunset Time (POA&lt;20 W/m2)]],3,0),"")</f>
        <v>0.25347222222222221</v>
      </c>
      <c r="X1381" s="32">
        <f>IFERROR(VLOOKUP(TA[[#This Row],[Date]],Raw_Data[[Date]:[Sunset Time (POA&lt;20 W/m2)]],3,0),"")</f>
        <v>0.25347222222222221</v>
      </c>
      <c r="Y1381" s="26"/>
      <c r="Z1381" s="26">
        <v>0.76041666666666663</v>
      </c>
      <c r="AA1381" s="27">
        <f>IF(TA[[#This Row],[Work Start time on Fault]]="NA","",(TA[[#This Row],[Fault Acknowledgement Time ]]-TA[[#This Row],[Fault Time]])*24)</f>
        <v>0</v>
      </c>
      <c r="AB1381" s="27">
        <f>(TA[[#This Row],[Work Start time on Fault]]-TA[[#This Row],[Fault Time]])*24</f>
        <v>-6.083333333333333</v>
      </c>
      <c r="AC1381" s="26">
        <f>(TA[[#This Row],[Work Completion time on fault]]-TA[[#This Row],[Fault Time]])*24</f>
        <v>12.166666666666666</v>
      </c>
      <c r="AD1381" s="27">
        <f>IFERROR((TA[[#This Row],[Work Completion time on fault]]-TA[[#This Row],[Fault Time]])*24,"")</f>
        <v>12.166666666666666</v>
      </c>
      <c r="AE1381" t="s">
        <v>300</v>
      </c>
      <c r="AF1381" t="s">
        <v>247</v>
      </c>
      <c r="AG1381" s="2"/>
      <c r="AH1381" s="35">
        <f>1-COS(RADIANS(TA[[#This Row],[Avg. Target Angle during Fault Time (Radians)]]-TA[[#This Row],[Angle of affected equipment ]]))</f>
        <v>0.11705240714107301</v>
      </c>
      <c r="AI1381" s="27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43">
        <f t="shared" ref="B1382:B1394" si="163">YEAR(H1382)+IF(MONTH(H1382)&gt;=4,1,0)</f>
        <v>2026</v>
      </c>
      <c r="C1382" s="116">
        <f t="shared" ref="C1382:C1394" si="164">YEAR(H1382)</f>
        <v>2025</v>
      </c>
      <c r="D1382" s="2" t="s">
        <v>155</v>
      </c>
      <c r="E1382" s="2" t="s">
        <v>155</v>
      </c>
      <c r="F1382" s="30">
        <v>45839</v>
      </c>
      <c r="G1382" s="2">
        <f>DAY(EOMONTH(TA[[#This Row],[Month Year]],0))</f>
        <v>31</v>
      </c>
      <c r="H1382" s="21">
        <v>45843</v>
      </c>
      <c r="I1382" s="32">
        <f>IFERROR(VLOOKUP(TA[[#This Row],[Date]],Raw_Data[[Date]:[Sunset Time (POA&lt;20 W/m2)]],3,0),"")</f>
        <v>0.24930555555555556</v>
      </c>
      <c r="J1382" s="32">
        <f>IFERROR(VLOOKUP(TA[[#This Row],[Date]],Raw_Data[[Date]:[Sunset Time (POA&lt;20 W/m2)]],4,0),"")</f>
        <v>0.77777777777777779</v>
      </c>
      <c r="K1382" s="27">
        <f>IFERROR((TA[[#This Row],[Sunset Time (POA&lt;20 W/m2)]]-TA[[#This Row],[Sunrise Time (POA&gt;20 W/m2)]])*24,"")</f>
        <v>12.683333333333334</v>
      </c>
      <c r="L1382" s="2" t="s">
        <v>285</v>
      </c>
      <c r="M1382" s="33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14" t="s">
        <v>309</v>
      </c>
      <c r="Q1382" s="113" t="s">
        <v>309</v>
      </c>
      <c r="R1382">
        <v>131</v>
      </c>
      <c r="S1382" s="2">
        <v>38</v>
      </c>
      <c r="T1382" t="s">
        <v>286</v>
      </c>
      <c r="U1382" t="s">
        <v>291</v>
      </c>
      <c r="V1382" t="s">
        <v>289</v>
      </c>
      <c r="W1382" s="32"/>
      <c r="X1382" s="32"/>
      <c r="Y1382" s="26"/>
      <c r="Z1382" s="26"/>
      <c r="AA1382" s="27">
        <f>IF(TA[[#This Row],[Work Start time on Fault]]="NA","",(TA[[#This Row],[Fault Acknowledgement Time ]]-TA[[#This Row],[Fault Time]])*24)</f>
        <v>0</v>
      </c>
      <c r="AB1382" s="27">
        <f>(TA[[#This Row],[Work Start time on Fault]]-TA[[#This Row],[Fault Time]])*24</f>
        <v>0</v>
      </c>
      <c r="AC1382" s="26">
        <f>(TA[[#This Row],[Work Completion time on fault]]-TA[[#This Row],[Fault Time]])*24</f>
        <v>0</v>
      </c>
      <c r="AD1382" s="27">
        <f>IFERROR((TA[[#This Row],[Work Completion time on fault]]-TA[[#This Row],[Fault Time]])*24,"")</f>
        <v>0</v>
      </c>
      <c r="AE1382" t="s">
        <v>319</v>
      </c>
      <c r="AF1382" t="s">
        <v>247</v>
      </c>
      <c r="AG1382" s="2"/>
      <c r="AH1382" s="35">
        <f>1-COS(RADIANS(TA[[#This Row],[Avg. Target Angle during Fault Time (Radians)]]-TA[[#This Row],[Angle of affected equipment ]]))</f>
        <v>0.11705240714107301</v>
      </c>
      <c r="AI1382" s="27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43">
        <f t="shared" si="163"/>
        <v>2026</v>
      </c>
      <c r="C1383" s="116">
        <f t="shared" si="164"/>
        <v>2025</v>
      </c>
      <c r="D1383" s="2" t="s">
        <v>155</v>
      </c>
      <c r="E1383" s="2" t="s">
        <v>155</v>
      </c>
      <c r="F1383" s="30">
        <v>45839</v>
      </c>
      <c r="G1383" s="2">
        <f>DAY(EOMONTH(TA[[#This Row],[Month Year]],0))</f>
        <v>31</v>
      </c>
      <c r="H1383" s="21">
        <v>45843</v>
      </c>
      <c r="I1383" s="32">
        <f>IFERROR(VLOOKUP(TA[[#This Row],[Date]],Raw_Data[[Date]:[Sunset Time (POA&lt;20 W/m2)]],3,0),"")</f>
        <v>0.24930555555555556</v>
      </c>
      <c r="J1383" s="32">
        <f>IFERROR(VLOOKUP(TA[[#This Row],[Date]],Raw_Data[[Date]:[Sunset Time (POA&lt;20 W/m2)]],4,0),"")</f>
        <v>0.77777777777777779</v>
      </c>
      <c r="K1383" s="27">
        <f>IFERROR((TA[[#This Row],[Sunset Time (POA&lt;20 W/m2)]]-TA[[#This Row],[Sunrise Time (POA&gt;20 W/m2)]])*24,"")</f>
        <v>12.683333333333334</v>
      </c>
      <c r="L1383" s="2" t="s">
        <v>285</v>
      </c>
      <c r="M1383" s="33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14" t="s">
        <v>309</v>
      </c>
      <c r="Q1383" s="113" t="s">
        <v>309</v>
      </c>
      <c r="R1383">
        <v>131</v>
      </c>
      <c r="S1383" s="2">
        <v>39</v>
      </c>
      <c r="T1383" t="s">
        <v>286</v>
      </c>
      <c r="U1383" t="s">
        <v>291</v>
      </c>
      <c r="V1383" t="s">
        <v>289</v>
      </c>
      <c r="W1383" s="32"/>
      <c r="X1383" s="32"/>
      <c r="Y1383" s="26"/>
      <c r="Z1383" s="26"/>
      <c r="AA1383" s="27">
        <f>IF(TA[[#This Row],[Work Start time on Fault]]="NA","",(TA[[#This Row],[Fault Acknowledgement Time ]]-TA[[#This Row],[Fault Time]])*24)</f>
        <v>0</v>
      </c>
      <c r="AB1383" s="27">
        <f>(TA[[#This Row],[Work Start time on Fault]]-TA[[#This Row],[Fault Time]])*24</f>
        <v>0</v>
      </c>
      <c r="AC1383" s="26">
        <f>(TA[[#This Row],[Work Completion time on fault]]-TA[[#This Row],[Fault Time]])*24</f>
        <v>0</v>
      </c>
      <c r="AD1383" s="27">
        <f>IFERROR((TA[[#This Row],[Work Completion time on fault]]-TA[[#This Row],[Fault Time]])*24,"")</f>
        <v>0</v>
      </c>
      <c r="AE1383" t="s">
        <v>319</v>
      </c>
      <c r="AF1383" t="s">
        <v>247</v>
      </c>
      <c r="AG1383" s="2"/>
      <c r="AH1383" s="35">
        <f>1-COS(RADIANS(TA[[#This Row],[Avg. Target Angle during Fault Time (Radians)]]-TA[[#This Row],[Angle of affected equipment ]]))</f>
        <v>0.11705240714107301</v>
      </c>
      <c r="AI1383" s="27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43">
        <f t="shared" si="163"/>
        <v>2026</v>
      </c>
      <c r="C1384" s="116">
        <f t="shared" si="164"/>
        <v>2025</v>
      </c>
      <c r="D1384" s="2" t="s">
        <v>155</v>
      </c>
      <c r="E1384" s="2" t="s">
        <v>155</v>
      </c>
      <c r="F1384" s="30">
        <v>45839</v>
      </c>
      <c r="G1384" s="2">
        <f>DAY(EOMONTH(TA[[#This Row],[Month Year]],0))</f>
        <v>31</v>
      </c>
      <c r="H1384" s="21">
        <v>45843</v>
      </c>
      <c r="I1384" s="32">
        <f>IFERROR(VLOOKUP(TA[[#This Row],[Date]],Raw_Data[[Date]:[Sunset Time (POA&lt;20 W/m2)]],3,0),"")</f>
        <v>0.24930555555555556</v>
      </c>
      <c r="J1384" s="32">
        <f>IFERROR(VLOOKUP(TA[[#This Row],[Date]],Raw_Data[[Date]:[Sunset Time (POA&lt;20 W/m2)]],4,0),"")</f>
        <v>0.77777777777777779</v>
      </c>
      <c r="K1384" s="27">
        <f>IFERROR((TA[[#This Row],[Sunset Time (POA&lt;20 W/m2)]]-TA[[#This Row],[Sunrise Time (POA&gt;20 W/m2)]])*24,"")</f>
        <v>12.683333333333334</v>
      </c>
      <c r="L1384" s="2" t="s">
        <v>287</v>
      </c>
      <c r="M1384" s="33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14" t="s">
        <v>309</v>
      </c>
      <c r="Q1384" s="2" t="s">
        <v>312</v>
      </c>
      <c r="R1384">
        <v>133</v>
      </c>
      <c r="S1384" s="2">
        <v>26</v>
      </c>
      <c r="T1384" t="s">
        <v>288</v>
      </c>
      <c r="U1384" t="s">
        <v>291</v>
      </c>
      <c r="V1384" t="s">
        <v>305</v>
      </c>
      <c r="W1384" s="32">
        <f>IFERROR(VLOOKUP(TA[[#This Row],[Date]],Raw_Data[[Date]:[Sunset Time (POA&lt;20 W/m2)]],3,0),"")</f>
        <v>0.24930555555555556</v>
      </c>
      <c r="X1384" s="32">
        <f>IFERROR(VLOOKUP(TA[[#This Row],[Date]],Raw_Data[[Date]:[Sunset Time (POA&lt;20 W/m2)]],3,0),"")</f>
        <v>0.24930555555555556</v>
      </c>
      <c r="Y1384" s="26"/>
      <c r="Z1384" s="26">
        <v>0.76041666666666663</v>
      </c>
      <c r="AA1384" s="27">
        <f>IF(TA[[#This Row],[Work Start time on Fault]]="NA","",(TA[[#This Row],[Fault Acknowledgement Time ]]-TA[[#This Row],[Fault Time]])*24)</f>
        <v>0</v>
      </c>
      <c r="AB1384" s="27">
        <f>(TA[[#This Row],[Work Start time on Fault]]-TA[[#This Row],[Fault Time]])*24</f>
        <v>-5.9833333333333334</v>
      </c>
      <c r="AC1384" s="26">
        <f>(TA[[#This Row],[Work Completion time on fault]]-TA[[#This Row],[Fault Time]])*24</f>
        <v>12.266666666666666</v>
      </c>
      <c r="AD1384" s="27">
        <f>IFERROR((TA[[#This Row],[Work Completion time on fault]]-TA[[#This Row],[Fault Time]])*24,"")</f>
        <v>12.266666666666666</v>
      </c>
      <c r="AE1384" t="s">
        <v>319</v>
      </c>
      <c r="AF1384" t="s">
        <v>247</v>
      </c>
      <c r="AG1384" s="2"/>
      <c r="AH1384" s="35">
        <f>1-COS(RADIANS(TA[[#This Row],[Avg. Target Angle during Fault Time (Radians)]]-TA[[#This Row],[Angle of affected equipment ]]))</f>
        <v>0.11705240714107301</v>
      </c>
      <c r="AI1384" s="27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43">
        <f t="shared" si="163"/>
        <v>2026</v>
      </c>
      <c r="C1385" s="116">
        <f t="shared" si="164"/>
        <v>2025</v>
      </c>
      <c r="D1385" s="2" t="s">
        <v>155</v>
      </c>
      <c r="E1385" s="2" t="s">
        <v>155</v>
      </c>
      <c r="F1385" s="30">
        <v>45839</v>
      </c>
      <c r="G1385" s="2">
        <f>DAY(EOMONTH(TA[[#This Row],[Month Year]],0))</f>
        <v>31</v>
      </c>
      <c r="H1385" s="21">
        <v>45843</v>
      </c>
      <c r="I1385" s="32">
        <f>IFERROR(VLOOKUP(TA[[#This Row],[Date]],Raw_Data[[Date]:[Sunset Time (POA&lt;20 W/m2)]],3,0),"")</f>
        <v>0.24930555555555556</v>
      </c>
      <c r="J1385" s="32">
        <f>IFERROR(VLOOKUP(TA[[#This Row],[Date]],Raw_Data[[Date]:[Sunset Time (POA&lt;20 W/m2)]],4,0),"")</f>
        <v>0.77777777777777779</v>
      </c>
      <c r="K1385" s="27">
        <f>IFERROR((TA[[#This Row],[Sunset Time (POA&lt;20 W/m2)]]-TA[[#This Row],[Sunrise Time (POA&gt;20 W/m2)]])*24,"")</f>
        <v>12.683333333333334</v>
      </c>
      <c r="L1385" s="2" t="s">
        <v>285</v>
      </c>
      <c r="M1385" s="33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14" t="s">
        <v>307</v>
      </c>
      <c r="Q1385" s="113" t="s">
        <v>308</v>
      </c>
      <c r="R1385">
        <v>7</v>
      </c>
      <c r="S1385" s="2">
        <v>32</v>
      </c>
      <c r="T1385" t="s">
        <v>286</v>
      </c>
      <c r="U1385" t="s">
        <v>291</v>
      </c>
      <c r="V1385" t="s">
        <v>289</v>
      </c>
      <c r="W1385" s="32"/>
      <c r="X1385" s="32"/>
      <c r="Y1385" s="26"/>
      <c r="Z1385" s="26"/>
      <c r="AA1385" s="27">
        <f>IF(TA[[#This Row],[Work Start time on Fault]]="NA","",(TA[[#This Row],[Fault Acknowledgement Time ]]-TA[[#This Row],[Fault Time]])*24)</f>
        <v>0</v>
      </c>
      <c r="AB1385" s="27">
        <f>(TA[[#This Row],[Work Start time on Fault]]-TA[[#This Row],[Fault Time]])*24</f>
        <v>0</v>
      </c>
      <c r="AC1385" s="26">
        <f>(TA[[#This Row],[Work Completion time on fault]]-TA[[#This Row],[Fault Time]])*24</f>
        <v>0</v>
      </c>
      <c r="AD1385" s="27">
        <f>IFERROR((TA[[#This Row],[Work Completion time on fault]]-TA[[#This Row],[Fault Time]])*24,"")</f>
        <v>0</v>
      </c>
      <c r="AE1385" t="s">
        <v>319</v>
      </c>
      <c r="AF1385" t="s">
        <v>247</v>
      </c>
      <c r="AG1385" s="2"/>
      <c r="AH1385" s="35">
        <f>1-COS(RADIANS(TA[[#This Row],[Avg. Target Angle during Fault Time (Radians)]]-TA[[#This Row],[Angle of affected equipment ]]))</f>
        <v>0.11705240714107301</v>
      </c>
      <c r="AI1385" s="27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43">
        <f t="shared" si="163"/>
        <v>2026</v>
      </c>
      <c r="C1386" s="116">
        <f t="shared" si="164"/>
        <v>2025</v>
      </c>
      <c r="D1386" s="2" t="s">
        <v>155</v>
      </c>
      <c r="E1386" s="2" t="s">
        <v>155</v>
      </c>
      <c r="F1386" s="30">
        <v>45839</v>
      </c>
      <c r="G1386" s="2">
        <f>DAY(EOMONTH(TA[[#This Row],[Month Year]],0))</f>
        <v>31</v>
      </c>
      <c r="H1386" s="21">
        <v>45843</v>
      </c>
      <c r="I1386" s="32">
        <f>IFERROR(VLOOKUP(TA[[#This Row],[Date]],Raw_Data[[Date]:[Sunset Time (POA&lt;20 W/m2)]],3,0),"")</f>
        <v>0.24930555555555556</v>
      </c>
      <c r="J1386" s="32">
        <f>IFERROR(VLOOKUP(TA[[#This Row],[Date]],Raw_Data[[Date]:[Sunset Time (POA&lt;20 W/m2)]],4,0),"")</f>
        <v>0.77777777777777779</v>
      </c>
      <c r="K1386" s="27">
        <f>IFERROR((TA[[#This Row],[Sunset Time (POA&lt;20 W/m2)]]-TA[[#This Row],[Sunrise Time (POA&gt;20 W/m2)]])*24,"")</f>
        <v>12.683333333333334</v>
      </c>
      <c r="L1386" s="2" t="s">
        <v>285</v>
      </c>
      <c r="M1386" s="33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14" t="s">
        <v>306</v>
      </c>
      <c r="Q1386" s="113" t="s">
        <v>310</v>
      </c>
      <c r="R1386">
        <v>166</v>
      </c>
      <c r="S1386" s="2">
        <v>91</v>
      </c>
      <c r="T1386" t="s">
        <v>286</v>
      </c>
      <c r="U1386" t="s">
        <v>291</v>
      </c>
      <c r="V1386" t="s">
        <v>289</v>
      </c>
      <c r="W1386" s="32"/>
      <c r="X1386" s="32"/>
      <c r="Y1386" s="26"/>
      <c r="Z1386" s="26"/>
      <c r="AA1386" s="27">
        <f>IF(TA[[#This Row],[Work Start time on Fault]]="NA","",(TA[[#This Row],[Fault Acknowledgement Time ]]-TA[[#This Row],[Fault Time]])*24)</f>
        <v>0</v>
      </c>
      <c r="AB1386" s="27">
        <f>(TA[[#This Row],[Work Start time on Fault]]-TA[[#This Row],[Fault Time]])*24</f>
        <v>0</v>
      </c>
      <c r="AC1386" s="26">
        <f>(TA[[#This Row],[Work Completion time on fault]]-TA[[#This Row],[Fault Time]])*24</f>
        <v>0</v>
      </c>
      <c r="AD1386" s="27">
        <f>IFERROR((TA[[#This Row],[Work Completion time on fault]]-TA[[#This Row],[Fault Time]])*24,"")</f>
        <v>0</v>
      </c>
      <c r="AE1386" t="s">
        <v>319</v>
      </c>
      <c r="AF1386" t="s">
        <v>247</v>
      </c>
      <c r="AG1386" s="2"/>
      <c r="AH1386" s="35">
        <f>1-COS(RADIANS(TA[[#This Row],[Avg. Target Angle during Fault Time (Radians)]]-TA[[#This Row],[Angle of affected equipment ]]))</f>
        <v>0.11705240714107301</v>
      </c>
      <c r="AI1386" s="27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43">
        <f t="shared" si="163"/>
        <v>2026</v>
      </c>
      <c r="C1387" s="116">
        <f t="shared" si="164"/>
        <v>2025</v>
      </c>
      <c r="D1387" s="2" t="s">
        <v>155</v>
      </c>
      <c r="E1387" s="2" t="s">
        <v>155</v>
      </c>
      <c r="F1387" s="30">
        <v>45839</v>
      </c>
      <c r="G1387" s="2">
        <f>DAY(EOMONTH(TA[[#This Row],[Month Year]],0))</f>
        <v>31</v>
      </c>
      <c r="H1387" s="21">
        <v>45843</v>
      </c>
      <c r="I1387" s="32">
        <f>IFERROR(VLOOKUP(TA[[#This Row],[Date]],Raw_Data[[Date]:[Sunset Time (POA&lt;20 W/m2)]],3,0),"")</f>
        <v>0.24930555555555556</v>
      </c>
      <c r="J1387" s="32">
        <f>IFERROR(VLOOKUP(TA[[#This Row],[Date]],Raw_Data[[Date]:[Sunset Time (POA&lt;20 W/m2)]],4,0),"")</f>
        <v>0.77777777777777779</v>
      </c>
      <c r="K1387" s="27">
        <f>IFERROR((TA[[#This Row],[Sunset Time (POA&lt;20 W/m2)]]-TA[[#This Row],[Sunrise Time (POA&gt;20 W/m2)]])*24,"")</f>
        <v>12.683333333333334</v>
      </c>
      <c r="L1387" s="2" t="s">
        <v>285</v>
      </c>
      <c r="M1387" s="33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14" t="s">
        <v>307</v>
      </c>
      <c r="Q1387" s="113" t="s">
        <v>307</v>
      </c>
      <c r="R1387">
        <v>117</v>
      </c>
      <c r="S1387" s="2">
        <v>20</v>
      </c>
      <c r="T1387" t="s">
        <v>286</v>
      </c>
      <c r="U1387" t="s">
        <v>291</v>
      </c>
      <c r="V1387" t="s">
        <v>289</v>
      </c>
      <c r="W1387" s="32"/>
      <c r="X1387" s="32"/>
      <c r="Y1387" s="26"/>
      <c r="Z1387" s="26"/>
      <c r="AA1387" s="27">
        <f>IF(TA[[#This Row],[Work Start time on Fault]]="NA","",(TA[[#This Row],[Fault Acknowledgement Time ]]-TA[[#This Row],[Fault Time]])*24)</f>
        <v>0</v>
      </c>
      <c r="AB1387" s="27">
        <f>(TA[[#This Row],[Work Start time on Fault]]-TA[[#This Row],[Fault Time]])*24</f>
        <v>0</v>
      </c>
      <c r="AC1387" s="26">
        <f>(TA[[#This Row],[Work Completion time on fault]]-TA[[#This Row],[Fault Time]])*24</f>
        <v>0</v>
      </c>
      <c r="AD1387" s="27">
        <f>IFERROR((TA[[#This Row],[Work Completion time on fault]]-TA[[#This Row],[Fault Time]])*24,"")</f>
        <v>0</v>
      </c>
      <c r="AE1387" t="s">
        <v>319</v>
      </c>
      <c r="AF1387" t="s">
        <v>247</v>
      </c>
      <c r="AG1387" s="2"/>
      <c r="AH1387" s="35">
        <f>1-COS(RADIANS(TA[[#This Row],[Avg. Target Angle during Fault Time (Radians)]]-TA[[#This Row],[Angle of affected equipment ]]))</f>
        <v>0.11705240714107301</v>
      </c>
      <c r="AI1387" s="27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43">
        <f t="shared" si="163"/>
        <v>2026</v>
      </c>
      <c r="C1388" s="116">
        <f t="shared" si="164"/>
        <v>2025</v>
      </c>
      <c r="D1388" s="2" t="s">
        <v>155</v>
      </c>
      <c r="E1388" s="2" t="s">
        <v>155</v>
      </c>
      <c r="F1388" s="30">
        <v>45839</v>
      </c>
      <c r="G1388" s="2">
        <f>DAY(EOMONTH(TA[[#This Row],[Month Year]],0))</f>
        <v>31</v>
      </c>
      <c r="H1388" s="21">
        <v>45843</v>
      </c>
      <c r="I1388" s="32">
        <f>IFERROR(VLOOKUP(TA[[#This Row],[Date]],Raw_Data[[Date]:[Sunset Time (POA&lt;20 W/m2)]],3,0),"")</f>
        <v>0.24930555555555556</v>
      </c>
      <c r="J1388" s="32">
        <f>IFERROR(VLOOKUP(TA[[#This Row],[Date]],Raw_Data[[Date]:[Sunset Time (POA&lt;20 W/m2)]],4,0),"")</f>
        <v>0.77777777777777779</v>
      </c>
      <c r="K1388" s="27">
        <f>IFERROR((TA[[#This Row],[Sunset Time (POA&lt;20 W/m2)]]-TA[[#This Row],[Sunrise Time (POA&gt;20 W/m2)]])*24,"")</f>
        <v>12.683333333333334</v>
      </c>
      <c r="L1388" s="2" t="s">
        <v>285</v>
      </c>
      <c r="M1388" s="33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14" t="s">
        <v>307</v>
      </c>
      <c r="Q1388" s="113" t="s">
        <v>307</v>
      </c>
      <c r="R1388">
        <v>118</v>
      </c>
      <c r="S1388" s="2">
        <v>22</v>
      </c>
      <c r="T1388" t="s">
        <v>286</v>
      </c>
      <c r="U1388" t="s">
        <v>291</v>
      </c>
      <c r="V1388" t="s">
        <v>289</v>
      </c>
      <c r="W1388" s="32"/>
      <c r="X1388" s="32"/>
      <c r="Y1388" s="26"/>
      <c r="Z1388" s="26"/>
      <c r="AA1388" s="27">
        <f>IF(TA[[#This Row],[Work Start time on Fault]]="NA","",(TA[[#This Row],[Fault Acknowledgement Time ]]-TA[[#This Row],[Fault Time]])*24)</f>
        <v>0</v>
      </c>
      <c r="AB1388" s="27">
        <f>(TA[[#This Row],[Work Start time on Fault]]-TA[[#This Row],[Fault Time]])*24</f>
        <v>0</v>
      </c>
      <c r="AC1388" s="26">
        <f>(TA[[#This Row],[Work Completion time on fault]]-TA[[#This Row],[Fault Time]])*24</f>
        <v>0</v>
      </c>
      <c r="AD1388" s="27">
        <f>IFERROR((TA[[#This Row],[Work Completion time on fault]]-TA[[#This Row],[Fault Time]])*24,"")</f>
        <v>0</v>
      </c>
      <c r="AE1388" t="s">
        <v>319</v>
      </c>
      <c r="AF1388" t="s">
        <v>247</v>
      </c>
      <c r="AG1388" s="2"/>
      <c r="AH1388" s="35">
        <f>1-COS(RADIANS(TA[[#This Row],[Avg. Target Angle during Fault Time (Radians)]]-TA[[#This Row],[Angle of affected equipment ]]))</f>
        <v>0.11705240714107301</v>
      </c>
      <c r="AI1388" s="27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43">
        <f t="shared" si="163"/>
        <v>2026</v>
      </c>
      <c r="C1389" s="116">
        <f t="shared" si="164"/>
        <v>2025</v>
      </c>
      <c r="D1389" s="2" t="s">
        <v>155</v>
      </c>
      <c r="E1389" s="2" t="s">
        <v>155</v>
      </c>
      <c r="F1389" s="30">
        <v>45839</v>
      </c>
      <c r="G1389" s="2">
        <f>DAY(EOMONTH(TA[[#This Row],[Month Year]],0))</f>
        <v>31</v>
      </c>
      <c r="H1389" s="21">
        <v>45843</v>
      </c>
      <c r="I1389" s="32">
        <f>IFERROR(VLOOKUP(TA[[#This Row],[Date]],Raw_Data[[Date]:[Sunset Time (POA&lt;20 W/m2)]],3,0),"")</f>
        <v>0.24930555555555556</v>
      </c>
      <c r="J1389" s="32">
        <f>IFERROR(VLOOKUP(TA[[#This Row],[Date]],Raw_Data[[Date]:[Sunset Time (POA&lt;20 W/m2)]],4,0),"")</f>
        <v>0.77777777777777779</v>
      </c>
      <c r="K1389" s="27">
        <f>IFERROR((TA[[#This Row],[Sunset Time (POA&lt;20 W/m2)]]-TA[[#This Row],[Sunrise Time (POA&gt;20 W/m2)]])*24,"")</f>
        <v>12.683333333333334</v>
      </c>
      <c r="L1389" s="2" t="s">
        <v>287</v>
      </c>
      <c r="M1389" s="33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314</v>
      </c>
      <c r="Q1389" s="2" t="s">
        <v>320</v>
      </c>
      <c r="R1389">
        <v>45</v>
      </c>
      <c r="S1389" s="2">
        <v>8</v>
      </c>
      <c r="T1389" t="s">
        <v>288</v>
      </c>
      <c r="U1389" t="s">
        <v>291</v>
      </c>
      <c r="V1389" t="s">
        <v>292</v>
      </c>
      <c r="W1389" s="32"/>
      <c r="X1389" s="32"/>
      <c r="Y1389" s="26"/>
      <c r="Z1389" s="26"/>
      <c r="AA1389" s="27">
        <f>IF(TA[[#This Row],[Work Start time on Fault]]="NA","",(TA[[#This Row],[Fault Acknowledgement Time ]]-TA[[#This Row],[Fault Time]])*24)</f>
        <v>0</v>
      </c>
      <c r="AB1389" s="27">
        <f>(TA[[#This Row],[Work Start time on Fault]]-TA[[#This Row],[Fault Time]])*24</f>
        <v>0</v>
      </c>
      <c r="AC1389" s="26">
        <f>(TA[[#This Row],[Work Completion time on fault]]-TA[[#This Row],[Fault Time]])*24</f>
        <v>0</v>
      </c>
      <c r="AD1389" s="27">
        <f>IFERROR((TA[[#This Row],[Work Completion time on fault]]-TA[[#This Row],[Fault Time]])*24,"")</f>
        <v>0</v>
      </c>
      <c r="AE1389" t="s">
        <v>319</v>
      </c>
      <c r="AF1389" t="s">
        <v>247</v>
      </c>
      <c r="AG1389" s="2"/>
      <c r="AH1389" s="35">
        <f>1-COS(RADIANS(TA[[#This Row],[Avg. Target Angle during Fault Time (Radians)]]-TA[[#This Row],[Angle of affected equipment ]]))</f>
        <v>0.11705240714107301</v>
      </c>
      <c r="AI1389" s="27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43">
        <f t="shared" si="163"/>
        <v>2026</v>
      </c>
      <c r="C1390" s="116">
        <f t="shared" si="164"/>
        <v>2025</v>
      </c>
      <c r="D1390" s="2" t="s">
        <v>155</v>
      </c>
      <c r="E1390" s="2" t="s">
        <v>155</v>
      </c>
      <c r="F1390" s="30">
        <v>45839</v>
      </c>
      <c r="G1390" s="2">
        <f>DAY(EOMONTH(TA[[#This Row],[Month Year]],0))</f>
        <v>31</v>
      </c>
      <c r="H1390" s="21">
        <v>45843</v>
      </c>
      <c r="I1390" s="32">
        <f>IFERROR(VLOOKUP(TA[[#This Row],[Date]],Raw_Data[[Date]:[Sunset Time (POA&lt;20 W/m2)]],3,0),"")</f>
        <v>0.24930555555555556</v>
      </c>
      <c r="J1390" s="32">
        <f>IFERROR(VLOOKUP(TA[[#This Row],[Date]],Raw_Data[[Date]:[Sunset Time (POA&lt;20 W/m2)]],4,0),"")</f>
        <v>0.77777777777777779</v>
      </c>
      <c r="K1390" s="27">
        <f>IFERROR((TA[[#This Row],[Sunset Time (POA&lt;20 W/m2)]]-TA[[#This Row],[Sunrise Time (POA&gt;20 W/m2)]])*24,"")</f>
        <v>12.683333333333334</v>
      </c>
      <c r="L1390" s="2" t="s">
        <v>287</v>
      </c>
      <c r="M1390" s="33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314</v>
      </c>
      <c r="Q1390" s="2" t="s">
        <v>320</v>
      </c>
      <c r="R1390">
        <v>47</v>
      </c>
      <c r="S1390" s="2">
        <v>18</v>
      </c>
      <c r="T1390" t="s">
        <v>288</v>
      </c>
      <c r="U1390" t="s">
        <v>291</v>
      </c>
      <c r="V1390" t="s">
        <v>292</v>
      </c>
      <c r="W1390" s="32"/>
      <c r="X1390" s="32"/>
      <c r="Y1390" s="26"/>
      <c r="Z1390" s="26"/>
      <c r="AA1390" s="27">
        <f>IF(TA[[#This Row],[Work Start time on Fault]]="NA","",(TA[[#This Row],[Fault Acknowledgement Time ]]-TA[[#This Row],[Fault Time]])*24)</f>
        <v>0</v>
      </c>
      <c r="AB1390" s="27">
        <f>(TA[[#This Row],[Work Start time on Fault]]-TA[[#This Row],[Fault Time]])*24</f>
        <v>0</v>
      </c>
      <c r="AC1390" s="26">
        <f>(TA[[#This Row],[Work Completion time on fault]]-TA[[#This Row],[Fault Time]])*24</f>
        <v>0</v>
      </c>
      <c r="AD1390" s="27">
        <f>IFERROR((TA[[#This Row],[Work Completion time on fault]]-TA[[#This Row],[Fault Time]])*24,"")</f>
        <v>0</v>
      </c>
      <c r="AE1390" t="s">
        <v>319</v>
      </c>
      <c r="AF1390" t="s">
        <v>247</v>
      </c>
      <c r="AG1390" s="2"/>
      <c r="AH1390" s="35">
        <f>1-COS(RADIANS(TA[[#This Row],[Avg. Target Angle during Fault Time (Radians)]]-TA[[#This Row],[Angle of affected equipment ]]))</f>
        <v>0.11705240714107301</v>
      </c>
      <c r="AI1390" s="27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43">
        <f t="shared" si="163"/>
        <v>2026</v>
      </c>
      <c r="C1391" s="116">
        <f t="shared" si="164"/>
        <v>2025</v>
      </c>
      <c r="D1391" s="2" t="s">
        <v>155</v>
      </c>
      <c r="E1391" s="2" t="s">
        <v>155</v>
      </c>
      <c r="F1391" s="30">
        <v>45839</v>
      </c>
      <c r="G1391" s="2">
        <f>DAY(EOMONTH(TA[[#This Row],[Month Year]],0))</f>
        <v>31</v>
      </c>
      <c r="H1391" s="21">
        <v>45843</v>
      </c>
      <c r="I1391" s="32">
        <f>IFERROR(VLOOKUP(TA[[#This Row],[Date]],Raw_Data[[Date]:[Sunset Time (POA&lt;20 W/m2)]],3,0),"")</f>
        <v>0.24930555555555556</v>
      </c>
      <c r="J1391" s="32">
        <f>IFERROR(VLOOKUP(TA[[#This Row],[Date]],Raw_Data[[Date]:[Sunset Time (POA&lt;20 W/m2)]],4,0),"")</f>
        <v>0.77777777777777779</v>
      </c>
      <c r="K1391" s="27">
        <f>IFERROR((TA[[#This Row],[Sunset Time (POA&lt;20 W/m2)]]-TA[[#This Row],[Sunrise Time (POA&gt;20 W/m2)]])*24,"")</f>
        <v>12.683333333333334</v>
      </c>
      <c r="L1391" s="2" t="s">
        <v>287</v>
      </c>
      <c r="M1391" s="33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321</v>
      </c>
      <c r="Q1391" s="2" t="s">
        <v>314</v>
      </c>
      <c r="R1391">
        <v>30</v>
      </c>
      <c r="S1391" s="2">
        <v>57</v>
      </c>
      <c r="T1391" t="s">
        <v>288</v>
      </c>
      <c r="U1391" t="s">
        <v>291</v>
      </c>
      <c r="V1391" t="s">
        <v>292</v>
      </c>
      <c r="W1391" s="32"/>
      <c r="X1391" s="32"/>
      <c r="Y1391" s="26"/>
      <c r="Z1391" s="26"/>
      <c r="AA1391" s="27">
        <f>IF(TA[[#This Row],[Work Start time on Fault]]="NA","",(TA[[#This Row],[Fault Acknowledgement Time ]]-TA[[#This Row],[Fault Time]])*24)</f>
        <v>0</v>
      </c>
      <c r="AB1391" s="27">
        <f>(TA[[#This Row],[Work Start time on Fault]]-TA[[#This Row],[Fault Time]])*24</f>
        <v>0</v>
      </c>
      <c r="AC1391" s="26">
        <f>(TA[[#This Row],[Work Completion time on fault]]-TA[[#This Row],[Fault Time]])*24</f>
        <v>0</v>
      </c>
      <c r="AD1391" s="27">
        <f>IFERROR((TA[[#This Row],[Work Completion time on fault]]-TA[[#This Row],[Fault Time]])*24,"")</f>
        <v>0</v>
      </c>
      <c r="AE1391" t="s">
        <v>319</v>
      </c>
      <c r="AF1391" t="s">
        <v>247</v>
      </c>
      <c r="AG1391" s="2"/>
      <c r="AH1391" s="35">
        <f>1-COS(RADIANS(TA[[#This Row],[Avg. Target Angle during Fault Time (Radians)]]-TA[[#This Row],[Angle of affected equipment ]]))</f>
        <v>0.11705240714107301</v>
      </c>
      <c r="AI1391" s="27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43">
        <f t="shared" si="163"/>
        <v>2026</v>
      </c>
      <c r="C1392" s="116">
        <f t="shared" si="164"/>
        <v>2025</v>
      </c>
      <c r="D1392" s="2" t="s">
        <v>155</v>
      </c>
      <c r="E1392" s="2" t="s">
        <v>155</v>
      </c>
      <c r="F1392" s="30">
        <v>45839</v>
      </c>
      <c r="G1392" s="2">
        <f>DAY(EOMONTH(TA[[#This Row],[Month Year]],0))</f>
        <v>31</v>
      </c>
      <c r="H1392" s="21">
        <v>45843</v>
      </c>
      <c r="I1392" s="32">
        <f>IFERROR(VLOOKUP(TA[[#This Row],[Date]],Raw_Data[[Date]:[Sunset Time (POA&lt;20 W/m2)]],3,0),"")</f>
        <v>0.24930555555555556</v>
      </c>
      <c r="J1392" s="32">
        <f>IFERROR(VLOOKUP(TA[[#This Row],[Date]],Raw_Data[[Date]:[Sunset Time (POA&lt;20 W/m2)]],4,0),"")</f>
        <v>0.77777777777777779</v>
      </c>
      <c r="K1392" s="27">
        <f>IFERROR((TA[[#This Row],[Sunset Time (POA&lt;20 W/m2)]]-TA[[#This Row],[Sunrise Time (POA&gt;20 W/m2)]])*24,"")</f>
        <v>12.683333333333334</v>
      </c>
      <c r="L1392" s="2" t="s">
        <v>287</v>
      </c>
      <c r="M1392" s="33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321</v>
      </c>
      <c r="Q1392" s="2" t="s">
        <v>314</v>
      </c>
      <c r="R1392">
        <v>31</v>
      </c>
      <c r="S1392" s="2">
        <v>61</v>
      </c>
      <c r="T1392" t="s">
        <v>288</v>
      </c>
      <c r="U1392" t="s">
        <v>291</v>
      </c>
      <c r="V1392" t="s">
        <v>292</v>
      </c>
      <c r="W1392" s="32"/>
      <c r="X1392" s="32"/>
      <c r="Y1392" s="26"/>
      <c r="Z1392" s="26"/>
      <c r="AA1392" s="27">
        <f>IF(TA[[#This Row],[Work Start time on Fault]]="NA","",(TA[[#This Row],[Fault Acknowledgement Time ]]-TA[[#This Row],[Fault Time]])*24)</f>
        <v>0</v>
      </c>
      <c r="AB1392" s="27">
        <f>(TA[[#This Row],[Work Start time on Fault]]-TA[[#This Row],[Fault Time]])*24</f>
        <v>0</v>
      </c>
      <c r="AC1392" s="26">
        <f>(TA[[#This Row],[Work Completion time on fault]]-TA[[#This Row],[Fault Time]])*24</f>
        <v>0</v>
      </c>
      <c r="AD1392" s="27">
        <f>IFERROR((TA[[#This Row],[Work Completion time on fault]]-TA[[#This Row],[Fault Time]])*24,"")</f>
        <v>0</v>
      </c>
      <c r="AE1392" t="s">
        <v>319</v>
      </c>
      <c r="AF1392" t="s">
        <v>247</v>
      </c>
      <c r="AG1392" s="2"/>
      <c r="AH1392" s="35">
        <f>1-COS(RADIANS(TA[[#This Row],[Avg. Target Angle during Fault Time (Radians)]]-TA[[#This Row],[Angle of affected equipment ]]))</f>
        <v>0.11705240714107301</v>
      </c>
      <c r="AI1392" s="27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43">
        <f t="shared" si="163"/>
        <v>2026</v>
      </c>
      <c r="C1393" s="116">
        <f t="shared" si="164"/>
        <v>2025</v>
      </c>
      <c r="D1393" s="2" t="s">
        <v>155</v>
      </c>
      <c r="E1393" s="2" t="s">
        <v>155</v>
      </c>
      <c r="F1393" s="30">
        <v>45839</v>
      </c>
      <c r="G1393" s="2">
        <f>DAY(EOMONTH(TA[[#This Row],[Month Year]],0))</f>
        <v>31</v>
      </c>
      <c r="H1393" s="21">
        <v>45843</v>
      </c>
      <c r="I1393" s="32">
        <f>IFERROR(VLOOKUP(TA[[#This Row],[Date]],Raw_Data[[Date]:[Sunset Time (POA&lt;20 W/m2)]],3,0),"")</f>
        <v>0.24930555555555556</v>
      </c>
      <c r="J1393" s="32">
        <f>IFERROR(VLOOKUP(TA[[#This Row],[Date]],Raw_Data[[Date]:[Sunset Time (POA&lt;20 W/m2)]],4,0),"")</f>
        <v>0.77777777777777779</v>
      </c>
      <c r="K1393" s="27">
        <f>IFERROR((TA[[#This Row],[Sunset Time (POA&lt;20 W/m2)]]-TA[[#This Row],[Sunrise Time (POA&gt;20 W/m2)]])*24,"")</f>
        <v>12.683333333333334</v>
      </c>
      <c r="L1393" s="2" t="s">
        <v>303</v>
      </c>
      <c r="M1393" s="33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321</v>
      </c>
      <c r="Q1393" s="2" t="s">
        <v>314</v>
      </c>
      <c r="R1393">
        <v>26</v>
      </c>
      <c r="S1393" s="2">
        <v>37</v>
      </c>
      <c r="T1393" t="s">
        <v>288</v>
      </c>
      <c r="U1393" t="s">
        <v>291</v>
      </c>
      <c r="V1393" t="s">
        <v>292</v>
      </c>
      <c r="W1393" s="32"/>
      <c r="X1393" s="32"/>
      <c r="Y1393" s="26"/>
      <c r="Z1393" s="26"/>
      <c r="AA1393" s="27">
        <f>IF(TA[[#This Row],[Work Start time on Fault]]="NA","",(TA[[#This Row],[Fault Acknowledgement Time ]]-TA[[#This Row],[Fault Time]])*24)</f>
        <v>0</v>
      </c>
      <c r="AB1393" s="27">
        <f>(TA[[#This Row],[Work Start time on Fault]]-TA[[#This Row],[Fault Time]])*24</f>
        <v>0</v>
      </c>
      <c r="AC1393" s="26">
        <f>(TA[[#This Row],[Work Completion time on fault]]-TA[[#This Row],[Fault Time]])*24</f>
        <v>0</v>
      </c>
      <c r="AD1393" s="27">
        <f>IFERROR((TA[[#This Row],[Work Completion time on fault]]-TA[[#This Row],[Fault Time]])*24,"")</f>
        <v>0</v>
      </c>
      <c r="AE1393" t="s">
        <v>319</v>
      </c>
      <c r="AF1393" t="s">
        <v>247</v>
      </c>
      <c r="AG1393" s="2"/>
      <c r="AH1393" s="35">
        <f>1-COS(RADIANS(TA[[#This Row],[Avg. Target Angle during Fault Time (Radians)]]-TA[[#This Row],[Angle of affected equipment ]]))</f>
        <v>0.11705240714107301</v>
      </c>
      <c r="AI1393" s="27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43">
        <f t="shared" si="163"/>
        <v>2026</v>
      </c>
      <c r="C1394" s="116">
        <f t="shared" si="164"/>
        <v>2025</v>
      </c>
      <c r="D1394" s="2" t="s">
        <v>155</v>
      </c>
      <c r="E1394" s="2" t="s">
        <v>155</v>
      </c>
      <c r="F1394" s="30">
        <v>45839</v>
      </c>
      <c r="G1394" s="2">
        <f>DAY(EOMONTH(TA[[#This Row],[Month Year]],0))</f>
        <v>31</v>
      </c>
      <c r="H1394" s="21">
        <v>45843</v>
      </c>
      <c r="I1394" s="32">
        <f>IFERROR(VLOOKUP(TA[[#This Row],[Date]],Raw_Data[[Date]:[Sunset Time (POA&lt;20 W/m2)]],3,0),"")</f>
        <v>0.24930555555555556</v>
      </c>
      <c r="J1394" s="32">
        <f>IFERROR(VLOOKUP(TA[[#This Row],[Date]],Raw_Data[[Date]:[Sunset Time (POA&lt;20 W/m2)]],4,0),"")</f>
        <v>0.77777777777777779</v>
      </c>
      <c r="K1394" s="27">
        <f>IFERROR((TA[[#This Row],[Sunset Time (POA&lt;20 W/m2)]]-TA[[#This Row],[Sunrise Time (POA&gt;20 W/m2)]])*24,"")</f>
        <v>12.683333333333334</v>
      </c>
      <c r="L1394" s="2" t="s">
        <v>303</v>
      </c>
      <c r="M1394" s="33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321</v>
      </c>
      <c r="Q1394" s="2" t="s">
        <v>314</v>
      </c>
      <c r="R1394">
        <v>27</v>
      </c>
      <c r="S1394" s="2">
        <v>42</v>
      </c>
      <c r="T1394" t="s">
        <v>288</v>
      </c>
      <c r="U1394" t="s">
        <v>291</v>
      </c>
      <c r="V1394" t="s">
        <v>292</v>
      </c>
      <c r="W1394" s="32">
        <f>IFERROR(VLOOKUP(TA[[#This Row],[Date]],Raw_Data[[Date]:[Sunset Time (POA&lt;20 W/m2)]],3,0),"")</f>
        <v>0.24930555555555556</v>
      </c>
      <c r="X1394" s="32">
        <f>IFERROR(VLOOKUP(TA[[#This Row],[Date]],Raw_Data[[Date]:[Sunset Time (POA&lt;20 W/m2)]],3,0),"")</f>
        <v>0.24930555555555556</v>
      </c>
      <c r="Y1394" s="26"/>
      <c r="Z1394" s="26">
        <v>0.76041666666666663</v>
      </c>
      <c r="AA1394" s="27">
        <f>IF(TA[[#This Row],[Work Start time on Fault]]="NA","",(TA[[#This Row],[Fault Acknowledgement Time ]]-TA[[#This Row],[Fault Time]])*24)</f>
        <v>0</v>
      </c>
      <c r="AB1394" s="27">
        <f>(TA[[#This Row],[Work Start time on Fault]]-TA[[#This Row],[Fault Time]])*24</f>
        <v>-5.9833333333333334</v>
      </c>
      <c r="AC1394" s="26">
        <f>(TA[[#This Row],[Work Completion time on fault]]-TA[[#This Row],[Fault Time]])*24</f>
        <v>12.266666666666666</v>
      </c>
      <c r="AD1394" s="27">
        <f>IFERROR((TA[[#This Row],[Work Completion time on fault]]-TA[[#This Row],[Fault Time]])*24,"")</f>
        <v>12.266666666666666</v>
      </c>
      <c r="AE1394" t="s">
        <v>300</v>
      </c>
      <c r="AF1394" t="s">
        <v>247</v>
      </c>
      <c r="AG1394" s="2"/>
      <c r="AH1394" s="35">
        <f>1-COS(RADIANS(TA[[#This Row],[Avg. Target Angle during Fault Time (Radians)]]-TA[[#This Row],[Angle of affected equipment ]]))</f>
        <v>0.11705240714107301</v>
      </c>
      <c r="AI1394" s="27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43">
        <f t="shared" ref="B1395:B1407" si="166">YEAR(H1395)+IF(MONTH(H1395)&gt;=4,1,0)</f>
        <v>2026</v>
      </c>
      <c r="C1395" s="116">
        <f t="shared" ref="C1395:C1407" si="167">YEAR(H1395)</f>
        <v>2025</v>
      </c>
      <c r="D1395" s="2" t="s">
        <v>155</v>
      </c>
      <c r="E1395" s="2" t="s">
        <v>155</v>
      </c>
      <c r="F1395" s="30">
        <v>45839</v>
      </c>
      <c r="G1395" s="2">
        <f>DAY(EOMONTH(TA[[#This Row],[Month Year]],0))</f>
        <v>31</v>
      </c>
      <c r="H1395" s="21">
        <v>45844</v>
      </c>
      <c r="I1395" s="32">
        <f>IFERROR(VLOOKUP(TA[[#This Row],[Date]],Raw_Data[[Date]:[Sunset Time (POA&lt;20 W/m2)]],3,0),"")</f>
        <v>0.26041666666666669</v>
      </c>
      <c r="J1395" s="32">
        <f>IFERROR(VLOOKUP(TA[[#This Row],[Date]],Raw_Data[[Date]:[Sunset Time (POA&lt;20 W/m2)]],4,0),"")</f>
        <v>0.77777777777777779</v>
      </c>
      <c r="K1395" s="27">
        <f>IFERROR((TA[[#This Row],[Sunset Time (POA&lt;20 W/m2)]]-TA[[#This Row],[Sunrise Time (POA&gt;20 W/m2)]])*24,"")</f>
        <v>12.416666666666668</v>
      </c>
      <c r="L1395" s="2" t="s">
        <v>285</v>
      </c>
      <c r="M1395" s="33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14" t="s">
        <v>309</v>
      </c>
      <c r="Q1395" s="113" t="s">
        <v>309</v>
      </c>
      <c r="R1395">
        <v>131</v>
      </c>
      <c r="S1395" s="2">
        <v>38</v>
      </c>
      <c r="T1395" t="s">
        <v>286</v>
      </c>
      <c r="U1395" t="s">
        <v>291</v>
      </c>
      <c r="V1395" t="s">
        <v>289</v>
      </c>
      <c r="W1395" s="32"/>
      <c r="X1395" s="32"/>
      <c r="Y1395" s="26"/>
      <c r="Z1395" s="26"/>
      <c r="AA1395" s="27">
        <f>IF(TA[[#This Row],[Work Start time on Fault]]="NA","",(TA[[#This Row],[Fault Acknowledgement Time ]]-TA[[#This Row],[Fault Time]])*24)</f>
        <v>0</v>
      </c>
      <c r="AB1395" s="27">
        <f>(TA[[#This Row],[Work Start time on Fault]]-TA[[#This Row],[Fault Time]])*24</f>
        <v>0</v>
      </c>
      <c r="AC1395" s="26">
        <f>(TA[[#This Row],[Work Completion time on fault]]-TA[[#This Row],[Fault Time]])*24</f>
        <v>0</v>
      </c>
      <c r="AD1395" s="27">
        <f>IFERROR((TA[[#This Row],[Work Completion time on fault]]-TA[[#This Row],[Fault Time]])*24,"")</f>
        <v>0</v>
      </c>
      <c r="AE1395" t="s">
        <v>319</v>
      </c>
      <c r="AF1395" t="s">
        <v>247</v>
      </c>
      <c r="AG1395" s="2"/>
      <c r="AH1395" s="35">
        <f>1-COS(RADIANS(TA[[#This Row],[Avg. Target Angle during Fault Time (Radians)]]-TA[[#This Row],[Angle of affected equipment ]]))</f>
        <v>0.11705240714107301</v>
      </c>
      <c r="AI1395" s="27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43">
        <f t="shared" si="166"/>
        <v>2026</v>
      </c>
      <c r="C1396" s="116">
        <f t="shared" si="167"/>
        <v>2025</v>
      </c>
      <c r="D1396" s="2" t="s">
        <v>155</v>
      </c>
      <c r="E1396" s="2" t="s">
        <v>155</v>
      </c>
      <c r="F1396" s="30">
        <v>45839</v>
      </c>
      <c r="G1396" s="2">
        <f>DAY(EOMONTH(TA[[#This Row],[Month Year]],0))</f>
        <v>31</v>
      </c>
      <c r="H1396" s="21">
        <v>45844</v>
      </c>
      <c r="I1396" s="32">
        <f>IFERROR(VLOOKUP(TA[[#This Row],[Date]],Raw_Data[[Date]:[Sunset Time (POA&lt;20 W/m2)]],3,0),"")</f>
        <v>0.26041666666666669</v>
      </c>
      <c r="J1396" s="32">
        <f>IFERROR(VLOOKUP(TA[[#This Row],[Date]],Raw_Data[[Date]:[Sunset Time (POA&lt;20 W/m2)]],4,0),"")</f>
        <v>0.77777777777777779</v>
      </c>
      <c r="K1396" s="27">
        <f>IFERROR((TA[[#This Row],[Sunset Time (POA&lt;20 W/m2)]]-TA[[#This Row],[Sunrise Time (POA&gt;20 W/m2)]])*24,"")</f>
        <v>12.416666666666668</v>
      </c>
      <c r="L1396" s="2" t="s">
        <v>285</v>
      </c>
      <c r="M1396" s="33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14" t="s">
        <v>309</v>
      </c>
      <c r="Q1396" s="113" t="s">
        <v>309</v>
      </c>
      <c r="R1396">
        <v>131</v>
      </c>
      <c r="S1396" s="2">
        <v>39</v>
      </c>
      <c r="T1396" t="s">
        <v>286</v>
      </c>
      <c r="U1396" t="s">
        <v>291</v>
      </c>
      <c r="V1396" t="s">
        <v>289</v>
      </c>
      <c r="W1396" s="32"/>
      <c r="X1396" s="32"/>
      <c r="Y1396" s="26"/>
      <c r="Z1396" s="26"/>
      <c r="AA1396" s="27">
        <f>IF(TA[[#This Row],[Work Start time on Fault]]="NA","",(TA[[#This Row],[Fault Acknowledgement Time ]]-TA[[#This Row],[Fault Time]])*24)</f>
        <v>0</v>
      </c>
      <c r="AB1396" s="27">
        <f>(TA[[#This Row],[Work Start time on Fault]]-TA[[#This Row],[Fault Time]])*24</f>
        <v>0</v>
      </c>
      <c r="AC1396" s="26">
        <f>(TA[[#This Row],[Work Completion time on fault]]-TA[[#This Row],[Fault Time]])*24</f>
        <v>0</v>
      </c>
      <c r="AD1396" s="27">
        <f>IFERROR((TA[[#This Row],[Work Completion time on fault]]-TA[[#This Row],[Fault Time]])*24,"")</f>
        <v>0</v>
      </c>
      <c r="AE1396" t="s">
        <v>319</v>
      </c>
      <c r="AF1396" t="s">
        <v>247</v>
      </c>
      <c r="AG1396" s="2"/>
      <c r="AH1396" s="35">
        <f>1-COS(RADIANS(TA[[#This Row],[Avg. Target Angle during Fault Time (Radians)]]-TA[[#This Row],[Angle of affected equipment ]]))</f>
        <v>0.11705240714107301</v>
      </c>
      <c r="AI1396" s="27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43">
        <f t="shared" si="166"/>
        <v>2026</v>
      </c>
      <c r="C1397" s="116">
        <f t="shared" si="167"/>
        <v>2025</v>
      </c>
      <c r="D1397" s="2" t="s">
        <v>155</v>
      </c>
      <c r="E1397" s="2" t="s">
        <v>155</v>
      </c>
      <c r="F1397" s="30">
        <v>45839</v>
      </c>
      <c r="G1397" s="2">
        <f>DAY(EOMONTH(TA[[#This Row],[Month Year]],0))</f>
        <v>31</v>
      </c>
      <c r="H1397" s="21">
        <v>45844</v>
      </c>
      <c r="I1397" s="32">
        <f>IFERROR(VLOOKUP(TA[[#This Row],[Date]],Raw_Data[[Date]:[Sunset Time (POA&lt;20 W/m2)]],3,0),"")</f>
        <v>0.26041666666666669</v>
      </c>
      <c r="J1397" s="32">
        <f>IFERROR(VLOOKUP(TA[[#This Row],[Date]],Raw_Data[[Date]:[Sunset Time (POA&lt;20 W/m2)]],4,0),"")</f>
        <v>0.77777777777777779</v>
      </c>
      <c r="K1397" s="27">
        <f>IFERROR((TA[[#This Row],[Sunset Time (POA&lt;20 W/m2)]]-TA[[#This Row],[Sunrise Time (POA&gt;20 W/m2)]])*24,"")</f>
        <v>12.416666666666668</v>
      </c>
      <c r="L1397" s="2" t="s">
        <v>287</v>
      </c>
      <c r="M1397" s="33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14" t="s">
        <v>309</v>
      </c>
      <c r="Q1397" s="2" t="s">
        <v>312</v>
      </c>
      <c r="R1397">
        <v>133</v>
      </c>
      <c r="S1397" s="2">
        <v>26</v>
      </c>
      <c r="T1397" t="s">
        <v>288</v>
      </c>
      <c r="U1397" t="s">
        <v>291</v>
      </c>
      <c r="V1397" t="s">
        <v>305</v>
      </c>
      <c r="W1397" s="32">
        <f>IFERROR(VLOOKUP(TA[[#This Row],[Date]],Raw_Data[[Date]:[Sunset Time (POA&lt;20 W/m2)]],3,0),"")</f>
        <v>0.26041666666666669</v>
      </c>
      <c r="X1397" s="32">
        <f>IFERROR(VLOOKUP(TA[[#This Row],[Date]],Raw_Data[[Date]:[Sunset Time (POA&lt;20 W/m2)]],3,0),"")</f>
        <v>0.26041666666666669</v>
      </c>
      <c r="Y1397" s="26"/>
      <c r="Z1397" s="26">
        <v>0.76041666666666663</v>
      </c>
      <c r="AA1397" s="27">
        <f>IF(TA[[#This Row],[Work Start time on Fault]]="NA","",(TA[[#This Row],[Fault Acknowledgement Time ]]-TA[[#This Row],[Fault Time]])*24)</f>
        <v>0</v>
      </c>
      <c r="AB1397" s="27">
        <f>(TA[[#This Row],[Work Start time on Fault]]-TA[[#This Row],[Fault Time]])*24</f>
        <v>-6.25</v>
      </c>
      <c r="AC1397" s="26">
        <f>(TA[[#This Row],[Work Completion time on fault]]-TA[[#This Row],[Fault Time]])*24</f>
        <v>11.999999999999998</v>
      </c>
      <c r="AD1397" s="27">
        <f>IFERROR((TA[[#This Row],[Work Completion time on fault]]-TA[[#This Row],[Fault Time]])*24,"")</f>
        <v>11.999999999999998</v>
      </c>
      <c r="AE1397" t="s">
        <v>319</v>
      </c>
      <c r="AF1397" t="s">
        <v>247</v>
      </c>
      <c r="AG1397" s="2"/>
      <c r="AH1397" s="35">
        <f>1-COS(RADIANS(TA[[#This Row],[Avg. Target Angle during Fault Time (Radians)]]-TA[[#This Row],[Angle of affected equipment ]]))</f>
        <v>0.11705240714107301</v>
      </c>
      <c r="AI1397" s="27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43">
        <f t="shared" si="166"/>
        <v>2026</v>
      </c>
      <c r="C1398" s="116">
        <f t="shared" si="167"/>
        <v>2025</v>
      </c>
      <c r="D1398" s="2" t="s">
        <v>155</v>
      </c>
      <c r="E1398" s="2" t="s">
        <v>155</v>
      </c>
      <c r="F1398" s="30">
        <v>45839</v>
      </c>
      <c r="G1398" s="2">
        <f>DAY(EOMONTH(TA[[#This Row],[Month Year]],0))</f>
        <v>31</v>
      </c>
      <c r="H1398" s="21">
        <v>45844</v>
      </c>
      <c r="I1398" s="32">
        <f>IFERROR(VLOOKUP(TA[[#This Row],[Date]],Raw_Data[[Date]:[Sunset Time (POA&lt;20 W/m2)]],3,0),"")</f>
        <v>0.26041666666666669</v>
      </c>
      <c r="J1398" s="32">
        <f>IFERROR(VLOOKUP(TA[[#This Row],[Date]],Raw_Data[[Date]:[Sunset Time (POA&lt;20 W/m2)]],4,0),"")</f>
        <v>0.77777777777777779</v>
      </c>
      <c r="K1398" s="27">
        <f>IFERROR((TA[[#This Row],[Sunset Time (POA&lt;20 W/m2)]]-TA[[#This Row],[Sunrise Time (POA&gt;20 W/m2)]])*24,"")</f>
        <v>12.416666666666668</v>
      </c>
      <c r="L1398" s="2" t="s">
        <v>285</v>
      </c>
      <c r="M1398" s="33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14" t="s">
        <v>307</v>
      </c>
      <c r="Q1398" s="113" t="s">
        <v>308</v>
      </c>
      <c r="R1398">
        <v>7</v>
      </c>
      <c r="S1398" s="2">
        <v>32</v>
      </c>
      <c r="T1398" t="s">
        <v>286</v>
      </c>
      <c r="U1398" t="s">
        <v>291</v>
      </c>
      <c r="V1398" t="s">
        <v>289</v>
      </c>
      <c r="W1398" s="32"/>
      <c r="X1398" s="32"/>
      <c r="Y1398" s="26"/>
      <c r="Z1398" s="26"/>
      <c r="AA1398" s="27">
        <f>IF(TA[[#This Row],[Work Start time on Fault]]="NA","",(TA[[#This Row],[Fault Acknowledgement Time ]]-TA[[#This Row],[Fault Time]])*24)</f>
        <v>0</v>
      </c>
      <c r="AB1398" s="27">
        <f>(TA[[#This Row],[Work Start time on Fault]]-TA[[#This Row],[Fault Time]])*24</f>
        <v>0</v>
      </c>
      <c r="AC1398" s="26">
        <f>(TA[[#This Row],[Work Completion time on fault]]-TA[[#This Row],[Fault Time]])*24</f>
        <v>0</v>
      </c>
      <c r="AD1398" s="27">
        <f>IFERROR((TA[[#This Row],[Work Completion time on fault]]-TA[[#This Row],[Fault Time]])*24,"")</f>
        <v>0</v>
      </c>
      <c r="AE1398" t="s">
        <v>319</v>
      </c>
      <c r="AF1398" t="s">
        <v>247</v>
      </c>
      <c r="AG1398" s="2"/>
      <c r="AH1398" s="35">
        <f>1-COS(RADIANS(TA[[#This Row],[Avg. Target Angle during Fault Time (Radians)]]-TA[[#This Row],[Angle of affected equipment ]]))</f>
        <v>0.11705240714107301</v>
      </c>
      <c r="AI1398" s="27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43">
        <f t="shared" si="166"/>
        <v>2026</v>
      </c>
      <c r="C1399" s="116">
        <f t="shared" si="167"/>
        <v>2025</v>
      </c>
      <c r="D1399" s="2" t="s">
        <v>155</v>
      </c>
      <c r="E1399" s="2" t="s">
        <v>155</v>
      </c>
      <c r="F1399" s="30">
        <v>45839</v>
      </c>
      <c r="G1399" s="2">
        <f>DAY(EOMONTH(TA[[#This Row],[Month Year]],0))</f>
        <v>31</v>
      </c>
      <c r="H1399" s="21">
        <v>45844</v>
      </c>
      <c r="I1399" s="32">
        <f>IFERROR(VLOOKUP(TA[[#This Row],[Date]],Raw_Data[[Date]:[Sunset Time (POA&lt;20 W/m2)]],3,0),"")</f>
        <v>0.26041666666666669</v>
      </c>
      <c r="J1399" s="32">
        <f>IFERROR(VLOOKUP(TA[[#This Row],[Date]],Raw_Data[[Date]:[Sunset Time (POA&lt;20 W/m2)]],4,0),"")</f>
        <v>0.77777777777777779</v>
      </c>
      <c r="K1399" s="27">
        <f>IFERROR((TA[[#This Row],[Sunset Time (POA&lt;20 W/m2)]]-TA[[#This Row],[Sunrise Time (POA&gt;20 W/m2)]])*24,"")</f>
        <v>12.416666666666668</v>
      </c>
      <c r="L1399" s="2" t="s">
        <v>285</v>
      </c>
      <c r="M1399" s="33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14" t="s">
        <v>306</v>
      </c>
      <c r="Q1399" s="113" t="s">
        <v>310</v>
      </c>
      <c r="R1399">
        <v>166</v>
      </c>
      <c r="S1399" s="2">
        <v>91</v>
      </c>
      <c r="T1399" t="s">
        <v>286</v>
      </c>
      <c r="U1399" t="s">
        <v>291</v>
      </c>
      <c r="V1399" t="s">
        <v>289</v>
      </c>
      <c r="W1399" s="32"/>
      <c r="X1399" s="32"/>
      <c r="Y1399" s="26"/>
      <c r="Z1399" s="26"/>
      <c r="AA1399" s="27">
        <f>IF(TA[[#This Row],[Work Start time on Fault]]="NA","",(TA[[#This Row],[Fault Acknowledgement Time ]]-TA[[#This Row],[Fault Time]])*24)</f>
        <v>0</v>
      </c>
      <c r="AB1399" s="27">
        <f>(TA[[#This Row],[Work Start time on Fault]]-TA[[#This Row],[Fault Time]])*24</f>
        <v>0</v>
      </c>
      <c r="AC1399" s="26">
        <f>(TA[[#This Row],[Work Completion time on fault]]-TA[[#This Row],[Fault Time]])*24</f>
        <v>0</v>
      </c>
      <c r="AD1399" s="27">
        <f>IFERROR((TA[[#This Row],[Work Completion time on fault]]-TA[[#This Row],[Fault Time]])*24,"")</f>
        <v>0</v>
      </c>
      <c r="AE1399" t="s">
        <v>319</v>
      </c>
      <c r="AF1399" t="s">
        <v>247</v>
      </c>
      <c r="AG1399" s="2"/>
      <c r="AH1399" s="35">
        <f>1-COS(RADIANS(TA[[#This Row],[Avg. Target Angle during Fault Time (Radians)]]-TA[[#This Row],[Angle of affected equipment ]]))</f>
        <v>0.11705240714107301</v>
      </c>
      <c r="AI1399" s="27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43">
        <f t="shared" si="166"/>
        <v>2026</v>
      </c>
      <c r="C1400" s="116">
        <f t="shared" si="167"/>
        <v>2025</v>
      </c>
      <c r="D1400" s="2" t="s">
        <v>155</v>
      </c>
      <c r="E1400" s="2" t="s">
        <v>155</v>
      </c>
      <c r="F1400" s="30">
        <v>45839</v>
      </c>
      <c r="G1400" s="2">
        <f>DAY(EOMONTH(TA[[#This Row],[Month Year]],0))</f>
        <v>31</v>
      </c>
      <c r="H1400" s="21">
        <v>45844</v>
      </c>
      <c r="I1400" s="32">
        <f>IFERROR(VLOOKUP(TA[[#This Row],[Date]],Raw_Data[[Date]:[Sunset Time (POA&lt;20 W/m2)]],3,0),"")</f>
        <v>0.26041666666666669</v>
      </c>
      <c r="J1400" s="32">
        <f>IFERROR(VLOOKUP(TA[[#This Row],[Date]],Raw_Data[[Date]:[Sunset Time (POA&lt;20 W/m2)]],4,0),"")</f>
        <v>0.77777777777777779</v>
      </c>
      <c r="K1400" s="27">
        <f>IFERROR((TA[[#This Row],[Sunset Time (POA&lt;20 W/m2)]]-TA[[#This Row],[Sunrise Time (POA&gt;20 W/m2)]])*24,"")</f>
        <v>12.416666666666668</v>
      </c>
      <c r="L1400" s="2" t="s">
        <v>285</v>
      </c>
      <c r="M1400" s="33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14" t="s">
        <v>307</v>
      </c>
      <c r="Q1400" s="113" t="s">
        <v>307</v>
      </c>
      <c r="R1400">
        <v>117</v>
      </c>
      <c r="S1400" s="2">
        <v>20</v>
      </c>
      <c r="T1400" t="s">
        <v>286</v>
      </c>
      <c r="U1400" t="s">
        <v>291</v>
      </c>
      <c r="V1400" t="s">
        <v>289</v>
      </c>
      <c r="W1400" s="32"/>
      <c r="X1400" s="32"/>
      <c r="Y1400" s="26"/>
      <c r="Z1400" s="26"/>
      <c r="AA1400" s="27">
        <f>IF(TA[[#This Row],[Work Start time on Fault]]="NA","",(TA[[#This Row],[Fault Acknowledgement Time ]]-TA[[#This Row],[Fault Time]])*24)</f>
        <v>0</v>
      </c>
      <c r="AB1400" s="27">
        <f>(TA[[#This Row],[Work Start time on Fault]]-TA[[#This Row],[Fault Time]])*24</f>
        <v>0</v>
      </c>
      <c r="AC1400" s="26">
        <f>(TA[[#This Row],[Work Completion time on fault]]-TA[[#This Row],[Fault Time]])*24</f>
        <v>0</v>
      </c>
      <c r="AD1400" s="27">
        <f>IFERROR((TA[[#This Row],[Work Completion time on fault]]-TA[[#This Row],[Fault Time]])*24,"")</f>
        <v>0</v>
      </c>
      <c r="AE1400" t="s">
        <v>319</v>
      </c>
      <c r="AF1400" t="s">
        <v>247</v>
      </c>
      <c r="AG1400" s="2"/>
      <c r="AH1400" s="35">
        <f>1-COS(RADIANS(TA[[#This Row],[Avg. Target Angle during Fault Time (Radians)]]-TA[[#This Row],[Angle of affected equipment ]]))</f>
        <v>0.11705240714107301</v>
      </c>
      <c r="AI1400" s="27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43">
        <f t="shared" si="166"/>
        <v>2026</v>
      </c>
      <c r="C1401" s="116">
        <f t="shared" si="167"/>
        <v>2025</v>
      </c>
      <c r="D1401" s="2" t="s">
        <v>155</v>
      </c>
      <c r="E1401" s="2" t="s">
        <v>155</v>
      </c>
      <c r="F1401" s="30">
        <v>45839</v>
      </c>
      <c r="G1401" s="2">
        <f>DAY(EOMONTH(TA[[#This Row],[Month Year]],0))</f>
        <v>31</v>
      </c>
      <c r="H1401" s="21">
        <v>45844</v>
      </c>
      <c r="I1401" s="32">
        <f>IFERROR(VLOOKUP(TA[[#This Row],[Date]],Raw_Data[[Date]:[Sunset Time (POA&lt;20 W/m2)]],3,0),"")</f>
        <v>0.26041666666666669</v>
      </c>
      <c r="J1401" s="32">
        <f>IFERROR(VLOOKUP(TA[[#This Row],[Date]],Raw_Data[[Date]:[Sunset Time (POA&lt;20 W/m2)]],4,0),"")</f>
        <v>0.77777777777777779</v>
      </c>
      <c r="K1401" s="27">
        <f>IFERROR((TA[[#This Row],[Sunset Time (POA&lt;20 W/m2)]]-TA[[#This Row],[Sunrise Time (POA&gt;20 W/m2)]])*24,"")</f>
        <v>12.416666666666668</v>
      </c>
      <c r="L1401" s="2" t="s">
        <v>285</v>
      </c>
      <c r="M1401" s="33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14" t="s">
        <v>307</v>
      </c>
      <c r="Q1401" s="113" t="s">
        <v>307</v>
      </c>
      <c r="R1401">
        <v>118</v>
      </c>
      <c r="S1401" s="2">
        <v>22</v>
      </c>
      <c r="T1401" t="s">
        <v>286</v>
      </c>
      <c r="U1401" t="s">
        <v>291</v>
      </c>
      <c r="V1401" t="s">
        <v>289</v>
      </c>
      <c r="W1401" s="32"/>
      <c r="X1401" s="32"/>
      <c r="Y1401" s="26"/>
      <c r="Z1401" s="26"/>
      <c r="AA1401" s="27">
        <f>IF(TA[[#This Row],[Work Start time on Fault]]="NA","",(TA[[#This Row],[Fault Acknowledgement Time ]]-TA[[#This Row],[Fault Time]])*24)</f>
        <v>0</v>
      </c>
      <c r="AB1401" s="27">
        <f>(TA[[#This Row],[Work Start time on Fault]]-TA[[#This Row],[Fault Time]])*24</f>
        <v>0</v>
      </c>
      <c r="AC1401" s="26">
        <f>(TA[[#This Row],[Work Completion time on fault]]-TA[[#This Row],[Fault Time]])*24</f>
        <v>0</v>
      </c>
      <c r="AD1401" s="27">
        <f>IFERROR((TA[[#This Row],[Work Completion time on fault]]-TA[[#This Row],[Fault Time]])*24,"")</f>
        <v>0</v>
      </c>
      <c r="AE1401" t="s">
        <v>319</v>
      </c>
      <c r="AF1401" t="s">
        <v>247</v>
      </c>
      <c r="AG1401" s="2"/>
      <c r="AH1401" s="35">
        <f>1-COS(RADIANS(TA[[#This Row],[Avg. Target Angle during Fault Time (Radians)]]-TA[[#This Row],[Angle of affected equipment ]]))</f>
        <v>0.11705240714107301</v>
      </c>
      <c r="AI1401" s="27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43">
        <f t="shared" si="166"/>
        <v>2026</v>
      </c>
      <c r="C1402" s="116">
        <f t="shared" si="167"/>
        <v>2025</v>
      </c>
      <c r="D1402" s="2" t="s">
        <v>155</v>
      </c>
      <c r="E1402" s="2" t="s">
        <v>155</v>
      </c>
      <c r="F1402" s="30">
        <v>45839</v>
      </c>
      <c r="G1402" s="2">
        <f>DAY(EOMONTH(TA[[#This Row],[Month Year]],0))</f>
        <v>31</v>
      </c>
      <c r="H1402" s="21">
        <v>45844</v>
      </c>
      <c r="I1402" s="32">
        <f>IFERROR(VLOOKUP(TA[[#This Row],[Date]],Raw_Data[[Date]:[Sunset Time (POA&lt;20 W/m2)]],3,0),"")</f>
        <v>0.26041666666666669</v>
      </c>
      <c r="J1402" s="32">
        <f>IFERROR(VLOOKUP(TA[[#This Row],[Date]],Raw_Data[[Date]:[Sunset Time (POA&lt;20 W/m2)]],4,0),"")</f>
        <v>0.77777777777777779</v>
      </c>
      <c r="K1402" s="27">
        <f>IFERROR((TA[[#This Row],[Sunset Time (POA&lt;20 W/m2)]]-TA[[#This Row],[Sunrise Time (POA&gt;20 W/m2)]])*24,"")</f>
        <v>12.416666666666668</v>
      </c>
      <c r="L1402" s="2" t="s">
        <v>287</v>
      </c>
      <c r="M1402" s="33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314</v>
      </c>
      <c r="Q1402" s="2" t="s">
        <v>320</v>
      </c>
      <c r="R1402">
        <v>45</v>
      </c>
      <c r="S1402" s="2">
        <v>8</v>
      </c>
      <c r="T1402" t="s">
        <v>288</v>
      </c>
      <c r="U1402" t="s">
        <v>291</v>
      </c>
      <c r="V1402" t="s">
        <v>292</v>
      </c>
      <c r="W1402" s="32"/>
      <c r="X1402" s="32"/>
      <c r="Y1402" s="26"/>
      <c r="Z1402" s="26"/>
      <c r="AA1402" s="27">
        <f>IF(TA[[#This Row],[Work Start time on Fault]]="NA","",(TA[[#This Row],[Fault Acknowledgement Time ]]-TA[[#This Row],[Fault Time]])*24)</f>
        <v>0</v>
      </c>
      <c r="AB1402" s="27">
        <f>(TA[[#This Row],[Work Start time on Fault]]-TA[[#This Row],[Fault Time]])*24</f>
        <v>0</v>
      </c>
      <c r="AC1402" s="26">
        <f>(TA[[#This Row],[Work Completion time on fault]]-TA[[#This Row],[Fault Time]])*24</f>
        <v>0</v>
      </c>
      <c r="AD1402" s="27">
        <f>IFERROR((TA[[#This Row],[Work Completion time on fault]]-TA[[#This Row],[Fault Time]])*24,"")</f>
        <v>0</v>
      </c>
      <c r="AE1402" t="s">
        <v>319</v>
      </c>
      <c r="AF1402" t="s">
        <v>247</v>
      </c>
      <c r="AG1402" s="2"/>
      <c r="AH1402" s="35">
        <f>1-COS(RADIANS(TA[[#This Row],[Avg. Target Angle during Fault Time (Radians)]]-TA[[#This Row],[Angle of affected equipment ]]))</f>
        <v>0.11705240714107301</v>
      </c>
      <c r="AI1402" s="27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43">
        <f t="shared" si="166"/>
        <v>2026</v>
      </c>
      <c r="C1403" s="116">
        <f t="shared" si="167"/>
        <v>2025</v>
      </c>
      <c r="D1403" s="2" t="s">
        <v>155</v>
      </c>
      <c r="E1403" s="2" t="s">
        <v>155</v>
      </c>
      <c r="F1403" s="30">
        <v>45839</v>
      </c>
      <c r="G1403" s="2">
        <f>DAY(EOMONTH(TA[[#This Row],[Month Year]],0))</f>
        <v>31</v>
      </c>
      <c r="H1403" s="21">
        <v>45844</v>
      </c>
      <c r="I1403" s="32">
        <f>IFERROR(VLOOKUP(TA[[#This Row],[Date]],Raw_Data[[Date]:[Sunset Time (POA&lt;20 W/m2)]],3,0),"")</f>
        <v>0.26041666666666669</v>
      </c>
      <c r="J1403" s="32">
        <f>IFERROR(VLOOKUP(TA[[#This Row],[Date]],Raw_Data[[Date]:[Sunset Time (POA&lt;20 W/m2)]],4,0),"")</f>
        <v>0.77777777777777779</v>
      </c>
      <c r="K1403" s="27">
        <f>IFERROR((TA[[#This Row],[Sunset Time (POA&lt;20 W/m2)]]-TA[[#This Row],[Sunrise Time (POA&gt;20 W/m2)]])*24,"")</f>
        <v>12.416666666666668</v>
      </c>
      <c r="L1403" s="2" t="s">
        <v>287</v>
      </c>
      <c r="M1403" s="33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314</v>
      </c>
      <c r="Q1403" s="2" t="s">
        <v>320</v>
      </c>
      <c r="R1403">
        <v>47</v>
      </c>
      <c r="S1403" s="2">
        <v>18</v>
      </c>
      <c r="T1403" t="s">
        <v>288</v>
      </c>
      <c r="U1403" t="s">
        <v>291</v>
      </c>
      <c r="V1403" t="s">
        <v>292</v>
      </c>
      <c r="W1403" s="32"/>
      <c r="X1403" s="32"/>
      <c r="Y1403" s="26"/>
      <c r="Z1403" s="26"/>
      <c r="AA1403" s="27">
        <f>IF(TA[[#This Row],[Work Start time on Fault]]="NA","",(TA[[#This Row],[Fault Acknowledgement Time ]]-TA[[#This Row],[Fault Time]])*24)</f>
        <v>0</v>
      </c>
      <c r="AB1403" s="27">
        <f>(TA[[#This Row],[Work Start time on Fault]]-TA[[#This Row],[Fault Time]])*24</f>
        <v>0</v>
      </c>
      <c r="AC1403" s="26">
        <f>(TA[[#This Row],[Work Completion time on fault]]-TA[[#This Row],[Fault Time]])*24</f>
        <v>0</v>
      </c>
      <c r="AD1403" s="27">
        <f>IFERROR((TA[[#This Row],[Work Completion time on fault]]-TA[[#This Row],[Fault Time]])*24,"")</f>
        <v>0</v>
      </c>
      <c r="AE1403" t="s">
        <v>319</v>
      </c>
      <c r="AF1403" t="s">
        <v>247</v>
      </c>
      <c r="AG1403" s="2"/>
      <c r="AH1403" s="35">
        <f>1-COS(RADIANS(TA[[#This Row],[Avg. Target Angle during Fault Time (Radians)]]-TA[[#This Row],[Angle of affected equipment ]]))</f>
        <v>0.11705240714107301</v>
      </c>
      <c r="AI1403" s="27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43">
        <f t="shared" si="166"/>
        <v>2026</v>
      </c>
      <c r="C1404" s="116">
        <f t="shared" si="167"/>
        <v>2025</v>
      </c>
      <c r="D1404" s="2" t="s">
        <v>155</v>
      </c>
      <c r="E1404" s="2" t="s">
        <v>155</v>
      </c>
      <c r="F1404" s="30">
        <v>45839</v>
      </c>
      <c r="G1404" s="2">
        <f>DAY(EOMONTH(TA[[#This Row],[Month Year]],0))</f>
        <v>31</v>
      </c>
      <c r="H1404" s="21">
        <v>45844</v>
      </c>
      <c r="I1404" s="32">
        <f>IFERROR(VLOOKUP(TA[[#This Row],[Date]],Raw_Data[[Date]:[Sunset Time (POA&lt;20 W/m2)]],3,0),"")</f>
        <v>0.26041666666666669</v>
      </c>
      <c r="J1404" s="32">
        <f>IFERROR(VLOOKUP(TA[[#This Row],[Date]],Raw_Data[[Date]:[Sunset Time (POA&lt;20 W/m2)]],4,0),"")</f>
        <v>0.77777777777777779</v>
      </c>
      <c r="K1404" s="27">
        <f>IFERROR((TA[[#This Row],[Sunset Time (POA&lt;20 W/m2)]]-TA[[#This Row],[Sunrise Time (POA&gt;20 W/m2)]])*24,"")</f>
        <v>12.416666666666668</v>
      </c>
      <c r="L1404" s="2" t="s">
        <v>287</v>
      </c>
      <c r="M1404" s="33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321</v>
      </c>
      <c r="Q1404" s="2" t="s">
        <v>314</v>
      </c>
      <c r="R1404">
        <v>30</v>
      </c>
      <c r="S1404" s="2">
        <v>57</v>
      </c>
      <c r="T1404" t="s">
        <v>288</v>
      </c>
      <c r="U1404" t="s">
        <v>291</v>
      </c>
      <c r="V1404" t="s">
        <v>292</v>
      </c>
      <c r="W1404" s="32"/>
      <c r="X1404" s="32"/>
      <c r="Y1404" s="26"/>
      <c r="Z1404" s="26"/>
      <c r="AA1404" s="27">
        <f>IF(TA[[#This Row],[Work Start time on Fault]]="NA","",(TA[[#This Row],[Fault Acknowledgement Time ]]-TA[[#This Row],[Fault Time]])*24)</f>
        <v>0</v>
      </c>
      <c r="AB1404" s="27">
        <f>(TA[[#This Row],[Work Start time on Fault]]-TA[[#This Row],[Fault Time]])*24</f>
        <v>0</v>
      </c>
      <c r="AC1404" s="26">
        <f>(TA[[#This Row],[Work Completion time on fault]]-TA[[#This Row],[Fault Time]])*24</f>
        <v>0</v>
      </c>
      <c r="AD1404" s="27">
        <f>IFERROR((TA[[#This Row],[Work Completion time on fault]]-TA[[#This Row],[Fault Time]])*24,"")</f>
        <v>0</v>
      </c>
      <c r="AE1404" t="s">
        <v>319</v>
      </c>
      <c r="AF1404" t="s">
        <v>247</v>
      </c>
      <c r="AG1404" s="2"/>
      <c r="AH1404" s="35">
        <f>1-COS(RADIANS(TA[[#This Row],[Avg. Target Angle during Fault Time (Radians)]]-TA[[#This Row],[Angle of affected equipment ]]))</f>
        <v>0.11705240714107301</v>
      </c>
      <c r="AI1404" s="27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43">
        <f t="shared" si="166"/>
        <v>2026</v>
      </c>
      <c r="C1405" s="116">
        <f t="shared" si="167"/>
        <v>2025</v>
      </c>
      <c r="D1405" s="2" t="s">
        <v>155</v>
      </c>
      <c r="E1405" s="2" t="s">
        <v>155</v>
      </c>
      <c r="F1405" s="30">
        <v>45839</v>
      </c>
      <c r="G1405" s="2">
        <f>DAY(EOMONTH(TA[[#This Row],[Month Year]],0))</f>
        <v>31</v>
      </c>
      <c r="H1405" s="21">
        <v>45844</v>
      </c>
      <c r="I1405" s="32">
        <f>IFERROR(VLOOKUP(TA[[#This Row],[Date]],Raw_Data[[Date]:[Sunset Time (POA&lt;20 W/m2)]],3,0),"")</f>
        <v>0.26041666666666669</v>
      </c>
      <c r="J1405" s="32">
        <f>IFERROR(VLOOKUP(TA[[#This Row],[Date]],Raw_Data[[Date]:[Sunset Time (POA&lt;20 W/m2)]],4,0),"")</f>
        <v>0.77777777777777779</v>
      </c>
      <c r="K1405" s="27">
        <f>IFERROR((TA[[#This Row],[Sunset Time (POA&lt;20 W/m2)]]-TA[[#This Row],[Sunrise Time (POA&gt;20 W/m2)]])*24,"")</f>
        <v>12.416666666666668</v>
      </c>
      <c r="L1405" s="2" t="s">
        <v>287</v>
      </c>
      <c r="M1405" s="33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321</v>
      </c>
      <c r="Q1405" s="2" t="s">
        <v>314</v>
      </c>
      <c r="R1405">
        <v>31</v>
      </c>
      <c r="S1405" s="2">
        <v>61</v>
      </c>
      <c r="T1405" t="s">
        <v>288</v>
      </c>
      <c r="U1405" t="s">
        <v>291</v>
      </c>
      <c r="V1405" t="s">
        <v>292</v>
      </c>
      <c r="W1405" s="32"/>
      <c r="X1405" s="32"/>
      <c r="Y1405" s="26"/>
      <c r="Z1405" s="26"/>
      <c r="AA1405" s="27">
        <f>IF(TA[[#This Row],[Work Start time on Fault]]="NA","",(TA[[#This Row],[Fault Acknowledgement Time ]]-TA[[#This Row],[Fault Time]])*24)</f>
        <v>0</v>
      </c>
      <c r="AB1405" s="27">
        <f>(TA[[#This Row],[Work Start time on Fault]]-TA[[#This Row],[Fault Time]])*24</f>
        <v>0</v>
      </c>
      <c r="AC1405" s="26">
        <f>(TA[[#This Row],[Work Completion time on fault]]-TA[[#This Row],[Fault Time]])*24</f>
        <v>0</v>
      </c>
      <c r="AD1405" s="27">
        <f>IFERROR((TA[[#This Row],[Work Completion time on fault]]-TA[[#This Row],[Fault Time]])*24,"")</f>
        <v>0</v>
      </c>
      <c r="AE1405" t="s">
        <v>319</v>
      </c>
      <c r="AF1405" t="s">
        <v>247</v>
      </c>
      <c r="AG1405" s="2"/>
      <c r="AH1405" s="35">
        <f>1-COS(RADIANS(TA[[#This Row],[Avg. Target Angle during Fault Time (Radians)]]-TA[[#This Row],[Angle of affected equipment ]]))</f>
        <v>0.11705240714107301</v>
      </c>
      <c r="AI1405" s="27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43">
        <f t="shared" si="166"/>
        <v>2026</v>
      </c>
      <c r="C1406" s="116">
        <f t="shared" si="167"/>
        <v>2025</v>
      </c>
      <c r="D1406" s="2" t="s">
        <v>155</v>
      </c>
      <c r="E1406" s="2" t="s">
        <v>155</v>
      </c>
      <c r="F1406" s="30">
        <v>45839</v>
      </c>
      <c r="G1406" s="2">
        <f>DAY(EOMONTH(TA[[#This Row],[Month Year]],0))</f>
        <v>31</v>
      </c>
      <c r="H1406" s="21">
        <v>45844</v>
      </c>
      <c r="I1406" s="32">
        <f>IFERROR(VLOOKUP(TA[[#This Row],[Date]],Raw_Data[[Date]:[Sunset Time (POA&lt;20 W/m2)]],3,0),"")</f>
        <v>0.26041666666666669</v>
      </c>
      <c r="J1406" s="32">
        <f>IFERROR(VLOOKUP(TA[[#This Row],[Date]],Raw_Data[[Date]:[Sunset Time (POA&lt;20 W/m2)]],4,0),"")</f>
        <v>0.77777777777777779</v>
      </c>
      <c r="K1406" s="27">
        <f>IFERROR((TA[[#This Row],[Sunset Time (POA&lt;20 W/m2)]]-TA[[#This Row],[Sunrise Time (POA&gt;20 W/m2)]])*24,"")</f>
        <v>12.416666666666668</v>
      </c>
      <c r="L1406" s="2" t="s">
        <v>303</v>
      </c>
      <c r="M1406" s="33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321</v>
      </c>
      <c r="Q1406" s="2" t="s">
        <v>314</v>
      </c>
      <c r="R1406">
        <v>26</v>
      </c>
      <c r="S1406" s="2">
        <v>37</v>
      </c>
      <c r="T1406" t="s">
        <v>288</v>
      </c>
      <c r="U1406" t="s">
        <v>291</v>
      </c>
      <c r="V1406" t="s">
        <v>292</v>
      </c>
      <c r="W1406" s="32"/>
      <c r="X1406" s="32"/>
      <c r="Y1406" s="26"/>
      <c r="Z1406" s="26"/>
      <c r="AA1406" s="27">
        <f>IF(TA[[#This Row],[Work Start time on Fault]]="NA","",(TA[[#This Row],[Fault Acknowledgement Time ]]-TA[[#This Row],[Fault Time]])*24)</f>
        <v>0</v>
      </c>
      <c r="AB1406" s="27">
        <f>(TA[[#This Row],[Work Start time on Fault]]-TA[[#This Row],[Fault Time]])*24</f>
        <v>0</v>
      </c>
      <c r="AC1406" s="26">
        <f>(TA[[#This Row],[Work Completion time on fault]]-TA[[#This Row],[Fault Time]])*24</f>
        <v>0</v>
      </c>
      <c r="AD1406" s="27">
        <f>IFERROR((TA[[#This Row],[Work Completion time on fault]]-TA[[#This Row],[Fault Time]])*24,"")</f>
        <v>0</v>
      </c>
      <c r="AE1406" t="s">
        <v>319</v>
      </c>
      <c r="AF1406" t="s">
        <v>247</v>
      </c>
      <c r="AG1406" s="2"/>
      <c r="AH1406" s="35">
        <f>1-COS(RADIANS(TA[[#This Row],[Avg. Target Angle during Fault Time (Radians)]]-TA[[#This Row],[Angle of affected equipment ]]))</f>
        <v>0.11705240714107301</v>
      </c>
      <c r="AI1406" s="27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43">
        <f t="shared" si="166"/>
        <v>2026</v>
      </c>
      <c r="C1407" s="116">
        <f t="shared" si="167"/>
        <v>2025</v>
      </c>
      <c r="D1407" s="2" t="s">
        <v>155</v>
      </c>
      <c r="E1407" s="2" t="s">
        <v>155</v>
      </c>
      <c r="F1407" s="30">
        <v>45839</v>
      </c>
      <c r="G1407" s="2">
        <f>DAY(EOMONTH(TA[[#This Row],[Month Year]],0))</f>
        <v>31</v>
      </c>
      <c r="H1407" s="21">
        <v>45844</v>
      </c>
      <c r="I1407" s="32">
        <f>IFERROR(VLOOKUP(TA[[#This Row],[Date]],Raw_Data[[Date]:[Sunset Time (POA&lt;20 W/m2)]],3,0),"")</f>
        <v>0.26041666666666669</v>
      </c>
      <c r="J1407" s="32">
        <f>IFERROR(VLOOKUP(TA[[#This Row],[Date]],Raw_Data[[Date]:[Sunset Time (POA&lt;20 W/m2)]],4,0),"")</f>
        <v>0.77777777777777779</v>
      </c>
      <c r="K1407" s="27">
        <f>IFERROR((TA[[#This Row],[Sunset Time (POA&lt;20 W/m2)]]-TA[[#This Row],[Sunrise Time (POA&gt;20 W/m2)]])*24,"")</f>
        <v>12.416666666666668</v>
      </c>
      <c r="L1407" s="2" t="s">
        <v>303</v>
      </c>
      <c r="M1407" s="33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321</v>
      </c>
      <c r="Q1407" s="2" t="s">
        <v>314</v>
      </c>
      <c r="R1407">
        <v>27</v>
      </c>
      <c r="S1407" s="2">
        <v>42</v>
      </c>
      <c r="T1407" t="s">
        <v>288</v>
      </c>
      <c r="U1407" t="s">
        <v>291</v>
      </c>
      <c r="V1407" t="s">
        <v>292</v>
      </c>
      <c r="W1407" s="32">
        <f>IFERROR(VLOOKUP(TA[[#This Row],[Date]],Raw_Data[[Date]:[Sunset Time (POA&lt;20 W/m2)]],3,0),"")</f>
        <v>0.26041666666666669</v>
      </c>
      <c r="X1407" s="32">
        <f>IFERROR(VLOOKUP(TA[[#This Row],[Date]],Raw_Data[[Date]:[Sunset Time (POA&lt;20 W/m2)]],3,0),"")</f>
        <v>0.26041666666666669</v>
      </c>
      <c r="Y1407" s="26"/>
      <c r="Z1407" s="26">
        <v>0.76041666666666663</v>
      </c>
      <c r="AA1407" s="27">
        <f>IF(TA[[#This Row],[Work Start time on Fault]]="NA","",(TA[[#This Row],[Fault Acknowledgement Time ]]-TA[[#This Row],[Fault Time]])*24)</f>
        <v>0</v>
      </c>
      <c r="AB1407" s="27">
        <f>(TA[[#This Row],[Work Start time on Fault]]-TA[[#This Row],[Fault Time]])*24</f>
        <v>-6.25</v>
      </c>
      <c r="AC1407" s="26">
        <f>(TA[[#This Row],[Work Completion time on fault]]-TA[[#This Row],[Fault Time]])*24</f>
        <v>11.999999999999998</v>
      </c>
      <c r="AD1407" s="27">
        <f>IFERROR((TA[[#This Row],[Work Completion time on fault]]-TA[[#This Row],[Fault Time]])*24,"")</f>
        <v>11.999999999999998</v>
      </c>
      <c r="AE1407" t="s">
        <v>300</v>
      </c>
      <c r="AF1407" t="s">
        <v>247</v>
      </c>
      <c r="AG1407" s="2"/>
      <c r="AH1407" s="35">
        <f>1-COS(RADIANS(TA[[#This Row],[Avg. Target Angle during Fault Time (Radians)]]-TA[[#This Row],[Angle of affected equipment ]]))</f>
        <v>0.11705240714107301</v>
      </c>
      <c r="AI1407" s="27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43">
        <f t="shared" ref="B1408:B1420" si="168">YEAR(H1408)+IF(MONTH(H1408)&gt;=4,1,0)</f>
        <v>2026</v>
      </c>
      <c r="C1408" s="116">
        <f t="shared" ref="C1408:C1420" si="169">YEAR(H1408)</f>
        <v>2025</v>
      </c>
      <c r="D1408" s="2" t="s">
        <v>155</v>
      </c>
      <c r="E1408" s="2" t="s">
        <v>155</v>
      </c>
      <c r="F1408" s="30">
        <v>45839</v>
      </c>
      <c r="G1408" s="2">
        <f>DAY(EOMONTH(TA[[#This Row],[Month Year]],0))</f>
        <v>31</v>
      </c>
      <c r="H1408" s="21">
        <v>45845</v>
      </c>
      <c r="I1408" s="32">
        <f>IFERROR(VLOOKUP(TA[[#This Row],[Date]],Raw_Data[[Date]:[Sunset Time (POA&lt;20 W/m2)]],3,0),"")</f>
        <v>0.25972222222222224</v>
      </c>
      <c r="J1408" s="32">
        <f>IFERROR(VLOOKUP(TA[[#This Row],[Date]],Raw_Data[[Date]:[Sunset Time (POA&lt;20 W/m2)]],4,0),"")</f>
        <v>0.78125</v>
      </c>
      <c r="K1408" s="27">
        <f>IFERROR((TA[[#This Row],[Sunset Time (POA&lt;20 W/m2)]]-TA[[#This Row],[Sunrise Time (POA&gt;20 W/m2)]])*24,"")</f>
        <v>12.516666666666667</v>
      </c>
      <c r="L1408" s="2" t="s">
        <v>285</v>
      </c>
      <c r="M1408" s="33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14" t="s">
        <v>309</v>
      </c>
      <c r="Q1408" s="113" t="s">
        <v>309</v>
      </c>
      <c r="R1408">
        <v>131</v>
      </c>
      <c r="S1408" s="2">
        <v>38</v>
      </c>
      <c r="T1408" t="s">
        <v>286</v>
      </c>
      <c r="U1408" t="s">
        <v>291</v>
      </c>
      <c r="V1408" t="s">
        <v>289</v>
      </c>
      <c r="W1408" s="32"/>
      <c r="X1408" s="32"/>
      <c r="Y1408" s="26"/>
      <c r="Z1408" s="26"/>
      <c r="AA1408" s="27">
        <f>IF(TA[[#This Row],[Work Start time on Fault]]="NA","",(TA[[#This Row],[Fault Acknowledgement Time ]]-TA[[#This Row],[Fault Time]])*24)</f>
        <v>0</v>
      </c>
      <c r="AB1408" s="27">
        <f>(TA[[#This Row],[Work Start time on Fault]]-TA[[#This Row],[Fault Time]])*24</f>
        <v>0</v>
      </c>
      <c r="AC1408" s="26">
        <f>(TA[[#This Row],[Work Completion time on fault]]-TA[[#This Row],[Fault Time]])*24</f>
        <v>0</v>
      </c>
      <c r="AD1408" s="27">
        <f>IFERROR((TA[[#This Row],[Work Completion time on fault]]-TA[[#This Row],[Fault Time]])*24,"")</f>
        <v>0</v>
      </c>
      <c r="AE1408" t="s">
        <v>319</v>
      </c>
      <c r="AF1408" t="s">
        <v>247</v>
      </c>
      <c r="AG1408" s="2"/>
      <c r="AH1408" s="35">
        <f>1-COS(RADIANS(TA[[#This Row],[Avg. Target Angle during Fault Time (Radians)]]-TA[[#This Row],[Angle of affected equipment ]]))</f>
        <v>0.11705240714107301</v>
      </c>
      <c r="AI1408" s="27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43">
        <f t="shared" si="168"/>
        <v>2026</v>
      </c>
      <c r="C1409" s="116">
        <f t="shared" si="169"/>
        <v>2025</v>
      </c>
      <c r="D1409" s="2" t="s">
        <v>155</v>
      </c>
      <c r="E1409" s="2" t="s">
        <v>155</v>
      </c>
      <c r="F1409" s="30">
        <v>45839</v>
      </c>
      <c r="G1409" s="2">
        <f>DAY(EOMONTH(TA[[#This Row],[Month Year]],0))</f>
        <v>31</v>
      </c>
      <c r="H1409" s="21">
        <v>45845</v>
      </c>
      <c r="I1409" s="32">
        <f>IFERROR(VLOOKUP(TA[[#This Row],[Date]],Raw_Data[[Date]:[Sunset Time (POA&lt;20 W/m2)]],3,0),"")</f>
        <v>0.25972222222222224</v>
      </c>
      <c r="J1409" s="32">
        <f>IFERROR(VLOOKUP(TA[[#This Row],[Date]],Raw_Data[[Date]:[Sunset Time (POA&lt;20 W/m2)]],4,0),"")</f>
        <v>0.78125</v>
      </c>
      <c r="K1409" s="27">
        <f>IFERROR((TA[[#This Row],[Sunset Time (POA&lt;20 W/m2)]]-TA[[#This Row],[Sunrise Time (POA&gt;20 W/m2)]])*24,"")</f>
        <v>12.516666666666667</v>
      </c>
      <c r="L1409" s="2" t="s">
        <v>285</v>
      </c>
      <c r="M1409" s="33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14" t="s">
        <v>309</v>
      </c>
      <c r="Q1409" s="113" t="s">
        <v>309</v>
      </c>
      <c r="R1409">
        <v>131</v>
      </c>
      <c r="S1409" s="2">
        <v>39</v>
      </c>
      <c r="T1409" t="s">
        <v>286</v>
      </c>
      <c r="U1409" t="s">
        <v>291</v>
      </c>
      <c r="V1409" t="s">
        <v>289</v>
      </c>
      <c r="W1409" s="32"/>
      <c r="X1409" s="32"/>
      <c r="Y1409" s="26"/>
      <c r="Z1409" s="26"/>
      <c r="AA1409" s="27">
        <f>IF(TA[[#This Row],[Work Start time on Fault]]="NA","",(TA[[#This Row],[Fault Acknowledgement Time ]]-TA[[#This Row],[Fault Time]])*24)</f>
        <v>0</v>
      </c>
      <c r="AB1409" s="27">
        <f>(TA[[#This Row],[Work Start time on Fault]]-TA[[#This Row],[Fault Time]])*24</f>
        <v>0</v>
      </c>
      <c r="AC1409" s="26">
        <f>(TA[[#This Row],[Work Completion time on fault]]-TA[[#This Row],[Fault Time]])*24</f>
        <v>0</v>
      </c>
      <c r="AD1409" s="27">
        <f>IFERROR((TA[[#This Row],[Work Completion time on fault]]-TA[[#This Row],[Fault Time]])*24,"")</f>
        <v>0</v>
      </c>
      <c r="AE1409" t="s">
        <v>319</v>
      </c>
      <c r="AF1409" t="s">
        <v>247</v>
      </c>
      <c r="AG1409" s="2"/>
      <c r="AH1409" s="35">
        <f>1-COS(RADIANS(TA[[#This Row],[Avg. Target Angle during Fault Time (Radians)]]-TA[[#This Row],[Angle of affected equipment ]]))</f>
        <v>0.11705240714107301</v>
      </c>
      <c r="AI1409" s="27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43">
        <f t="shared" si="168"/>
        <v>2026</v>
      </c>
      <c r="C1410" s="116">
        <f t="shared" si="169"/>
        <v>2025</v>
      </c>
      <c r="D1410" s="2" t="s">
        <v>155</v>
      </c>
      <c r="E1410" s="2" t="s">
        <v>155</v>
      </c>
      <c r="F1410" s="30">
        <v>45839</v>
      </c>
      <c r="G1410" s="2">
        <f>DAY(EOMONTH(TA[[#This Row],[Month Year]],0))</f>
        <v>31</v>
      </c>
      <c r="H1410" s="21">
        <v>45845</v>
      </c>
      <c r="I1410" s="32">
        <f>IFERROR(VLOOKUP(TA[[#This Row],[Date]],Raw_Data[[Date]:[Sunset Time (POA&lt;20 W/m2)]],3,0),"")</f>
        <v>0.25972222222222224</v>
      </c>
      <c r="J1410" s="32">
        <f>IFERROR(VLOOKUP(TA[[#This Row],[Date]],Raw_Data[[Date]:[Sunset Time (POA&lt;20 W/m2)]],4,0),"")</f>
        <v>0.78125</v>
      </c>
      <c r="K1410" s="27">
        <f>IFERROR((TA[[#This Row],[Sunset Time (POA&lt;20 W/m2)]]-TA[[#This Row],[Sunrise Time (POA&gt;20 W/m2)]])*24,"")</f>
        <v>12.516666666666667</v>
      </c>
      <c r="L1410" s="2" t="s">
        <v>287</v>
      </c>
      <c r="M1410" s="33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14" t="s">
        <v>309</v>
      </c>
      <c r="Q1410" s="2" t="s">
        <v>312</v>
      </c>
      <c r="R1410">
        <v>133</v>
      </c>
      <c r="S1410" s="2">
        <v>26</v>
      </c>
      <c r="T1410" t="s">
        <v>288</v>
      </c>
      <c r="U1410" t="s">
        <v>291</v>
      </c>
      <c r="V1410" t="s">
        <v>305</v>
      </c>
      <c r="W1410" s="32">
        <f>IFERROR(VLOOKUP(TA[[#This Row],[Date]],Raw_Data[[Date]:[Sunset Time (POA&lt;20 W/m2)]],3,0),"")</f>
        <v>0.25972222222222224</v>
      </c>
      <c r="X1410" s="32">
        <f>IFERROR(VLOOKUP(TA[[#This Row],[Date]],Raw_Data[[Date]:[Sunset Time (POA&lt;20 W/m2)]],3,0),"")</f>
        <v>0.25972222222222224</v>
      </c>
      <c r="Y1410" s="26"/>
      <c r="Z1410" s="26">
        <v>0.76041666666666663</v>
      </c>
      <c r="AA1410" s="27">
        <f>IF(TA[[#This Row],[Work Start time on Fault]]="NA","",(TA[[#This Row],[Fault Acknowledgement Time ]]-TA[[#This Row],[Fault Time]])*24)</f>
        <v>0</v>
      </c>
      <c r="AB1410" s="27">
        <f>(TA[[#This Row],[Work Start time on Fault]]-TA[[#This Row],[Fault Time]])*24</f>
        <v>-6.2333333333333343</v>
      </c>
      <c r="AC1410" s="26">
        <f>(TA[[#This Row],[Work Completion time on fault]]-TA[[#This Row],[Fault Time]])*24</f>
        <v>12.016666666666664</v>
      </c>
      <c r="AD1410" s="27">
        <f>IFERROR((TA[[#This Row],[Work Completion time on fault]]-TA[[#This Row],[Fault Time]])*24,"")</f>
        <v>12.016666666666664</v>
      </c>
      <c r="AE1410" t="s">
        <v>319</v>
      </c>
      <c r="AF1410" t="s">
        <v>247</v>
      </c>
      <c r="AG1410" s="2"/>
      <c r="AH1410" s="35">
        <f>1-COS(RADIANS(TA[[#This Row],[Avg. Target Angle during Fault Time (Radians)]]-TA[[#This Row],[Angle of affected equipment ]]))</f>
        <v>0.11705240714107301</v>
      </c>
      <c r="AI1410" s="27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43">
        <f t="shared" si="168"/>
        <v>2026</v>
      </c>
      <c r="C1411" s="116">
        <f t="shared" si="169"/>
        <v>2025</v>
      </c>
      <c r="D1411" s="2" t="s">
        <v>155</v>
      </c>
      <c r="E1411" s="2" t="s">
        <v>155</v>
      </c>
      <c r="F1411" s="30">
        <v>45839</v>
      </c>
      <c r="G1411" s="2">
        <f>DAY(EOMONTH(TA[[#This Row],[Month Year]],0))</f>
        <v>31</v>
      </c>
      <c r="H1411" s="21">
        <v>45845</v>
      </c>
      <c r="I1411" s="32">
        <f>IFERROR(VLOOKUP(TA[[#This Row],[Date]],Raw_Data[[Date]:[Sunset Time (POA&lt;20 W/m2)]],3,0),"")</f>
        <v>0.25972222222222224</v>
      </c>
      <c r="J1411" s="32">
        <f>IFERROR(VLOOKUP(TA[[#This Row],[Date]],Raw_Data[[Date]:[Sunset Time (POA&lt;20 W/m2)]],4,0),"")</f>
        <v>0.78125</v>
      </c>
      <c r="K1411" s="27">
        <f>IFERROR((TA[[#This Row],[Sunset Time (POA&lt;20 W/m2)]]-TA[[#This Row],[Sunrise Time (POA&gt;20 W/m2)]])*24,"")</f>
        <v>12.516666666666667</v>
      </c>
      <c r="L1411" s="2" t="s">
        <v>285</v>
      </c>
      <c r="M1411" s="33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14" t="s">
        <v>307</v>
      </c>
      <c r="Q1411" s="113" t="s">
        <v>308</v>
      </c>
      <c r="R1411">
        <v>7</v>
      </c>
      <c r="S1411" s="2">
        <v>32</v>
      </c>
      <c r="T1411" t="s">
        <v>286</v>
      </c>
      <c r="U1411" t="s">
        <v>291</v>
      </c>
      <c r="V1411" t="s">
        <v>289</v>
      </c>
      <c r="W1411" s="32"/>
      <c r="X1411" s="32"/>
      <c r="Y1411" s="26"/>
      <c r="Z1411" s="26"/>
      <c r="AA1411" s="27">
        <f>IF(TA[[#This Row],[Work Start time on Fault]]="NA","",(TA[[#This Row],[Fault Acknowledgement Time ]]-TA[[#This Row],[Fault Time]])*24)</f>
        <v>0</v>
      </c>
      <c r="AB1411" s="27">
        <f>(TA[[#This Row],[Work Start time on Fault]]-TA[[#This Row],[Fault Time]])*24</f>
        <v>0</v>
      </c>
      <c r="AC1411" s="26">
        <f>(TA[[#This Row],[Work Completion time on fault]]-TA[[#This Row],[Fault Time]])*24</f>
        <v>0</v>
      </c>
      <c r="AD1411" s="27">
        <f>IFERROR((TA[[#This Row],[Work Completion time on fault]]-TA[[#This Row],[Fault Time]])*24,"")</f>
        <v>0</v>
      </c>
      <c r="AE1411" t="s">
        <v>319</v>
      </c>
      <c r="AF1411" t="s">
        <v>247</v>
      </c>
      <c r="AG1411" s="2"/>
      <c r="AH1411" s="35">
        <f>1-COS(RADIANS(TA[[#This Row],[Avg. Target Angle during Fault Time (Radians)]]-TA[[#This Row],[Angle of affected equipment ]]))</f>
        <v>0.11705240714107301</v>
      </c>
      <c r="AI1411" s="27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43">
        <f t="shared" si="168"/>
        <v>2026</v>
      </c>
      <c r="C1412" s="116">
        <f t="shared" si="169"/>
        <v>2025</v>
      </c>
      <c r="D1412" s="2" t="s">
        <v>155</v>
      </c>
      <c r="E1412" s="2" t="s">
        <v>155</v>
      </c>
      <c r="F1412" s="30">
        <v>45839</v>
      </c>
      <c r="G1412" s="2">
        <f>DAY(EOMONTH(TA[[#This Row],[Month Year]],0))</f>
        <v>31</v>
      </c>
      <c r="H1412" s="21">
        <v>45845</v>
      </c>
      <c r="I1412" s="32">
        <f>IFERROR(VLOOKUP(TA[[#This Row],[Date]],Raw_Data[[Date]:[Sunset Time (POA&lt;20 W/m2)]],3,0),"")</f>
        <v>0.25972222222222224</v>
      </c>
      <c r="J1412" s="32">
        <f>IFERROR(VLOOKUP(TA[[#This Row],[Date]],Raw_Data[[Date]:[Sunset Time (POA&lt;20 W/m2)]],4,0),"")</f>
        <v>0.78125</v>
      </c>
      <c r="K1412" s="27">
        <f>IFERROR((TA[[#This Row],[Sunset Time (POA&lt;20 W/m2)]]-TA[[#This Row],[Sunrise Time (POA&gt;20 W/m2)]])*24,"")</f>
        <v>12.516666666666667</v>
      </c>
      <c r="L1412" s="2" t="s">
        <v>285</v>
      </c>
      <c r="M1412" s="33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14" t="s">
        <v>306</v>
      </c>
      <c r="Q1412" s="113" t="s">
        <v>310</v>
      </c>
      <c r="R1412">
        <v>166</v>
      </c>
      <c r="S1412" s="2">
        <v>91</v>
      </c>
      <c r="T1412" t="s">
        <v>286</v>
      </c>
      <c r="U1412" t="s">
        <v>291</v>
      </c>
      <c r="V1412" t="s">
        <v>289</v>
      </c>
      <c r="W1412" s="32"/>
      <c r="X1412" s="32"/>
      <c r="Y1412" s="26"/>
      <c r="Z1412" s="26"/>
      <c r="AA1412" s="27">
        <f>IF(TA[[#This Row],[Work Start time on Fault]]="NA","",(TA[[#This Row],[Fault Acknowledgement Time ]]-TA[[#This Row],[Fault Time]])*24)</f>
        <v>0</v>
      </c>
      <c r="AB1412" s="27">
        <f>(TA[[#This Row],[Work Start time on Fault]]-TA[[#This Row],[Fault Time]])*24</f>
        <v>0</v>
      </c>
      <c r="AC1412" s="26">
        <f>(TA[[#This Row],[Work Completion time on fault]]-TA[[#This Row],[Fault Time]])*24</f>
        <v>0</v>
      </c>
      <c r="AD1412" s="27">
        <f>IFERROR((TA[[#This Row],[Work Completion time on fault]]-TA[[#This Row],[Fault Time]])*24,"")</f>
        <v>0</v>
      </c>
      <c r="AE1412" t="s">
        <v>319</v>
      </c>
      <c r="AF1412" t="s">
        <v>247</v>
      </c>
      <c r="AG1412" s="2"/>
      <c r="AH1412" s="35">
        <f>1-COS(RADIANS(TA[[#This Row],[Avg. Target Angle during Fault Time (Radians)]]-TA[[#This Row],[Angle of affected equipment ]]))</f>
        <v>0.11705240714107301</v>
      </c>
      <c r="AI1412" s="27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43">
        <f t="shared" si="168"/>
        <v>2026</v>
      </c>
      <c r="C1413" s="116">
        <f t="shared" si="169"/>
        <v>2025</v>
      </c>
      <c r="D1413" s="2" t="s">
        <v>155</v>
      </c>
      <c r="E1413" s="2" t="s">
        <v>155</v>
      </c>
      <c r="F1413" s="30">
        <v>45839</v>
      </c>
      <c r="G1413" s="2">
        <f>DAY(EOMONTH(TA[[#This Row],[Month Year]],0))</f>
        <v>31</v>
      </c>
      <c r="H1413" s="21">
        <v>45845</v>
      </c>
      <c r="I1413" s="32">
        <f>IFERROR(VLOOKUP(TA[[#This Row],[Date]],Raw_Data[[Date]:[Sunset Time (POA&lt;20 W/m2)]],3,0),"")</f>
        <v>0.25972222222222224</v>
      </c>
      <c r="J1413" s="32">
        <f>IFERROR(VLOOKUP(TA[[#This Row],[Date]],Raw_Data[[Date]:[Sunset Time (POA&lt;20 W/m2)]],4,0),"")</f>
        <v>0.78125</v>
      </c>
      <c r="K1413" s="27">
        <f>IFERROR((TA[[#This Row],[Sunset Time (POA&lt;20 W/m2)]]-TA[[#This Row],[Sunrise Time (POA&gt;20 W/m2)]])*24,"")</f>
        <v>12.516666666666667</v>
      </c>
      <c r="L1413" s="2" t="s">
        <v>285</v>
      </c>
      <c r="M1413" s="33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14" t="s">
        <v>307</v>
      </c>
      <c r="Q1413" s="113" t="s">
        <v>307</v>
      </c>
      <c r="R1413">
        <v>117</v>
      </c>
      <c r="S1413" s="2">
        <v>20</v>
      </c>
      <c r="T1413" t="s">
        <v>286</v>
      </c>
      <c r="U1413" t="s">
        <v>291</v>
      </c>
      <c r="V1413" t="s">
        <v>289</v>
      </c>
      <c r="W1413" s="32"/>
      <c r="X1413" s="32"/>
      <c r="Y1413" s="26"/>
      <c r="Z1413" s="26"/>
      <c r="AA1413" s="27">
        <f>IF(TA[[#This Row],[Work Start time on Fault]]="NA","",(TA[[#This Row],[Fault Acknowledgement Time ]]-TA[[#This Row],[Fault Time]])*24)</f>
        <v>0</v>
      </c>
      <c r="AB1413" s="27">
        <f>(TA[[#This Row],[Work Start time on Fault]]-TA[[#This Row],[Fault Time]])*24</f>
        <v>0</v>
      </c>
      <c r="AC1413" s="26">
        <f>(TA[[#This Row],[Work Completion time on fault]]-TA[[#This Row],[Fault Time]])*24</f>
        <v>0</v>
      </c>
      <c r="AD1413" s="27">
        <f>IFERROR((TA[[#This Row],[Work Completion time on fault]]-TA[[#This Row],[Fault Time]])*24,"")</f>
        <v>0</v>
      </c>
      <c r="AE1413" t="s">
        <v>319</v>
      </c>
      <c r="AF1413" t="s">
        <v>247</v>
      </c>
      <c r="AG1413" s="2"/>
      <c r="AH1413" s="35">
        <f>1-COS(RADIANS(TA[[#This Row],[Avg. Target Angle during Fault Time (Radians)]]-TA[[#This Row],[Angle of affected equipment ]]))</f>
        <v>0.11705240714107301</v>
      </c>
      <c r="AI1413" s="27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43">
        <f t="shared" si="168"/>
        <v>2026</v>
      </c>
      <c r="C1414" s="116">
        <f t="shared" si="169"/>
        <v>2025</v>
      </c>
      <c r="D1414" s="2" t="s">
        <v>155</v>
      </c>
      <c r="E1414" s="2" t="s">
        <v>155</v>
      </c>
      <c r="F1414" s="30">
        <v>45839</v>
      </c>
      <c r="G1414" s="2">
        <f>DAY(EOMONTH(TA[[#This Row],[Month Year]],0))</f>
        <v>31</v>
      </c>
      <c r="H1414" s="21">
        <v>45845</v>
      </c>
      <c r="I1414" s="32">
        <f>IFERROR(VLOOKUP(TA[[#This Row],[Date]],Raw_Data[[Date]:[Sunset Time (POA&lt;20 W/m2)]],3,0),"")</f>
        <v>0.25972222222222224</v>
      </c>
      <c r="J1414" s="32">
        <f>IFERROR(VLOOKUP(TA[[#This Row],[Date]],Raw_Data[[Date]:[Sunset Time (POA&lt;20 W/m2)]],4,0),"")</f>
        <v>0.78125</v>
      </c>
      <c r="K1414" s="27">
        <f>IFERROR((TA[[#This Row],[Sunset Time (POA&lt;20 W/m2)]]-TA[[#This Row],[Sunrise Time (POA&gt;20 W/m2)]])*24,"")</f>
        <v>12.516666666666667</v>
      </c>
      <c r="L1414" s="2" t="s">
        <v>285</v>
      </c>
      <c r="M1414" s="33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14" t="s">
        <v>307</v>
      </c>
      <c r="Q1414" s="113" t="s">
        <v>307</v>
      </c>
      <c r="R1414">
        <v>118</v>
      </c>
      <c r="S1414" s="2">
        <v>22</v>
      </c>
      <c r="T1414" t="s">
        <v>286</v>
      </c>
      <c r="U1414" t="s">
        <v>291</v>
      </c>
      <c r="V1414" t="s">
        <v>289</v>
      </c>
      <c r="W1414" s="32"/>
      <c r="X1414" s="32"/>
      <c r="Y1414" s="26"/>
      <c r="Z1414" s="26"/>
      <c r="AA1414" s="27">
        <f>IF(TA[[#This Row],[Work Start time on Fault]]="NA","",(TA[[#This Row],[Fault Acknowledgement Time ]]-TA[[#This Row],[Fault Time]])*24)</f>
        <v>0</v>
      </c>
      <c r="AB1414" s="27">
        <f>(TA[[#This Row],[Work Start time on Fault]]-TA[[#This Row],[Fault Time]])*24</f>
        <v>0</v>
      </c>
      <c r="AC1414" s="26">
        <f>(TA[[#This Row],[Work Completion time on fault]]-TA[[#This Row],[Fault Time]])*24</f>
        <v>0</v>
      </c>
      <c r="AD1414" s="27">
        <f>IFERROR((TA[[#This Row],[Work Completion time on fault]]-TA[[#This Row],[Fault Time]])*24,"")</f>
        <v>0</v>
      </c>
      <c r="AE1414" t="s">
        <v>319</v>
      </c>
      <c r="AF1414" t="s">
        <v>247</v>
      </c>
      <c r="AG1414" s="2"/>
      <c r="AH1414" s="35">
        <f>1-COS(RADIANS(TA[[#This Row],[Avg. Target Angle during Fault Time (Radians)]]-TA[[#This Row],[Angle of affected equipment ]]))</f>
        <v>0.11705240714107301</v>
      </c>
      <c r="AI1414" s="27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43">
        <f t="shared" si="168"/>
        <v>2026</v>
      </c>
      <c r="C1415" s="116">
        <f t="shared" si="169"/>
        <v>2025</v>
      </c>
      <c r="D1415" s="2" t="s">
        <v>155</v>
      </c>
      <c r="E1415" s="2" t="s">
        <v>155</v>
      </c>
      <c r="F1415" s="30">
        <v>45839</v>
      </c>
      <c r="G1415" s="2">
        <f>DAY(EOMONTH(TA[[#This Row],[Month Year]],0))</f>
        <v>31</v>
      </c>
      <c r="H1415" s="21">
        <v>45845</v>
      </c>
      <c r="I1415" s="32">
        <f>IFERROR(VLOOKUP(TA[[#This Row],[Date]],Raw_Data[[Date]:[Sunset Time (POA&lt;20 W/m2)]],3,0),"")</f>
        <v>0.25972222222222224</v>
      </c>
      <c r="J1415" s="32">
        <f>IFERROR(VLOOKUP(TA[[#This Row],[Date]],Raw_Data[[Date]:[Sunset Time (POA&lt;20 W/m2)]],4,0),"")</f>
        <v>0.78125</v>
      </c>
      <c r="K1415" s="27">
        <f>IFERROR((TA[[#This Row],[Sunset Time (POA&lt;20 W/m2)]]-TA[[#This Row],[Sunrise Time (POA&gt;20 W/m2)]])*24,"")</f>
        <v>12.516666666666667</v>
      </c>
      <c r="L1415" s="2" t="s">
        <v>287</v>
      </c>
      <c r="M1415" s="33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314</v>
      </c>
      <c r="Q1415" s="2" t="s">
        <v>320</v>
      </c>
      <c r="R1415">
        <v>45</v>
      </c>
      <c r="S1415" s="2">
        <v>8</v>
      </c>
      <c r="T1415" t="s">
        <v>288</v>
      </c>
      <c r="U1415" t="s">
        <v>291</v>
      </c>
      <c r="V1415" t="s">
        <v>292</v>
      </c>
      <c r="W1415" s="32"/>
      <c r="X1415" s="32"/>
      <c r="Y1415" s="26"/>
      <c r="Z1415" s="26"/>
      <c r="AA1415" s="27">
        <f>IF(TA[[#This Row],[Work Start time on Fault]]="NA","",(TA[[#This Row],[Fault Acknowledgement Time ]]-TA[[#This Row],[Fault Time]])*24)</f>
        <v>0</v>
      </c>
      <c r="AB1415" s="27">
        <f>(TA[[#This Row],[Work Start time on Fault]]-TA[[#This Row],[Fault Time]])*24</f>
        <v>0</v>
      </c>
      <c r="AC1415" s="26">
        <f>(TA[[#This Row],[Work Completion time on fault]]-TA[[#This Row],[Fault Time]])*24</f>
        <v>0</v>
      </c>
      <c r="AD1415" s="27">
        <f>IFERROR((TA[[#This Row],[Work Completion time on fault]]-TA[[#This Row],[Fault Time]])*24,"")</f>
        <v>0</v>
      </c>
      <c r="AE1415" t="s">
        <v>319</v>
      </c>
      <c r="AF1415" t="s">
        <v>247</v>
      </c>
      <c r="AG1415" s="2"/>
      <c r="AH1415" s="35">
        <f>1-COS(RADIANS(TA[[#This Row],[Avg. Target Angle during Fault Time (Radians)]]-TA[[#This Row],[Angle of affected equipment ]]))</f>
        <v>0.11705240714107301</v>
      </c>
      <c r="AI1415" s="27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43">
        <f t="shared" si="168"/>
        <v>2026</v>
      </c>
      <c r="C1416" s="116">
        <f t="shared" si="169"/>
        <v>2025</v>
      </c>
      <c r="D1416" s="2" t="s">
        <v>155</v>
      </c>
      <c r="E1416" s="2" t="s">
        <v>155</v>
      </c>
      <c r="F1416" s="30">
        <v>45839</v>
      </c>
      <c r="G1416" s="2">
        <f>DAY(EOMONTH(TA[[#This Row],[Month Year]],0))</f>
        <v>31</v>
      </c>
      <c r="H1416" s="21">
        <v>45845</v>
      </c>
      <c r="I1416" s="32">
        <f>IFERROR(VLOOKUP(TA[[#This Row],[Date]],Raw_Data[[Date]:[Sunset Time (POA&lt;20 W/m2)]],3,0),"")</f>
        <v>0.25972222222222224</v>
      </c>
      <c r="J1416" s="32">
        <f>IFERROR(VLOOKUP(TA[[#This Row],[Date]],Raw_Data[[Date]:[Sunset Time (POA&lt;20 W/m2)]],4,0),"")</f>
        <v>0.78125</v>
      </c>
      <c r="K1416" s="27">
        <f>IFERROR((TA[[#This Row],[Sunset Time (POA&lt;20 W/m2)]]-TA[[#This Row],[Sunrise Time (POA&gt;20 W/m2)]])*24,"")</f>
        <v>12.516666666666667</v>
      </c>
      <c r="L1416" s="2" t="s">
        <v>287</v>
      </c>
      <c r="M1416" s="33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314</v>
      </c>
      <c r="Q1416" s="2" t="s">
        <v>320</v>
      </c>
      <c r="R1416">
        <v>47</v>
      </c>
      <c r="S1416" s="2">
        <v>18</v>
      </c>
      <c r="T1416" t="s">
        <v>288</v>
      </c>
      <c r="U1416" t="s">
        <v>291</v>
      </c>
      <c r="V1416" t="s">
        <v>292</v>
      </c>
      <c r="W1416" s="32"/>
      <c r="X1416" s="32"/>
      <c r="Y1416" s="26"/>
      <c r="Z1416" s="26"/>
      <c r="AA1416" s="27">
        <f>IF(TA[[#This Row],[Work Start time on Fault]]="NA","",(TA[[#This Row],[Fault Acknowledgement Time ]]-TA[[#This Row],[Fault Time]])*24)</f>
        <v>0</v>
      </c>
      <c r="AB1416" s="27">
        <f>(TA[[#This Row],[Work Start time on Fault]]-TA[[#This Row],[Fault Time]])*24</f>
        <v>0</v>
      </c>
      <c r="AC1416" s="26">
        <f>(TA[[#This Row],[Work Completion time on fault]]-TA[[#This Row],[Fault Time]])*24</f>
        <v>0</v>
      </c>
      <c r="AD1416" s="27">
        <f>IFERROR((TA[[#This Row],[Work Completion time on fault]]-TA[[#This Row],[Fault Time]])*24,"")</f>
        <v>0</v>
      </c>
      <c r="AE1416" t="s">
        <v>319</v>
      </c>
      <c r="AF1416" t="s">
        <v>247</v>
      </c>
      <c r="AG1416" s="2"/>
      <c r="AH1416" s="35">
        <f>1-COS(RADIANS(TA[[#This Row],[Avg. Target Angle during Fault Time (Radians)]]-TA[[#This Row],[Angle of affected equipment ]]))</f>
        <v>0.11705240714107301</v>
      </c>
      <c r="AI1416" s="27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43">
        <f t="shared" si="168"/>
        <v>2026</v>
      </c>
      <c r="C1417" s="116">
        <f t="shared" si="169"/>
        <v>2025</v>
      </c>
      <c r="D1417" s="2" t="s">
        <v>155</v>
      </c>
      <c r="E1417" s="2" t="s">
        <v>155</v>
      </c>
      <c r="F1417" s="30">
        <v>45839</v>
      </c>
      <c r="G1417" s="2">
        <f>DAY(EOMONTH(TA[[#This Row],[Month Year]],0))</f>
        <v>31</v>
      </c>
      <c r="H1417" s="21">
        <v>45845</v>
      </c>
      <c r="I1417" s="32">
        <f>IFERROR(VLOOKUP(TA[[#This Row],[Date]],Raw_Data[[Date]:[Sunset Time (POA&lt;20 W/m2)]],3,0),"")</f>
        <v>0.25972222222222224</v>
      </c>
      <c r="J1417" s="32">
        <f>IFERROR(VLOOKUP(TA[[#This Row],[Date]],Raw_Data[[Date]:[Sunset Time (POA&lt;20 W/m2)]],4,0),"")</f>
        <v>0.78125</v>
      </c>
      <c r="K1417" s="27">
        <f>IFERROR((TA[[#This Row],[Sunset Time (POA&lt;20 W/m2)]]-TA[[#This Row],[Sunrise Time (POA&gt;20 W/m2)]])*24,"")</f>
        <v>12.516666666666667</v>
      </c>
      <c r="L1417" s="2" t="s">
        <v>287</v>
      </c>
      <c r="M1417" s="33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321</v>
      </c>
      <c r="Q1417" s="2" t="s">
        <v>314</v>
      </c>
      <c r="R1417">
        <v>30</v>
      </c>
      <c r="S1417" s="2">
        <v>57</v>
      </c>
      <c r="T1417" t="s">
        <v>288</v>
      </c>
      <c r="U1417" t="s">
        <v>291</v>
      </c>
      <c r="V1417" t="s">
        <v>292</v>
      </c>
      <c r="W1417" s="32"/>
      <c r="X1417" s="32"/>
      <c r="Y1417" s="26"/>
      <c r="Z1417" s="26"/>
      <c r="AA1417" s="27">
        <f>IF(TA[[#This Row],[Work Start time on Fault]]="NA","",(TA[[#This Row],[Fault Acknowledgement Time ]]-TA[[#This Row],[Fault Time]])*24)</f>
        <v>0</v>
      </c>
      <c r="AB1417" s="27">
        <f>(TA[[#This Row],[Work Start time on Fault]]-TA[[#This Row],[Fault Time]])*24</f>
        <v>0</v>
      </c>
      <c r="AC1417" s="26">
        <f>(TA[[#This Row],[Work Completion time on fault]]-TA[[#This Row],[Fault Time]])*24</f>
        <v>0</v>
      </c>
      <c r="AD1417" s="27">
        <f>IFERROR((TA[[#This Row],[Work Completion time on fault]]-TA[[#This Row],[Fault Time]])*24,"")</f>
        <v>0</v>
      </c>
      <c r="AE1417" t="s">
        <v>319</v>
      </c>
      <c r="AF1417" t="s">
        <v>247</v>
      </c>
      <c r="AG1417" s="2"/>
      <c r="AH1417" s="35">
        <f>1-COS(RADIANS(TA[[#This Row],[Avg. Target Angle during Fault Time (Radians)]]-TA[[#This Row],[Angle of affected equipment ]]))</f>
        <v>0.11705240714107301</v>
      </c>
      <c r="AI1417" s="27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43">
        <f t="shared" si="168"/>
        <v>2026</v>
      </c>
      <c r="C1418" s="116">
        <f t="shared" si="169"/>
        <v>2025</v>
      </c>
      <c r="D1418" s="2" t="s">
        <v>155</v>
      </c>
      <c r="E1418" s="2" t="s">
        <v>155</v>
      </c>
      <c r="F1418" s="30">
        <v>45839</v>
      </c>
      <c r="G1418" s="2">
        <f>DAY(EOMONTH(TA[[#This Row],[Month Year]],0))</f>
        <v>31</v>
      </c>
      <c r="H1418" s="21">
        <v>45845</v>
      </c>
      <c r="I1418" s="32">
        <f>IFERROR(VLOOKUP(TA[[#This Row],[Date]],Raw_Data[[Date]:[Sunset Time (POA&lt;20 W/m2)]],3,0),"")</f>
        <v>0.25972222222222224</v>
      </c>
      <c r="J1418" s="32">
        <f>IFERROR(VLOOKUP(TA[[#This Row],[Date]],Raw_Data[[Date]:[Sunset Time (POA&lt;20 W/m2)]],4,0),"")</f>
        <v>0.78125</v>
      </c>
      <c r="K1418" s="27">
        <f>IFERROR((TA[[#This Row],[Sunset Time (POA&lt;20 W/m2)]]-TA[[#This Row],[Sunrise Time (POA&gt;20 W/m2)]])*24,"")</f>
        <v>12.516666666666667</v>
      </c>
      <c r="L1418" s="2" t="s">
        <v>287</v>
      </c>
      <c r="M1418" s="33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321</v>
      </c>
      <c r="Q1418" s="2" t="s">
        <v>314</v>
      </c>
      <c r="R1418">
        <v>31</v>
      </c>
      <c r="S1418" s="2">
        <v>61</v>
      </c>
      <c r="T1418" t="s">
        <v>288</v>
      </c>
      <c r="U1418" t="s">
        <v>291</v>
      </c>
      <c r="V1418" t="s">
        <v>292</v>
      </c>
      <c r="W1418" s="32"/>
      <c r="X1418" s="32"/>
      <c r="Y1418" s="26"/>
      <c r="Z1418" s="26"/>
      <c r="AA1418" s="27">
        <f>IF(TA[[#This Row],[Work Start time on Fault]]="NA","",(TA[[#This Row],[Fault Acknowledgement Time ]]-TA[[#This Row],[Fault Time]])*24)</f>
        <v>0</v>
      </c>
      <c r="AB1418" s="27">
        <f>(TA[[#This Row],[Work Start time on Fault]]-TA[[#This Row],[Fault Time]])*24</f>
        <v>0</v>
      </c>
      <c r="AC1418" s="26">
        <f>(TA[[#This Row],[Work Completion time on fault]]-TA[[#This Row],[Fault Time]])*24</f>
        <v>0</v>
      </c>
      <c r="AD1418" s="27">
        <f>IFERROR((TA[[#This Row],[Work Completion time on fault]]-TA[[#This Row],[Fault Time]])*24,"")</f>
        <v>0</v>
      </c>
      <c r="AE1418" t="s">
        <v>319</v>
      </c>
      <c r="AF1418" t="s">
        <v>247</v>
      </c>
      <c r="AG1418" s="2"/>
      <c r="AH1418" s="35">
        <f>1-COS(RADIANS(TA[[#This Row],[Avg. Target Angle during Fault Time (Radians)]]-TA[[#This Row],[Angle of affected equipment ]]))</f>
        <v>0.11705240714107301</v>
      </c>
      <c r="AI1418" s="27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43">
        <f t="shared" si="168"/>
        <v>2026</v>
      </c>
      <c r="C1419" s="116">
        <f t="shared" si="169"/>
        <v>2025</v>
      </c>
      <c r="D1419" s="2" t="s">
        <v>155</v>
      </c>
      <c r="E1419" s="2" t="s">
        <v>155</v>
      </c>
      <c r="F1419" s="30">
        <v>45839</v>
      </c>
      <c r="G1419" s="2">
        <f>DAY(EOMONTH(TA[[#This Row],[Month Year]],0))</f>
        <v>31</v>
      </c>
      <c r="H1419" s="21">
        <v>45845</v>
      </c>
      <c r="I1419" s="32">
        <f>IFERROR(VLOOKUP(TA[[#This Row],[Date]],Raw_Data[[Date]:[Sunset Time (POA&lt;20 W/m2)]],3,0),"")</f>
        <v>0.25972222222222224</v>
      </c>
      <c r="J1419" s="32">
        <f>IFERROR(VLOOKUP(TA[[#This Row],[Date]],Raw_Data[[Date]:[Sunset Time (POA&lt;20 W/m2)]],4,0),"")</f>
        <v>0.78125</v>
      </c>
      <c r="K1419" s="27">
        <f>IFERROR((TA[[#This Row],[Sunset Time (POA&lt;20 W/m2)]]-TA[[#This Row],[Sunrise Time (POA&gt;20 W/m2)]])*24,"")</f>
        <v>12.516666666666667</v>
      </c>
      <c r="L1419" s="2" t="s">
        <v>303</v>
      </c>
      <c r="M1419" s="33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321</v>
      </c>
      <c r="Q1419" s="2" t="s">
        <v>314</v>
      </c>
      <c r="R1419">
        <v>26</v>
      </c>
      <c r="S1419" s="2">
        <v>37</v>
      </c>
      <c r="T1419" t="s">
        <v>288</v>
      </c>
      <c r="U1419" t="s">
        <v>291</v>
      </c>
      <c r="V1419" t="s">
        <v>292</v>
      </c>
      <c r="W1419" s="32"/>
      <c r="X1419" s="32"/>
      <c r="Y1419" s="26"/>
      <c r="Z1419" s="26"/>
      <c r="AA1419" s="27">
        <f>IF(TA[[#This Row],[Work Start time on Fault]]="NA","",(TA[[#This Row],[Fault Acknowledgement Time ]]-TA[[#This Row],[Fault Time]])*24)</f>
        <v>0</v>
      </c>
      <c r="AB1419" s="27">
        <f>(TA[[#This Row],[Work Start time on Fault]]-TA[[#This Row],[Fault Time]])*24</f>
        <v>0</v>
      </c>
      <c r="AC1419" s="26">
        <f>(TA[[#This Row],[Work Completion time on fault]]-TA[[#This Row],[Fault Time]])*24</f>
        <v>0</v>
      </c>
      <c r="AD1419" s="27">
        <f>IFERROR((TA[[#This Row],[Work Completion time on fault]]-TA[[#This Row],[Fault Time]])*24,"")</f>
        <v>0</v>
      </c>
      <c r="AE1419" t="s">
        <v>319</v>
      </c>
      <c r="AF1419" t="s">
        <v>247</v>
      </c>
      <c r="AG1419" s="2"/>
      <c r="AH1419" s="35">
        <f>1-COS(RADIANS(TA[[#This Row],[Avg. Target Angle during Fault Time (Radians)]]-TA[[#This Row],[Angle of affected equipment ]]))</f>
        <v>0.11705240714107301</v>
      </c>
      <c r="AI1419" s="27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43">
        <f t="shared" si="168"/>
        <v>2026</v>
      </c>
      <c r="C1420" s="116">
        <f t="shared" si="169"/>
        <v>2025</v>
      </c>
      <c r="D1420" s="2" t="s">
        <v>155</v>
      </c>
      <c r="E1420" s="2" t="s">
        <v>155</v>
      </c>
      <c r="F1420" s="30">
        <v>45839</v>
      </c>
      <c r="G1420" s="2">
        <f>DAY(EOMONTH(TA[[#This Row],[Month Year]],0))</f>
        <v>31</v>
      </c>
      <c r="H1420" s="21">
        <v>45845</v>
      </c>
      <c r="I1420" s="32">
        <f>IFERROR(VLOOKUP(TA[[#This Row],[Date]],Raw_Data[[Date]:[Sunset Time (POA&lt;20 W/m2)]],3,0),"")</f>
        <v>0.25972222222222224</v>
      </c>
      <c r="J1420" s="32">
        <f>IFERROR(VLOOKUP(TA[[#This Row],[Date]],Raw_Data[[Date]:[Sunset Time (POA&lt;20 W/m2)]],4,0),"")</f>
        <v>0.78125</v>
      </c>
      <c r="K1420" s="27">
        <f>IFERROR((TA[[#This Row],[Sunset Time (POA&lt;20 W/m2)]]-TA[[#This Row],[Sunrise Time (POA&gt;20 W/m2)]])*24,"")</f>
        <v>12.516666666666667</v>
      </c>
      <c r="L1420" s="2" t="s">
        <v>303</v>
      </c>
      <c r="M1420" s="33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321</v>
      </c>
      <c r="Q1420" s="2" t="s">
        <v>314</v>
      </c>
      <c r="R1420">
        <v>27</v>
      </c>
      <c r="S1420" s="2">
        <v>42</v>
      </c>
      <c r="T1420" t="s">
        <v>288</v>
      </c>
      <c r="U1420" t="s">
        <v>291</v>
      </c>
      <c r="V1420" t="s">
        <v>292</v>
      </c>
      <c r="W1420" s="32">
        <f>IFERROR(VLOOKUP(TA[[#This Row],[Date]],Raw_Data[[Date]:[Sunset Time (POA&lt;20 W/m2)]],3,0),"")</f>
        <v>0.25972222222222224</v>
      </c>
      <c r="X1420" s="32">
        <f>IFERROR(VLOOKUP(TA[[#This Row],[Date]],Raw_Data[[Date]:[Sunset Time (POA&lt;20 W/m2)]],3,0),"")</f>
        <v>0.25972222222222224</v>
      </c>
      <c r="Y1420" s="26"/>
      <c r="Z1420" s="26">
        <v>0.76041666666666663</v>
      </c>
      <c r="AA1420" s="27">
        <f>IF(TA[[#This Row],[Work Start time on Fault]]="NA","",(TA[[#This Row],[Fault Acknowledgement Time ]]-TA[[#This Row],[Fault Time]])*24)</f>
        <v>0</v>
      </c>
      <c r="AB1420" s="27">
        <f>(TA[[#This Row],[Work Start time on Fault]]-TA[[#This Row],[Fault Time]])*24</f>
        <v>-6.2333333333333343</v>
      </c>
      <c r="AC1420" s="26">
        <f>(TA[[#This Row],[Work Completion time on fault]]-TA[[#This Row],[Fault Time]])*24</f>
        <v>12.016666666666664</v>
      </c>
      <c r="AD1420" s="27">
        <f>IFERROR((TA[[#This Row],[Work Completion time on fault]]-TA[[#This Row],[Fault Time]])*24,"")</f>
        <v>12.016666666666664</v>
      </c>
      <c r="AE1420" t="s">
        <v>300</v>
      </c>
      <c r="AF1420" t="s">
        <v>247</v>
      </c>
      <c r="AG1420" s="2"/>
      <c r="AH1420" s="35">
        <f>1-COS(RADIANS(TA[[#This Row],[Avg. Target Angle during Fault Time (Radians)]]-TA[[#This Row],[Angle of affected equipment ]]))</f>
        <v>0.11705240714107301</v>
      </c>
      <c r="AI1420" s="27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43">
        <f t="shared" ref="B1421:B1433" si="170">YEAR(H1421)+IF(MONTH(H1421)&gt;=4,1,0)</f>
        <v>2026</v>
      </c>
      <c r="C1421" s="116">
        <f t="shared" ref="C1421:C1433" si="171">YEAR(H1421)</f>
        <v>2025</v>
      </c>
      <c r="D1421" s="2" t="s">
        <v>155</v>
      </c>
      <c r="E1421" s="2" t="s">
        <v>155</v>
      </c>
      <c r="F1421" s="30">
        <v>45839</v>
      </c>
      <c r="G1421" s="2">
        <f>DAY(EOMONTH(TA[[#This Row],[Month Year]],0))</f>
        <v>31</v>
      </c>
      <c r="H1421" s="21">
        <v>45846</v>
      </c>
      <c r="I1421" s="32">
        <f>IFERROR(VLOOKUP(TA[[#This Row],[Date]],Raw_Data[[Date]:[Sunset Time (POA&lt;20 W/m2)]],3,0),"")</f>
        <v>0.25833333333333336</v>
      </c>
      <c r="J1421" s="32">
        <f>IFERROR(VLOOKUP(TA[[#This Row],[Date]],Raw_Data[[Date]:[Sunset Time (POA&lt;20 W/m2)]],4,0),"")</f>
        <v>0.77916666666666667</v>
      </c>
      <c r="K1421" s="27">
        <f>IFERROR((TA[[#This Row],[Sunset Time (POA&lt;20 W/m2)]]-TA[[#This Row],[Sunrise Time (POA&gt;20 W/m2)]])*24,"")</f>
        <v>12.499999999999998</v>
      </c>
      <c r="L1421" s="2" t="s">
        <v>285</v>
      </c>
      <c r="M1421" s="33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14" t="s">
        <v>309</v>
      </c>
      <c r="Q1421" s="113" t="s">
        <v>309</v>
      </c>
      <c r="R1421">
        <v>131</v>
      </c>
      <c r="S1421" s="2">
        <v>38</v>
      </c>
      <c r="T1421" t="s">
        <v>286</v>
      </c>
      <c r="U1421" t="s">
        <v>291</v>
      </c>
      <c r="V1421" t="s">
        <v>289</v>
      </c>
      <c r="W1421" s="32"/>
      <c r="X1421" s="32"/>
      <c r="Y1421" s="26"/>
      <c r="Z1421" s="26"/>
      <c r="AA1421" s="27">
        <f>IF(TA[[#This Row],[Work Start time on Fault]]="NA","",(TA[[#This Row],[Fault Acknowledgement Time ]]-TA[[#This Row],[Fault Time]])*24)</f>
        <v>0</v>
      </c>
      <c r="AB1421" s="27">
        <f>(TA[[#This Row],[Work Start time on Fault]]-TA[[#This Row],[Fault Time]])*24</f>
        <v>0</v>
      </c>
      <c r="AC1421" s="26">
        <f>(TA[[#This Row],[Work Completion time on fault]]-TA[[#This Row],[Fault Time]])*24</f>
        <v>0</v>
      </c>
      <c r="AD1421" s="27">
        <f>IFERROR((TA[[#This Row],[Work Completion time on fault]]-TA[[#This Row],[Fault Time]])*24,"")</f>
        <v>0</v>
      </c>
      <c r="AE1421" t="s">
        <v>319</v>
      </c>
      <c r="AF1421" t="s">
        <v>247</v>
      </c>
      <c r="AG1421" s="2"/>
      <c r="AH1421" s="35">
        <f>1-COS(RADIANS(TA[[#This Row],[Avg. Target Angle during Fault Time (Radians)]]-TA[[#This Row],[Angle of affected equipment ]]))</f>
        <v>0.11705240714107301</v>
      </c>
      <c r="AI1421" s="27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43">
        <f t="shared" si="170"/>
        <v>2026</v>
      </c>
      <c r="C1422" s="116">
        <f t="shared" si="171"/>
        <v>2025</v>
      </c>
      <c r="D1422" s="2" t="s">
        <v>155</v>
      </c>
      <c r="E1422" s="2" t="s">
        <v>155</v>
      </c>
      <c r="F1422" s="30">
        <v>45839</v>
      </c>
      <c r="G1422" s="2">
        <f>DAY(EOMONTH(TA[[#This Row],[Month Year]],0))</f>
        <v>31</v>
      </c>
      <c r="H1422" s="21">
        <v>45846</v>
      </c>
      <c r="I1422" s="32">
        <f>IFERROR(VLOOKUP(TA[[#This Row],[Date]],Raw_Data[[Date]:[Sunset Time (POA&lt;20 W/m2)]],3,0),"")</f>
        <v>0.25833333333333336</v>
      </c>
      <c r="J1422" s="32">
        <f>IFERROR(VLOOKUP(TA[[#This Row],[Date]],Raw_Data[[Date]:[Sunset Time (POA&lt;20 W/m2)]],4,0),"")</f>
        <v>0.77916666666666667</v>
      </c>
      <c r="K1422" s="27">
        <f>IFERROR((TA[[#This Row],[Sunset Time (POA&lt;20 W/m2)]]-TA[[#This Row],[Sunrise Time (POA&gt;20 W/m2)]])*24,"")</f>
        <v>12.499999999999998</v>
      </c>
      <c r="L1422" s="2" t="s">
        <v>285</v>
      </c>
      <c r="M1422" s="33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14" t="s">
        <v>309</v>
      </c>
      <c r="Q1422" s="113" t="s">
        <v>309</v>
      </c>
      <c r="R1422">
        <v>131</v>
      </c>
      <c r="S1422" s="2">
        <v>39</v>
      </c>
      <c r="T1422" t="s">
        <v>286</v>
      </c>
      <c r="U1422" t="s">
        <v>291</v>
      </c>
      <c r="V1422" t="s">
        <v>289</v>
      </c>
      <c r="W1422" s="32"/>
      <c r="X1422" s="32"/>
      <c r="Y1422" s="26"/>
      <c r="Z1422" s="26"/>
      <c r="AA1422" s="27">
        <f>IF(TA[[#This Row],[Work Start time on Fault]]="NA","",(TA[[#This Row],[Fault Acknowledgement Time ]]-TA[[#This Row],[Fault Time]])*24)</f>
        <v>0</v>
      </c>
      <c r="AB1422" s="27">
        <f>(TA[[#This Row],[Work Start time on Fault]]-TA[[#This Row],[Fault Time]])*24</f>
        <v>0</v>
      </c>
      <c r="AC1422" s="26">
        <f>(TA[[#This Row],[Work Completion time on fault]]-TA[[#This Row],[Fault Time]])*24</f>
        <v>0</v>
      </c>
      <c r="AD1422" s="27">
        <f>IFERROR((TA[[#This Row],[Work Completion time on fault]]-TA[[#This Row],[Fault Time]])*24,"")</f>
        <v>0</v>
      </c>
      <c r="AE1422" t="s">
        <v>319</v>
      </c>
      <c r="AF1422" t="s">
        <v>247</v>
      </c>
      <c r="AG1422" s="2"/>
      <c r="AH1422" s="35">
        <f>1-COS(RADIANS(TA[[#This Row],[Avg. Target Angle during Fault Time (Radians)]]-TA[[#This Row],[Angle of affected equipment ]]))</f>
        <v>0.11705240714107301</v>
      </c>
      <c r="AI1422" s="27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43">
        <f t="shared" si="170"/>
        <v>2026</v>
      </c>
      <c r="C1423" s="116">
        <f t="shared" si="171"/>
        <v>2025</v>
      </c>
      <c r="D1423" s="2" t="s">
        <v>155</v>
      </c>
      <c r="E1423" s="2" t="s">
        <v>155</v>
      </c>
      <c r="F1423" s="30">
        <v>45839</v>
      </c>
      <c r="G1423" s="2">
        <f>DAY(EOMONTH(TA[[#This Row],[Month Year]],0))</f>
        <v>31</v>
      </c>
      <c r="H1423" s="21">
        <v>45846</v>
      </c>
      <c r="I1423" s="32">
        <f>IFERROR(VLOOKUP(TA[[#This Row],[Date]],Raw_Data[[Date]:[Sunset Time (POA&lt;20 W/m2)]],3,0),"")</f>
        <v>0.25833333333333336</v>
      </c>
      <c r="J1423" s="32">
        <f>IFERROR(VLOOKUP(TA[[#This Row],[Date]],Raw_Data[[Date]:[Sunset Time (POA&lt;20 W/m2)]],4,0),"")</f>
        <v>0.77916666666666667</v>
      </c>
      <c r="K1423" s="27">
        <f>IFERROR((TA[[#This Row],[Sunset Time (POA&lt;20 W/m2)]]-TA[[#This Row],[Sunrise Time (POA&gt;20 W/m2)]])*24,"")</f>
        <v>12.499999999999998</v>
      </c>
      <c r="L1423" s="2" t="s">
        <v>287</v>
      </c>
      <c r="M1423" s="33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14" t="s">
        <v>309</v>
      </c>
      <c r="Q1423" s="2" t="s">
        <v>312</v>
      </c>
      <c r="R1423">
        <v>133</v>
      </c>
      <c r="S1423" s="2">
        <v>26</v>
      </c>
      <c r="T1423" t="s">
        <v>288</v>
      </c>
      <c r="U1423" t="s">
        <v>291</v>
      </c>
      <c r="V1423" t="s">
        <v>305</v>
      </c>
      <c r="W1423" s="32">
        <f>IFERROR(VLOOKUP(TA[[#This Row],[Date]],Raw_Data[[Date]:[Sunset Time (POA&lt;20 W/m2)]],3,0),"")</f>
        <v>0.25833333333333336</v>
      </c>
      <c r="X1423" s="32">
        <f>IFERROR(VLOOKUP(TA[[#This Row],[Date]],Raw_Data[[Date]:[Sunset Time (POA&lt;20 W/m2)]],3,0),"")</f>
        <v>0.25833333333333336</v>
      </c>
      <c r="Y1423" s="26"/>
      <c r="Z1423" s="26">
        <v>0.76041666666666663</v>
      </c>
      <c r="AA1423" s="27">
        <f>IF(TA[[#This Row],[Work Start time on Fault]]="NA","",(TA[[#This Row],[Fault Acknowledgement Time ]]-TA[[#This Row],[Fault Time]])*24)</f>
        <v>0</v>
      </c>
      <c r="AB1423" s="27">
        <f>(TA[[#This Row],[Work Start time on Fault]]-TA[[#This Row],[Fault Time]])*24</f>
        <v>-6.2000000000000011</v>
      </c>
      <c r="AC1423" s="26">
        <f>(TA[[#This Row],[Work Completion time on fault]]-TA[[#This Row],[Fault Time]])*24</f>
        <v>12.049999999999997</v>
      </c>
      <c r="AD1423" s="27">
        <f>IFERROR((TA[[#This Row],[Work Completion time on fault]]-TA[[#This Row],[Fault Time]])*24,"")</f>
        <v>12.049999999999997</v>
      </c>
      <c r="AE1423" t="s">
        <v>319</v>
      </c>
      <c r="AF1423" t="s">
        <v>247</v>
      </c>
      <c r="AG1423" s="2"/>
      <c r="AH1423" s="35">
        <f>1-COS(RADIANS(TA[[#This Row],[Avg. Target Angle during Fault Time (Radians)]]-TA[[#This Row],[Angle of affected equipment ]]))</f>
        <v>0.11705240714107301</v>
      </c>
      <c r="AI1423" s="27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43">
        <f t="shared" si="170"/>
        <v>2026</v>
      </c>
      <c r="C1424" s="116">
        <f t="shared" si="171"/>
        <v>2025</v>
      </c>
      <c r="D1424" s="2" t="s">
        <v>155</v>
      </c>
      <c r="E1424" s="2" t="s">
        <v>155</v>
      </c>
      <c r="F1424" s="30">
        <v>45839</v>
      </c>
      <c r="G1424" s="2">
        <f>DAY(EOMONTH(TA[[#This Row],[Month Year]],0))</f>
        <v>31</v>
      </c>
      <c r="H1424" s="21">
        <v>45846</v>
      </c>
      <c r="I1424" s="32">
        <f>IFERROR(VLOOKUP(TA[[#This Row],[Date]],Raw_Data[[Date]:[Sunset Time (POA&lt;20 W/m2)]],3,0),"")</f>
        <v>0.25833333333333336</v>
      </c>
      <c r="J1424" s="32">
        <f>IFERROR(VLOOKUP(TA[[#This Row],[Date]],Raw_Data[[Date]:[Sunset Time (POA&lt;20 W/m2)]],4,0),"")</f>
        <v>0.77916666666666667</v>
      </c>
      <c r="K1424" s="27">
        <f>IFERROR((TA[[#This Row],[Sunset Time (POA&lt;20 W/m2)]]-TA[[#This Row],[Sunrise Time (POA&gt;20 W/m2)]])*24,"")</f>
        <v>12.499999999999998</v>
      </c>
      <c r="L1424" s="2" t="s">
        <v>285</v>
      </c>
      <c r="M1424" s="33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14" t="s">
        <v>307</v>
      </c>
      <c r="Q1424" s="113" t="s">
        <v>308</v>
      </c>
      <c r="R1424">
        <v>7</v>
      </c>
      <c r="S1424" s="2">
        <v>32</v>
      </c>
      <c r="T1424" t="s">
        <v>286</v>
      </c>
      <c r="U1424" t="s">
        <v>291</v>
      </c>
      <c r="V1424" t="s">
        <v>289</v>
      </c>
      <c r="W1424" s="32"/>
      <c r="X1424" s="32"/>
      <c r="Y1424" s="26"/>
      <c r="Z1424" s="26"/>
      <c r="AA1424" s="27">
        <f>IF(TA[[#This Row],[Work Start time on Fault]]="NA","",(TA[[#This Row],[Fault Acknowledgement Time ]]-TA[[#This Row],[Fault Time]])*24)</f>
        <v>0</v>
      </c>
      <c r="AB1424" s="27">
        <f>(TA[[#This Row],[Work Start time on Fault]]-TA[[#This Row],[Fault Time]])*24</f>
        <v>0</v>
      </c>
      <c r="AC1424" s="26">
        <f>(TA[[#This Row],[Work Completion time on fault]]-TA[[#This Row],[Fault Time]])*24</f>
        <v>0</v>
      </c>
      <c r="AD1424" s="27">
        <f>IFERROR((TA[[#This Row],[Work Completion time on fault]]-TA[[#This Row],[Fault Time]])*24,"")</f>
        <v>0</v>
      </c>
      <c r="AE1424" t="s">
        <v>319</v>
      </c>
      <c r="AF1424" t="s">
        <v>247</v>
      </c>
      <c r="AG1424" s="2"/>
      <c r="AH1424" s="35">
        <f>1-COS(RADIANS(TA[[#This Row],[Avg. Target Angle during Fault Time (Radians)]]-TA[[#This Row],[Angle of affected equipment ]]))</f>
        <v>0.11705240714107301</v>
      </c>
      <c r="AI1424" s="27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43">
        <f t="shared" si="170"/>
        <v>2026</v>
      </c>
      <c r="C1425" s="116">
        <f t="shared" si="171"/>
        <v>2025</v>
      </c>
      <c r="D1425" s="2" t="s">
        <v>155</v>
      </c>
      <c r="E1425" s="2" t="s">
        <v>155</v>
      </c>
      <c r="F1425" s="30">
        <v>45839</v>
      </c>
      <c r="G1425" s="2">
        <f>DAY(EOMONTH(TA[[#This Row],[Month Year]],0))</f>
        <v>31</v>
      </c>
      <c r="H1425" s="21">
        <v>45846</v>
      </c>
      <c r="I1425" s="32">
        <f>IFERROR(VLOOKUP(TA[[#This Row],[Date]],Raw_Data[[Date]:[Sunset Time (POA&lt;20 W/m2)]],3,0),"")</f>
        <v>0.25833333333333336</v>
      </c>
      <c r="J1425" s="32">
        <f>IFERROR(VLOOKUP(TA[[#This Row],[Date]],Raw_Data[[Date]:[Sunset Time (POA&lt;20 W/m2)]],4,0),"")</f>
        <v>0.77916666666666667</v>
      </c>
      <c r="K1425" s="27">
        <f>IFERROR((TA[[#This Row],[Sunset Time (POA&lt;20 W/m2)]]-TA[[#This Row],[Sunrise Time (POA&gt;20 W/m2)]])*24,"")</f>
        <v>12.499999999999998</v>
      </c>
      <c r="L1425" s="2" t="s">
        <v>285</v>
      </c>
      <c r="M1425" s="33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14" t="s">
        <v>306</v>
      </c>
      <c r="Q1425" s="113" t="s">
        <v>310</v>
      </c>
      <c r="R1425">
        <v>166</v>
      </c>
      <c r="S1425" s="2">
        <v>91</v>
      </c>
      <c r="T1425" t="s">
        <v>286</v>
      </c>
      <c r="U1425" t="s">
        <v>291</v>
      </c>
      <c r="V1425" t="s">
        <v>289</v>
      </c>
      <c r="W1425" s="32"/>
      <c r="X1425" s="32"/>
      <c r="Y1425" s="26"/>
      <c r="Z1425" s="26"/>
      <c r="AA1425" s="27">
        <f>IF(TA[[#This Row],[Work Start time on Fault]]="NA","",(TA[[#This Row],[Fault Acknowledgement Time ]]-TA[[#This Row],[Fault Time]])*24)</f>
        <v>0</v>
      </c>
      <c r="AB1425" s="27">
        <f>(TA[[#This Row],[Work Start time on Fault]]-TA[[#This Row],[Fault Time]])*24</f>
        <v>0</v>
      </c>
      <c r="AC1425" s="26">
        <f>(TA[[#This Row],[Work Completion time on fault]]-TA[[#This Row],[Fault Time]])*24</f>
        <v>0</v>
      </c>
      <c r="AD1425" s="27">
        <f>IFERROR((TA[[#This Row],[Work Completion time on fault]]-TA[[#This Row],[Fault Time]])*24,"")</f>
        <v>0</v>
      </c>
      <c r="AE1425" t="s">
        <v>319</v>
      </c>
      <c r="AF1425" t="s">
        <v>247</v>
      </c>
      <c r="AG1425" s="2"/>
      <c r="AH1425" s="35">
        <f>1-COS(RADIANS(TA[[#This Row],[Avg. Target Angle during Fault Time (Radians)]]-TA[[#This Row],[Angle of affected equipment ]]))</f>
        <v>0.11705240714107301</v>
      </c>
      <c r="AI1425" s="27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43">
        <f t="shared" si="170"/>
        <v>2026</v>
      </c>
      <c r="C1426" s="116">
        <f t="shared" si="171"/>
        <v>2025</v>
      </c>
      <c r="D1426" s="2" t="s">
        <v>155</v>
      </c>
      <c r="E1426" s="2" t="s">
        <v>155</v>
      </c>
      <c r="F1426" s="30">
        <v>45839</v>
      </c>
      <c r="G1426" s="2">
        <f>DAY(EOMONTH(TA[[#This Row],[Month Year]],0))</f>
        <v>31</v>
      </c>
      <c r="H1426" s="21">
        <v>45846</v>
      </c>
      <c r="I1426" s="32">
        <f>IFERROR(VLOOKUP(TA[[#This Row],[Date]],Raw_Data[[Date]:[Sunset Time (POA&lt;20 W/m2)]],3,0),"")</f>
        <v>0.25833333333333336</v>
      </c>
      <c r="J1426" s="32">
        <f>IFERROR(VLOOKUP(TA[[#This Row],[Date]],Raw_Data[[Date]:[Sunset Time (POA&lt;20 W/m2)]],4,0),"")</f>
        <v>0.77916666666666667</v>
      </c>
      <c r="K1426" s="27">
        <f>IFERROR((TA[[#This Row],[Sunset Time (POA&lt;20 W/m2)]]-TA[[#This Row],[Sunrise Time (POA&gt;20 W/m2)]])*24,"")</f>
        <v>12.499999999999998</v>
      </c>
      <c r="L1426" s="2" t="s">
        <v>285</v>
      </c>
      <c r="M1426" s="33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14" t="s">
        <v>307</v>
      </c>
      <c r="Q1426" s="113" t="s">
        <v>307</v>
      </c>
      <c r="R1426">
        <v>117</v>
      </c>
      <c r="S1426" s="2">
        <v>20</v>
      </c>
      <c r="T1426" t="s">
        <v>286</v>
      </c>
      <c r="U1426" t="s">
        <v>291</v>
      </c>
      <c r="V1426" t="s">
        <v>289</v>
      </c>
      <c r="W1426" s="32"/>
      <c r="X1426" s="32"/>
      <c r="Y1426" s="26"/>
      <c r="Z1426" s="26"/>
      <c r="AA1426" s="27">
        <f>IF(TA[[#This Row],[Work Start time on Fault]]="NA","",(TA[[#This Row],[Fault Acknowledgement Time ]]-TA[[#This Row],[Fault Time]])*24)</f>
        <v>0</v>
      </c>
      <c r="AB1426" s="27">
        <f>(TA[[#This Row],[Work Start time on Fault]]-TA[[#This Row],[Fault Time]])*24</f>
        <v>0</v>
      </c>
      <c r="AC1426" s="26">
        <f>(TA[[#This Row],[Work Completion time on fault]]-TA[[#This Row],[Fault Time]])*24</f>
        <v>0</v>
      </c>
      <c r="AD1426" s="27">
        <f>IFERROR((TA[[#This Row],[Work Completion time on fault]]-TA[[#This Row],[Fault Time]])*24,"")</f>
        <v>0</v>
      </c>
      <c r="AE1426" t="s">
        <v>319</v>
      </c>
      <c r="AF1426" t="s">
        <v>247</v>
      </c>
      <c r="AG1426" s="2"/>
      <c r="AH1426" s="35">
        <f>1-COS(RADIANS(TA[[#This Row],[Avg. Target Angle during Fault Time (Radians)]]-TA[[#This Row],[Angle of affected equipment ]]))</f>
        <v>0.11705240714107301</v>
      </c>
      <c r="AI1426" s="27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43">
        <f t="shared" si="170"/>
        <v>2026</v>
      </c>
      <c r="C1427" s="116">
        <f t="shared" si="171"/>
        <v>2025</v>
      </c>
      <c r="D1427" s="2" t="s">
        <v>155</v>
      </c>
      <c r="E1427" s="2" t="s">
        <v>155</v>
      </c>
      <c r="F1427" s="30">
        <v>45839</v>
      </c>
      <c r="G1427" s="2">
        <f>DAY(EOMONTH(TA[[#This Row],[Month Year]],0))</f>
        <v>31</v>
      </c>
      <c r="H1427" s="21">
        <v>45846</v>
      </c>
      <c r="I1427" s="32">
        <f>IFERROR(VLOOKUP(TA[[#This Row],[Date]],Raw_Data[[Date]:[Sunset Time (POA&lt;20 W/m2)]],3,0),"")</f>
        <v>0.25833333333333336</v>
      </c>
      <c r="J1427" s="32">
        <f>IFERROR(VLOOKUP(TA[[#This Row],[Date]],Raw_Data[[Date]:[Sunset Time (POA&lt;20 W/m2)]],4,0),"")</f>
        <v>0.77916666666666667</v>
      </c>
      <c r="K1427" s="27">
        <f>IFERROR((TA[[#This Row],[Sunset Time (POA&lt;20 W/m2)]]-TA[[#This Row],[Sunrise Time (POA&gt;20 W/m2)]])*24,"")</f>
        <v>12.499999999999998</v>
      </c>
      <c r="L1427" s="2" t="s">
        <v>285</v>
      </c>
      <c r="M1427" s="33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14" t="s">
        <v>307</v>
      </c>
      <c r="Q1427" s="113" t="s">
        <v>307</v>
      </c>
      <c r="R1427">
        <v>118</v>
      </c>
      <c r="S1427" s="2">
        <v>22</v>
      </c>
      <c r="T1427" t="s">
        <v>286</v>
      </c>
      <c r="U1427" t="s">
        <v>291</v>
      </c>
      <c r="V1427" t="s">
        <v>289</v>
      </c>
      <c r="W1427" s="32"/>
      <c r="X1427" s="32"/>
      <c r="Y1427" s="26"/>
      <c r="Z1427" s="26"/>
      <c r="AA1427" s="27">
        <f>IF(TA[[#This Row],[Work Start time on Fault]]="NA","",(TA[[#This Row],[Fault Acknowledgement Time ]]-TA[[#This Row],[Fault Time]])*24)</f>
        <v>0</v>
      </c>
      <c r="AB1427" s="27">
        <f>(TA[[#This Row],[Work Start time on Fault]]-TA[[#This Row],[Fault Time]])*24</f>
        <v>0</v>
      </c>
      <c r="AC1427" s="26">
        <f>(TA[[#This Row],[Work Completion time on fault]]-TA[[#This Row],[Fault Time]])*24</f>
        <v>0</v>
      </c>
      <c r="AD1427" s="27">
        <f>IFERROR((TA[[#This Row],[Work Completion time on fault]]-TA[[#This Row],[Fault Time]])*24,"")</f>
        <v>0</v>
      </c>
      <c r="AE1427" t="s">
        <v>319</v>
      </c>
      <c r="AF1427" t="s">
        <v>247</v>
      </c>
      <c r="AG1427" s="2"/>
      <c r="AH1427" s="35">
        <f>1-COS(RADIANS(TA[[#This Row],[Avg. Target Angle during Fault Time (Radians)]]-TA[[#This Row],[Angle of affected equipment ]]))</f>
        <v>0.11705240714107301</v>
      </c>
      <c r="AI1427" s="27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43">
        <f t="shared" si="170"/>
        <v>2026</v>
      </c>
      <c r="C1428" s="116">
        <f t="shared" si="171"/>
        <v>2025</v>
      </c>
      <c r="D1428" s="2" t="s">
        <v>155</v>
      </c>
      <c r="E1428" s="2" t="s">
        <v>155</v>
      </c>
      <c r="F1428" s="30">
        <v>45839</v>
      </c>
      <c r="G1428" s="2">
        <f>DAY(EOMONTH(TA[[#This Row],[Month Year]],0))</f>
        <v>31</v>
      </c>
      <c r="H1428" s="21">
        <v>45846</v>
      </c>
      <c r="I1428" s="32">
        <f>IFERROR(VLOOKUP(TA[[#This Row],[Date]],Raw_Data[[Date]:[Sunset Time (POA&lt;20 W/m2)]],3,0),"")</f>
        <v>0.25833333333333336</v>
      </c>
      <c r="J1428" s="32">
        <f>IFERROR(VLOOKUP(TA[[#This Row],[Date]],Raw_Data[[Date]:[Sunset Time (POA&lt;20 W/m2)]],4,0),"")</f>
        <v>0.77916666666666667</v>
      </c>
      <c r="K1428" s="27">
        <f>IFERROR((TA[[#This Row],[Sunset Time (POA&lt;20 W/m2)]]-TA[[#This Row],[Sunrise Time (POA&gt;20 W/m2)]])*24,"")</f>
        <v>12.499999999999998</v>
      </c>
      <c r="L1428" s="2" t="s">
        <v>287</v>
      </c>
      <c r="M1428" s="33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314</v>
      </c>
      <c r="Q1428" s="2" t="s">
        <v>320</v>
      </c>
      <c r="R1428">
        <v>45</v>
      </c>
      <c r="S1428" s="2">
        <v>8</v>
      </c>
      <c r="T1428" t="s">
        <v>288</v>
      </c>
      <c r="U1428" t="s">
        <v>291</v>
      </c>
      <c r="V1428" t="s">
        <v>292</v>
      </c>
      <c r="W1428" s="32"/>
      <c r="X1428" s="32"/>
      <c r="Y1428" s="26"/>
      <c r="Z1428" s="26"/>
      <c r="AA1428" s="27">
        <f>IF(TA[[#This Row],[Work Start time on Fault]]="NA","",(TA[[#This Row],[Fault Acknowledgement Time ]]-TA[[#This Row],[Fault Time]])*24)</f>
        <v>0</v>
      </c>
      <c r="AB1428" s="27">
        <f>(TA[[#This Row],[Work Start time on Fault]]-TA[[#This Row],[Fault Time]])*24</f>
        <v>0</v>
      </c>
      <c r="AC1428" s="26">
        <f>(TA[[#This Row],[Work Completion time on fault]]-TA[[#This Row],[Fault Time]])*24</f>
        <v>0</v>
      </c>
      <c r="AD1428" s="27">
        <f>IFERROR((TA[[#This Row],[Work Completion time on fault]]-TA[[#This Row],[Fault Time]])*24,"")</f>
        <v>0</v>
      </c>
      <c r="AE1428" t="s">
        <v>319</v>
      </c>
      <c r="AF1428" t="s">
        <v>247</v>
      </c>
      <c r="AG1428" s="2"/>
      <c r="AH1428" s="35">
        <f>1-COS(RADIANS(TA[[#This Row],[Avg. Target Angle during Fault Time (Radians)]]-TA[[#This Row],[Angle of affected equipment ]]))</f>
        <v>0.11705240714107301</v>
      </c>
      <c r="AI1428" s="27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43">
        <f t="shared" si="170"/>
        <v>2026</v>
      </c>
      <c r="C1429" s="116">
        <f t="shared" si="171"/>
        <v>2025</v>
      </c>
      <c r="D1429" s="2" t="s">
        <v>155</v>
      </c>
      <c r="E1429" s="2" t="s">
        <v>155</v>
      </c>
      <c r="F1429" s="30">
        <v>45839</v>
      </c>
      <c r="G1429" s="2">
        <f>DAY(EOMONTH(TA[[#This Row],[Month Year]],0))</f>
        <v>31</v>
      </c>
      <c r="H1429" s="21">
        <v>45846</v>
      </c>
      <c r="I1429" s="32">
        <f>IFERROR(VLOOKUP(TA[[#This Row],[Date]],Raw_Data[[Date]:[Sunset Time (POA&lt;20 W/m2)]],3,0),"")</f>
        <v>0.25833333333333336</v>
      </c>
      <c r="J1429" s="32">
        <f>IFERROR(VLOOKUP(TA[[#This Row],[Date]],Raw_Data[[Date]:[Sunset Time (POA&lt;20 W/m2)]],4,0),"")</f>
        <v>0.77916666666666667</v>
      </c>
      <c r="K1429" s="27">
        <f>IFERROR((TA[[#This Row],[Sunset Time (POA&lt;20 W/m2)]]-TA[[#This Row],[Sunrise Time (POA&gt;20 W/m2)]])*24,"")</f>
        <v>12.499999999999998</v>
      </c>
      <c r="L1429" s="2" t="s">
        <v>287</v>
      </c>
      <c r="M1429" s="33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314</v>
      </c>
      <c r="Q1429" s="2" t="s">
        <v>320</v>
      </c>
      <c r="R1429">
        <v>47</v>
      </c>
      <c r="S1429" s="2">
        <v>18</v>
      </c>
      <c r="T1429" t="s">
        <v>288</v>
      </c>
      <c r="U1429" t="s">
        <v>291</v>
      </c>
      <c r="V1429" t="s">
        <v>292</v>
      </c>
      <c r="W1429" s="32"/>
      <c r="X1429" s="32"/>
      <c r="Y1429" s="26"/>
      <c r="Z1429" s="26"/>
      <c r="AA1429" s="27">
        <f>IF(TA[[#This Row],[Work Start time on Fault]]="NA","",(TA[[#This Row],[Fault Acknowledgement Time ]]-TA[[#This Row],[Fault Time]])*24)</f>
        <v>0</v>
      </c>
      <c r="AB1429" s="27">
        <f>(TA[[#This Row],[Work Start time on Fault]]-TA[[#This Row],[Fault Time]])*24</f>
        <v>0</v>
      </c>
      <c r="AC1429" s="26">
        <f>(TA[[#This Row],[Work Completion time on fault]]-TA[[#This Row],[Fault Time]])*24</f>
        <v>0</v>
      </c>
      <c r="AD1429" s="27">
        <f>IFERROR((TA[[#This Row],[Work Completion time on fault]]-TA[[#This Row],[Fault Time]])*24,"")</f>
        <v>0</v>
      </c>
      <c r="AE1429" t="s">
        <v>319</v>
      </c>
      <c r="AF1429" t="s">
        <v>247</v>
      </c>
      <c r="AG1429" s="2"/>
      <c r="AH1429" s="35">
        <f>1-COS(RADIANS(TA[[#This Row],[Avg. Target Angle during Fault Time (Radians)]]-TA[[#This Row],[Angle of affected equipment ]]))</f>
        <v>0.11705240714107301</v>
      </c>
      <c r="AI1429" s="27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43">
        <f t="shared" si="170"/>
        <v>2026</v>
      </c>
      <c r="C1430" s="116">
        <f t="shared" si="171"/>
        <v>2025</v>
      </c>
      <c r="D1430" s="2" t="s">
        <v>155</v>
      </c>
      <c r="E1430" s="2" t="s">
        <v>155</v>
      </c>
      <c r="F1430" s="30">
        <v>45839</v>
      </c>
      <c r="G1430" s="2">
        <f>DAY(EOMONTH(TA[[#This Row],[Month Year]],0))</f>
        <v>31</v>
      </c>
      <c r="H1430" s="21">
        <v>45846</v>
      </c>
      <c r="I1430" s="32">
        <f>IFERROR(VLOOKUP(TA[[#This Row],[Date]],Raw_Data[[Date]:[Sunset Time (POA&lt;20 W/m2)]],3,0),"")</f>
        <v>0.25833333333333336</v>
      </c>
      <c r="J1430" s="32">
        <f>IFERROR(VLOOKUP(TA[[#This Row],[Date]],Raw_Data[[Date]:[Sunset Time (POA&lt;20 W/m2)]],4,0),"")</f>
        <v>0.77916666666666667</v>
      </c>
      <c r="K1430" s="27">
        <f>IFERROR((TA[[#This Row],[Sunset Time (POA&lt;20 W/m2)]]-TA[[#This Row],[Sunrise Time (POA&gt;20 W/m2)]])*24,"")</f>
        <v>12.499999999999998</v>
      </c>
      <c r="L1430" s="2" t="s">
        <v>287</v>
      </c>
      <c r="M1430" s="33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321</v>
      </c>
      <c r="Q1430" s="2" t="s">
        <v>314</v>
      </c>
      <c r="R1430">
        <v>30</v>
      </c>
      <c r="S1430" s="2">
        <v>57</v>
      </c>
      <c r="T1430" t="s">
        <v>288</v>
      </c>
      <c r="U1430" t="s">
        <v>291</v>
      </c>
      <c r="V1430" t="s">
        <v>292</v>
      </c>
      <c r="W1430" s="32"/>
      <c r="X1430" s="32"/>
      <c r="Y1430" s="26"/>
      <c r="Z1430" s="26"/>
      <c r="AA1430" s="27">
        <f>IF(TA[[#This Row],[Work Start time on Fault]]="NA","",(TA[[#This Row],[Fault Acknowledgement Time ]]-TA[[#This Row],[Fault Time]])*24)</f>
        <v>0</v>
      </c>
      <c r="AB1430" s="27">
        <f>(TA[[#This Row],[Work Start time on Fault]]-TA[[#This Row],[Fault Time]])*24</f>
        <v>0</v>
      </c>
      <c r="AC1430" s="26">
        <f>(TA[[#This Row],[Work Completion time on fault]]-TA[[#This Row],[Fault Time]])*24</f>
        <v>0</v>
      </c>
      <c r="AD1430" s="27">
        <f>IFERROR((TA[[#This Row],[Work Completion time on fault]]-TA[[#This Row],[Fault Time]])*24,"")</f>
        <v>0</v>
      </c>
      <c r="AE1430" t="s">
        <v>319</v>
      </c>
      <c r="AF1430" t="s">
        <v>247</v>
      </c>
      <c r="AG1430" s="2"/>
      <c r="AH1430" s="35">
        <f>1-COS(RADIANS(TA[[#This Row],[Avg. Target Angle during Fault Time (Radians)]]-TA[[#This Row],[Angle of affected equipment ]]))</f>
        <v>0.11705240714107301</v>
      </c>
      <c r="AI1430" s="27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43">
        <f t="shared" si="170"/>
        <v>2026</v>
      </c>
      <c r="C1431" s="116">
        <f t="shared" si="171"/>
        <v>2025</v>
      </c>
      <c r="D1431" s="2" t="s">
        <v>155</v>
      </c>
      <c r="E1431" s="2" t="s">
        <v>155</v>
      </c>
      <c r="F1431" s="30">
        <v>45839</v>
      </c>
      <c r="G1431" s="2">
        <f>DAY(EOMONTH(TA[[#This Row],[Month Year]],0))</f>
        <v>31</v>
      </c>
      <c r="H1431" s="21">
        <v>45846</v>
      </c>
      <c r="I1431" s="32">
        <f>IFERROR(VLOOKUP(TA[[#This Row],[Date]],Raw_Data[[Date]:[Sunset Time (POA&lt;20 W/m2)]],3,0),"")</f>
        <v>0.25833333333333336</v>
      </c>
      <c r="J1431" s="32">
        <f>IFERROR(VLOOKUP(TA[[#This Row],[Date]],Raw_Data[[Date]:[Sunset Time (POA&lt;20 W/m2)]],4,0),"")</f>
        <v>0.77916666666666667</v>
      </c>
      <c r="K1431" s="27">
        <f>IFERROR((TA[[#This Row],[Sunset Time (POA&lt;20 W/m2)]]-TA[[#This Row],[Sunrise Time (POA&gt;20 W/m2)]])*24,"")</f>
        <v>12.499999999999998</v>
      </c>
      <c r="L1431" s="2" t="s">
        <v>287</v>
      </c>
      <c r="M1431" s="33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321</v>
      </c>
      <c r="Q1431" s="2" t="s">
        <v>314</v>
      </c>
      <c r="R1431">
        <v>31</v>
      </c>
      <c r="S1431" s="2">
        <v>61</v>
      </c>
      <c r="T1431" t="s">
        <v>288</v>
      </c>
      <c r="U1431" t="s">
        <v>291</v>
      </c>
      <c r="V1431" t="s">
        <v>292</v>
      </c>
      <c r="W1431" s="32"/>
      <c r="X1431" s="32"/>
      <c r="Y1431" s="26"/>
      <c r="Z1431" s="26"/>
      <c r="AA1431" s="27">
        <f>IF(TA[[#This Row],[Work Start time on Fault]]="NA","",(TA[[#This Row],[Fault Acknowledgement Time ]]-TA[[#This Row],[Fault Time]])*24)</f>
        <v>0</v>
      </c>
      <c r="AB1431" s="27">
        <f>(TA[[#This Row],[Work Start time on Fault]]-TA[[#This Row],[Fault Time]])*24</f>
        <v>0</v>
      </c>
      <c r="AC1431" s="26">
        <f>(TA[[#This Row],[Work Completion time on fault]]-TA[[#This Row],[Fault Time]])*24</f>
        <v>0</v>
      </c>
      <c r="AD1431" s="27">
        <f>IFERROR((TA[[#This Row],[Work Completion time on fault]]-TA[[#This Row],[Fault Time]])*24,"")</f>
        <v>0</v>
      </c>
      <c r="AE1431" t="s">
        <v>319</v>
      </c>
      <c r="AF1431" t="s">
        <v>247</v>
      </c>
      <c r="AG1431" s="2"/>
      <c r="AH1431" s="35">
        <f>1-COS(RADIANS(TA[[#This Row],[Avg. Target Angle during Fault Time (Radians)]]-TA[[#This Row],[Angle of affected equipment ]]))</f>
        <v>0.11705240714107301</v>
      </c>
      <c r="AI1431" s="27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43">
        <f t="shared" si="170"/>
        <v>2026</v>
      </c>
      <c r="C1432" s="116">
        <f t="shared" si="171"/>
        <v>2025</v>
      </c>
      <c r="D1432" s="2" t="s">
        <v>155</v>
      </c>
      <c r="E1432" s="2" t="s">
        <v>155</v>
      </c>
      <c r="F1432" s="30">
        <v>45839</v>
      </c>
      <c r="G1432" s="2">
        <f>DAY(EOMONTH(TA[[#This Row],[Month Year]],0))</f>
        <v>31</v>
      </c>
      <c r="H1432" s="21">
        <v>45846</v>
      </c>
      <c r="I1432" s="32">
        <f>IFERROR(VLOOKUP(TA[[#This Row],[Date]],Raw_Data[[Date]:[Sunset Time (POA&lt;20 W/m2)]],3,0),"")</f>
        <v>0.25833333333333336</v>
      </c>
      <c r="J1432" s="32">
        <f>IFERROR(VLOOKUP(TA[[#This Row],[Date]],Raw_Data[[Date]:[Sunset Time (POA&lt;20 W/m2)]],4,0),"")</f>
        <v>0.77916666666666667</v>
      </c>
      <c r="K1432" s="27">
        <f>IFERROR((TA[[#This Row],[Sunset Time (POA&lt;20 W/m2)]]-TA[[#This Row],[Sunrise Time (POA&gt;20 W/m2)]])*24,"")</f>
        <v>12.499999999999998</v>
      </c>
      <c r="L1432" s="2" t="s">
        <v>303</v>
      </c>
      <c r="M1432" s="33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321</v>
      </c>
      <c r="Q1432" s="2" t="s">
        <v>314</v>
      </c>
      <c r="R1432">
        <v>26</v>
      </c>
      <c r="S1432" s="2">
        <v>37</v>
      </c>
      <c r="T1432" t="s">
        <v>288</v>
      </c>
      <c r="U1432" t="s">
        <v>291</v>
      </c>
      <c r="V1432" t="s">
        <v>292</v>
      </c>
      <c r="W1432" s="32"/>
      <c r="X1432" s="32"/>
      <c r="Y1432" s="26"/>
      <c r="Z1432" s="26"/>
      <c r="AA1432" s="27">
        <f>IF(TA[[#This Row],[Work Start time on Fault]]="NA","",(TA[[#This Row],[Fault Acknowledgement Time ]]-TA[[#This Row],[Fault Time]])*24)</f>
        <v>0</v>
      </c>
      <c r="AB1432" s="27">
        <f>(TA[[#This Row],[Work Start time on Fault]]-TA[[#This Row],[Fault Time]])*24</f>
        <v>0</v>
      </c>
      <c r="AC1432" s="26">
        <f>(TA[[#This Row],[Work Completion time on fault]]-TA[[#This Row],[Fault Time]])*24</f>
        <v>0</v>
      </c>
      <c r="AD1432" s="27">
        <f>IFERROR((TA[[#This Row],[Work Completion time on fault]]-TA[[#This Row],[Fault Time]])*24,"")</f>
        <v>0</v>
      </c>
      <c r="AE1432" t="s">
        <v>319</v>
      </c>
      <c r="AF1432" t="s">
        <v>247</v>
      </c>
      <c r="AG1432" s="2"/>
      <c r="AH1432" s="35">
        <f>1-COS(RADIANS(TA[[#This Row],[Avg. Target Angle during Fault Time (Radians)]]-TA[[#This Row],[Angle of affected equipment ]]))</f>
        <v>0.11705240714107301</v>
      </c>
      <c r="AI1432" s="27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43">
        <f t="shared" si="170"/>
        <v>2026</v>
      </c>
      <c r="C1433" s="116">
        <f t="shared" si="171"/>
        <v>2025</v>
      </c>
      <c r="D1433" s="2" t="s">
        <v>155</v>
      </c>
      <c r="E1433" s="2" t="s">
        <v>155</v>
      </c>
      <c r="F1433" s="30">
        <v>45839</v>
      </c>
      <c r="G1433" s="2">
        <f>DAY(EOMONTH(TA[[#This Row],[Month Year]],0))</f>
        <v>31</v>
      </c>
      <c r="H1433" s="21">
        <v>45846</v>
      </c>
      <c r="I1433" s="32">
        <f>IFERROR(VLOOKUP(TA[[#This Row],[Date]],Raw_Data[[Date]:[Sunset Time (POA&lt;20 W/m2)]],3,0),"")</f>
        <v>0.25833333333333336</v>
      </c>
      <c r="J1433" s="32">
        <f>IFERROR(VLOOKUP(TA[[#This Row],[Date]],Raw_Data[[Date]:[Sunset Time (POA&lt;20 W/m2)]],4,0),"")</f>
        <v>0.77916666666666667</v>
      </c>
      <c r="K1433" s="27">
        <f>IFERROR((TA[[#This Row],[Sunset Time (POA&lt;20 W/m2)]]-TA[[#This Row],[Sunrise Time (POA&gt;20 W/m2)]])*24,"")</f>
        <v>12.499999999999998</v>
      </c>
      <c r="L1433" s="2" t="s">
        <v>303</v>
      </c>
      <c r="M1433" s="33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321</v>
      </c>
      <c r="Q1433" s="2" t="s">
        <v>314</v>
      </c>
      <c r="R1433">
        <v>27</v>
      </c>
      <c r="S1433" s="2">
        <v>42</v>
      </c>
      <c r="T1433" t="s">
        <v>288</v>
      </c>
      <c r="U1433" t="s">
        <v>291</v>
      </c>
      <c r="V1433" t="s">
        <v>292</v>
      </c>
      <c r="W1433" s="32">
        <f>IFERROR(VLOOKUP(TA[[#This Row],[Date]],Raw_Data[[Date]:[Sunset Time (POA&lt;20 W/m2)]],3,0),"")</f>
        <v>0.25833333333333336</v>
      </c>
      <c r="X1433" s="32">
        <f>IFERROR(VLOOKUP(TA[[#This Row],[Date]],Raw_Data[[Date]:[Sunset Time (POA&lt;20 W/m2)]],3,0),"")</f>
        <v>0.25833333333333336</v>
      </c>
      <c r="Y1433" s="26"/>
      <c r="Z1433" s="26">
        <v>0.76041666666666663</v>
      </c>
      <c r="AA1433" s="27">
        <f>IF(TA[[#This Row],[Work Start time on Fault]]="NA","",(TA[[#This Row],[Fault Acknowledgement Time ]]-TA[[#This Row],[Fault Time]])*24)</f>
        <v>0</v>
      </c>
      <c r="AB1433" s="27">
        <f>(TA[[#This Row],[Work Start time on Fault]]-TA[[#This Row],[Fault Time]])*24</f>
        <v>-6.2000000000000011</v>
      </c>
      <c r="AC1433" s="26">
        <f>(TA[[#This Row],[Work Completion time on fault]]-TA[[#This Row],[Fault Time]])*24</f>
        <v>12.049999999999997</v>
      </c>
      <c r="AD1433" s="27">
        <f>IFERROR((TA[[#This Row],[Work Completion time on fault]]-TA[[#This Row],[Fault Time]])*24,"")</f>
        <v>12.049999999999997</v>
      </c>
      <c r="AE1433" t="s">
        <v>300</v>
      </c>
      <c r="AF1433" t="s">
        <v>247</v>
      </c>
      <c r="AG1433" s="2"/>
      <c r="AH1433" s="35">
        <f>1-COS(RADIANS(TA[[#This Row],[Avg. Target Angle during Fault Time (Radians)]]-TA[[#This Row],[Angle of affected equipment ]]))</f>
        <v>0.11705240714107301</v>
      </c>
      <c r="AI1433" s="27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43">
        <f t="shared" ref="B1434:B1446" si="172">YEAR(H1434)+IF(MONTH(H1434)&gt;=4,1,0)</f>
        <v>2026</v>
      </c>
      <c r="C1434" s="116">
        <f t="shared" ref="C1434:C1446" si="173">YEAR(H1434)</f>
        <v>2025</v>
      </c>
      <c r="D1434" s="2" t="s">
        <v>155</v>
      </c>
      <c r="E1434" s="2" t="s">
        <v>155</v>
      </c>
      <c r="F1434" s="30">
        <v>45839</v>
      </c>
      <c r="G1434" s="2">
        <f>DAY(EOMONTH(TA[[#This Row],[Month Year]],0))</f>
        <v>31</v>
      </c>
      <c r="H1434" s="21">
        <v>45847</v>
      </c>
      <c r="I1434" s="32">
        <f>IFERROR(VLOOKUP(TA[[#This Row],[Date]],Raw_Data[[Date]:[Sunset Time (POA&lt;20 W/m2)]],3,0),"")</f>
        <v>0.2590277777777778</v>
      </c>
      <c r="J1434" s="32">
        <f>IFERROR(VLOOKUP(TA[[#This Row],[Date]],Raw_Data[[Date]:[Sunset Time (POA&lt;20 W/m2)]],4,0),"")</f>
        <v>0.77222222222222225</v>
      </c>
      <c r="K1434" s="27">
        <f>IFERROR((TA[[#This Row],[Sunset Time (POA&lt;20 W/m2)]]-TA[[#This Row],[Sunrise Time (POA&gt;20 W/m2)]])*24,"")</f>
        <v>12.316666666666668</v>
      </c>
      <c r="L1434" s="2" t="s">
        <v>285</v>
      </c>
      <c r="M1434" s="33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14" t="s">
        <v>309</v>
      </c>
      <c r="Q1434" s="113" t="s">
        <v>309</v>
      </c>
      <c r="R1434">
        <v>131</v>
      </c>
      <c r="S1434" s="2">
        <v>38</v>
      </c>
      <c r="T1434" t="s">
        <v>286</v>
      </c>
      <c r="U1434" t="s">
        <v>291</v>
      </c>
      <c r="V1434" t="s">
        <v>289</v>
      </c>
      <c r="W1434" s="32"/>
      <c r="X1434" s="32"/>
      <c r="Y1434" s="26"/>
      <c r="Z1434" s="26"/>
      <c r="AA1434" s="27">
        <f>IF(TA[[#This Row],[Work Start time on Fault]]="NA","",(TA[[#This Row],[Fault Acknowledgement Time ]]-TA[[#This Row],[Fault Time]])*24)</f>
        <v>0</v>
      </c>
      <c r="AB1434" s="27">
        <f>(TA[[#This Row],[Work Start time on Fault]]-TA[[#This Row],[Fault Time]])*24</f>
        <v>0</v>
      </c>
      <c r="AC1434" s="26">
        <f>(TA[[#This Row],[Work Completion time on fault]]-TA[[#This Row],[Fault Time]])*24</f>
        <v>0</v>
      </c>
      <c r="AD1434" s="27">
        <f>IFERROR((TA[[#This Row],[Work Completion time on fault]]-TA[[#This Row],[Fault Time]])*24,"")</f>
        <v>0</v>
      </c>
      <c r="AE1434" t="s">
        <v>319</v>
      </c>
      <c r="AF1434" t="s">
        <v>247</v>
      </c>
      <c r="AG1434" s="2"/>
      <c r="AH1434" s="35">
        <f>1-COS(RADIANS(TA[[#This Row],[Avg. Target Angle during Fault Time (Radians)]]-TA[[#This Row],[Angle of affected equipment ]]))</f>
        <v>0.11705240714107301</v>
      </c>
      <c r="AI1434" s="27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43">
        <f t="shared" si="172"/>
        <v>2026</v>
      </c>
      <c r="C1435" s="116">
        <f t="shared" si="173"/>
        <v>2025</v>
      </c>
      <c r="D1435" s="2" t="s">
        <v>155</v>
      </c>
      <c r="E1435" s="2" t="s">
        <v>155</v>
      </c>
      <c r="F1435" s="30">
        <v>45839</v>
      </c>
      <c r="G1435" s="2">
        <f>DAY(EOMONTH(TA[[#This Row],[Month Year]],0))</f>
        <v>31</v>
      </c>
      <c r="H1435" s="21">
        <v>45847</v>
      </c>
      <c r="I1435" s="32">
        <f>IFERROR(VLOOKUP(TA[[#This Row],[Date]],Raw_Data[[Date]:[Sunset Time (POA&lt;20 W/m2)]],3,0),"")</f>
        <v>0.2590277777777778</v>
      </c>
      <c r="J1435" s="32">
        <f>IFERROR(VLOOKUP(TA[[#This Row],[Date]],Raw_Data[[Date]:[Sunset Time (POA&lt;20 W/m2)]],4,0),"")</f>
        <v>0.77222222222222225</v>
      </c>
      <c r="K1435" s="27">
        <f>IFERROR((TA[[#This Row],[Sunset Time (POA&lt;20 W/m2)]]-TA[[#This Row],[Sunrise Time (POA&gt;20 W/m2)]])*24,"")</f>
        <v>12.316666666666668</v>
      </c>
      <c r="L1435" s="2" t="s">
        <v>285</v>
      </c>
      <c r="M1435" s="33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14" t="s">
        <v>309</v>
      </c>
      <c r="Q1435" s="113" t="s">
        <v>309</v>
      </c>
      <c r="R1435">
        <v>131</v>
      </c>
      <c r="S1435" s="2">
        <v>39</v>
      </c>
      <c r="T1435" t="s">
        <v>286</v>
      </c>
      <c r="U1435" t="s">
        <v>291</v>
      </c>
      <c r="V1435" t="s">
        <v>289</v>
      </c>
      <c r="W1435" s="32"/>
      <c r="X1435" s="32"/>
      <c r="Y1435" s="26"/>
      <c r="Z1435" s="26"/>
      <c r="AA1435" s="27">
        <f>IF(TA[[#This Row],[Work Start time on Fault]]="NA","",(TA[[#This Row],[Fault Acknowledgement Time ]]-TA[[#This Row],[Fault Time]])*24)</f>
        <v>0</v>
      </c>
      <c r="AB1435" s="27">
        <f>(TA[[#This Row],[Work Start time on Fault]]-TA[[#This Row],[Fault Time]])*24</f>
        <v>0</v>
      </c>
      <c r="AC1435" s="26">
        <f>(TA[[#This Row],[Work Completion time on fault]]-TA[[#This Row],[Fault Time]])*24</f>
        <v>0</v>
      </c>
      <c r="AD1435" s="27">
        <f>IFERROR((TA[[#This Row],[Work Completion time on fault]]-TA[[#This Row],[Fault Time]])*24,"")</f>
        <v>0</v>
      </c>
      <c r="AE1435" t="s">
        <v>319</v>
      </c>
      <c r="AF1435" t="s">
        <v>247</v>
      </c>
      <c r="AG1435" s="2"/>
      <c r="AH1435" s="35">
        <f>1-COS(RADIANS(TA[[#This Row],[Avg. Target Angle during Fault Time (Radians)]]-TA[[#This Row],[Angle of affected equipment ]]))</f>
        <v>0.11705240714107301</v>
      </c>
      <c r="AI1435" s="27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43">
        <f t="shared" si="172"/>
        <v>2026</v>
      </c>
      <c r="C1436" s="116">
        <f t="shared" si="173"/>
        <v>2025</v>
      </c>
      <c r="D1436" s="2" t="s">
        <v>155</v>
      </c>
      <c r="E1436" s="2" t="s">
        <v>155</v>
      </c>
      <c r="F1436" s="30">
        <v>45839</v>
      </c>
      <c r="G1436" s="2">
        <f>DAY(EOMONTH(TA[[#This Row],[Month Year]],0))</f>
        <v>31</v>
      </c>
      <c r="H1436" s="21">
        <v>45847</v>
      </c>
      <c r="I1436" s="32">
        <f>IFERROR(VLOOKUP(TA[[#This Row],[Date]],Raw_Data[[Date]:[Sunset Time (POA&lt;20 W/m2)]],3,0),"")</f>
        <v>0.2590277777777778</v>
      </c>
      <c r="J1436" s="32">
        <f>IFERROR(VLOOKUP(TA[[#This Row],[Date]],Raw_Data[[Date]:[Sunset Time (POA&lt;20 W/m2)]],4,0),"")</f>
        <v>0.77222222222222225</v>
      </c>
      <c r="K1436" s="27">
        <f>IFERROR((TA[[#This Row],[Sunset Time (POA&lt;20 W/m2)]]-TA[[#This Row],[Sunrise Time (POA&gt;20 W/m2)]])*24,"")</f>
        <v>12.316666666666668</v>
      </c>
      <c r="L1436" s="2" t="s">
        <v>287</v>
      </c>
      <c r="M1436" s="33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14" t="s">
        <v>309</v>
      </c>
      <c r="Q1436" s="2" t="s">
        <v>312</v>
      </c>
      <c r="R1436">
        <v>133</v>
      </c>
      <c r="S1436" s="2">
        <v>26</v>
      </c>
      <c r="T1436" t="s">
        <v>288</v>
      </c>
      <c r="U1436" t="s">
        <v>291</v>
      </c>
      <c r="V1436" t="s">
        <v>305</v>
      </c>
      <c r="W1436" s="32">
        <f>IFERROR(VLOOKUP(TA[[#This Row],[Date]],Raw_Data[[Date]:[Sunset Time (POA&lt;20 W/m2)]],3,0),"")</f>
        <v>0.2590277777777778</v>
      </c>
      <c r="X1436" s="32">
        <f>IFERROR(VLOOKUP(TA[[#This Row],[Date]],Raw_Data[[Date]:[Sunset Time (POA&lt;20 W/m2)]],3,0),"")</f>
        <v>0.2590277777777778</v>
      </c>
      <c r="Y1436" s="26"/>
      <c r="Z1436" s="26">
        <v>0.76041666666666663</v>
      </c>
      <c r="AA1436" s="27">
        <f>IF(TA[[#This Row],[Work Start time on Fault]]="NA","",(TA[[#This Row],[Fault Acknowledgement Time ]]-TA[[#This Row],[Fault Time]])*24)</f>
        <v>0</v>
      </c>
      <c r="AB1436" s="27">
        <f>(TA[[#This Row],[Work Start time on Fault]]-TA[[#This Row],[Fault Time]])*24</f>
        <v>-6.2166666666666668</v>
      </c>
      <c r="AC1436" s="26">
        <f>(TA[[#This Row],[Work Completion time on fault]]-TA[[#This Row],[Fault Time]])*24</f>
        <v>12.033333333333333</v>
      </c>
      <c r="AD1436" s="27">
        <f>IFERROR((TA[[#This Row],[Work Completion time on fault]]-TA[[#This Row],[Fault Time]])*24,"")</f>
        <v>12.033333333333333</v>
      </c>
      <c r="AE1436" t="s">
        <v>319</v>
      </c>
      <c r="AF1436" t="s">
        <v>247</v>
      </c>
      <c r="AG1436" s="2"/>
      <c r="AH1436" s="35">
        <f>1-COS(RADIANS(TA[[#This Row],[Avg. Target Angle during Fault Time (Radians)]]-TA[[#This Row],[Angle of affected equipment ]]))</f>
        <v>0.11705240714107301</v>
      </c>
      <c r="AI1436" s="27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43">
        <f t="shared" si="172"/>
        <v>2026</v>
      </c>
      <c r="C1437" s="116">
        <f t="shared" si="173"/>
        <v>2025</v>
      </c>
      <c r="D1437" s="2" t="s">
        <v>155</v>
      </c>
      <c r="E1437" s="2" t="s">
        <v>155</v>
      </c>
      <c r="F1437" s="30">
        <v>45839</v>
      </c>
      <c r="G1437" s="2">
        <f>DAY(EOMONTH(TA[[#This Row],[Month Year]],0))</f>
        <v>31</v>
      </c>
      <c r="H1437" s="21">
        <v>45847</v>
      </c>
      <c r="I1437" s="32">
        <f>IFERROR(VLOOKUP(TA[[#This Row],[Date]],Raw_Data[[Date]:[Sunset Time (POA&lt;20 W/m2)]],3,0),"")</f>
        <v>0.2590277777777778</v>
      </c>
      <c r="J1437" s="32">
        <f>IFERROR(VLOOKUP(TA[[#This Row],[Date]],Raw_Data[[Date]:[Sunset Time (POA&lt;20 W/m2)]],4,0),"")</f>
        <v>0.77222222222222225</v>
      </c>
      <c r="K1437" s="27">
        <f>IFERROR((TA[[#This Row],[Sunset Time (POA&lt;20 W/m2)]]-TA[[#This Row],[Sunrise Time (POA&gt;20 W/m2)]])*24,"")</f>
        <v>12.316666666666668</v>
      </c>
      <c r="L1437" s="2" t="s">
        <v>285</v>
      </c>
      <c r="M1437" s="33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14" t="s">
        <v>307</v>
      </c>
      <c r="Q1437" s="113" t="s">
        <v>308</v>
      </c>
      <c r="R1437">
        <v>7</v>
      </c>
      <c r="S1437" s="2">
        <v>32</v>
      </c>
      <c r="T1437" t="s">
        <v>286</v>
      </c>
      <c r="U1437" t="s">
        <v>291</v>
      </c>
      <c r="V1437" t="s">
        <v>289</v>
      </c>
      <c r="W1437" s="32"/>
      <c r="X1437" s="32"/>
      <c r="Y1437" s="26"/>
      <c r="Z1437" s="26"/>
      <c r="AA1437" s="27">
        <f>IF(TA[[#This Row],[Work Start time on Fault]]="NA","",(TA[[#This Row],[Fault Acknowledgement Time ]]-TA[[#This Row],[Fault Time]])*24)</f>
        <v>0</v>
      </c>
      <c r="AB1437" s="27">
        <f>(TA[[#This Row],[Work Start time on Fault]]-TA[[#This Row],[Fault Time]])*24</f>
        <v>0</v>
      </c>
      <c r="AC1437" s="26">
        <f>(TA[[#This Row],[Work Completion time on fault]]-TA[[#This Row],[Fault Time]])*24</f>
        <v>0</v>
      </c>
      <c r="AD1437" s="27">
        <f>IFERROR((TA[[#This Row],[Work Completion time on fault]]-TA[[#This Row],[Fault Time]])*24,"")</f>
        <v>0</v>
      </c>
      <c r="AE1437" t="s">
        <v>319</v>
      </c>
      <c r="AF1437" t="s">
        <v>247</v>
      </c>
      <c r="AG1437" s="2"/>
      <c r="AH1437" s="35">
        <f>1-COS(RADIANS(TA[[#This Row],[Avg. Target Angle during Fault Time (Radians)]]-TA[[#This Row],[Angle of affected equipment ]]))</f>
        <v>0.11705240714107301</v>
      </c>
      <c r="AI1437" s="27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43">
        <f t="shared" si="172"/>
        <v>2026</v>
      </c>
      <c r="C1438" s="116">
        <f t="shared" si="173"/>
        <v>2025</v>
      </c>
      <c r="D1438" s="2" t="s">
        <v>155</v>
      </c>
      <c r="E1438" s="2" t="s">
        <v>155</v>
      </c>
      <c r="F1438" s="30">
        <v>45839</v>
      </c>
      <c r="G1438" s="2">
        <f>DAY(EOMONTH(TA[[#This Row],[Month Year]],0))</f>
        <v>31</v>
      </c>
      <c r="H1438" s="21">
        <v>45847</v>
      </c>
      <c r="I1438" s="32">
        <f>IFERROR(VLOOKUP(TA[[#This Row],[Date]],Raw_Data[[Date]:[Sunset Time (POA&lt;20 W/m2)]],3,0),"")</f>
        <v>0.2590277777777778</v>
      </c>
      <c r="J1438" s="32">
        <f>IFERROR(VLOOKUP(TA[[#This Row],[Date]],Raw_Data[[Date]:[Sunset Time (POA&lt;20 W/m2)]],4,0),"")</f>
        <v>0.77222222222222225</v>
      </c>
      <c r="K1438" s="27">
        <f>IFERROR((TA[[#This Row],[Sunset Time (POA&lt;20 W/m2)]]-TA[[#This Row],[Sunrise Time (POA&gt;20 W/m2)]])*24,"")</f>
        <v>12.316666666666668</v>
      </c>
      <c r="L1438" s="2" t="s">
        <v>285</v>
      </c>
      <c r="M1438" s="33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14" t="s">
        <v>306</v>
      </c>
      <c r="Q1438" s="113" t="s">
        <v>310</v>
      </c>
      <c r="R1438">
        <v>166</v>
      </c>
      <c r="S1438" s="2">
        <v>91</v>
      </c>
      <c r="T1438" t="s">
        <v>286</v>
      </c>
      <c r="U1438" t="s">
        <v>291</v>
      </c>
      <c r="V1438" t="s">
        <v>289</v>
      </c>
      <c r="W1438" s="32"/>
      <c r="X1438" s="32"/>
      <c r="Y1438" s="26"/>
      <c r="Z1438" s="26"/>
      <c r="AA1438" s="27">
        <f>IF(TA[[#This Row],[Work Start time on Fault]]="NA","",(TA[[#This Row],[Fault Acknowledgement Time ]]-TA[[#This Row],[Fault Time]])*24)</f>
        <v>0</v>
      </c>
      <c r="AB1438" s="27">
        <f>(TA[[#This Row],[Work Start time on Fault]]-TA[[#This Row],[Fault Time]])*24</f>
        <v>0</v>
      </c>
      <c r="AC1438" s="26">
        <f>(TA[[#This Row],[Work Completion time on fault]]-TA[[#This Row],[Fault Time]])*24</f>
        <v>0</v>
      </c>
      <c r="AD1438" s="27">
        <f>IFERROR((TA[[#This Row],[Work Completion time on fault]]-TA[[#This Row],[Fault Time]])*24,"")</f>
        <v>0</v>
      </c>
      <c r="AE1438" t="s">
        <v>319</v>
      </c>
      <c r="AF1438" t="s">
        <v>247</v>
      </c>
      <c r="AG1438" s="2"/>
      <c r="AH1438" s="35">
        <f>1-COS(RADIANS(TA[[#This Row],[Avg. Target Angle during Fault Time (Radians)]]-TA[[#This Row],[Angle of affected equipment ]]))</f>
        <v>0.11705240714107301</v>
      </c>
      <c r="AI1438" s="27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43">
        <f t="shared" si="172"/>
        <v>2026</v>
      </c>
      <c r="C1439" s="116">
        <f t="shared" si="173"/>
        <v>2025</v>
      </c>
      <c r="D1439" s="2" t="s">
        <v>155</v>
      </c>
      <c r="E1439" s="2" t="s">
        <v>155</v>
      </c>
      <c r="F1439" s="30">
        <v>45839</v>
      </c>
      <c r="G1439" s="2">
        <f>DAY(EOMONTH(TA[[#This Row],[Month Year]],0))</f>
        <v>31</v>
      </c>
      <c r="H1439" s="21">
        <v>45847</v>
      </c>
      <c r="I1439" s="32">
        <f>IFERROR(VLOOKUP(TA[[#This Row],[Date]],Raw_Data[[Date]:[Sunset Time (POA&lt;20 W/m2)]],3,0),"")</f>
        <v>0.2590277777777778</v>
      </c>
      <c r="J1439" s="32">
        <f>IFERROR(VLOOKUP(TA[[#This Row],[Date]],Raw_Data[[Date]:[Sunset Time (POA&lt;20 W/m2)]],4,0),"")</f>
        <v>0.77222222222222225</v>
      </c>
      <c r="K1439" s="27">
        <f>IFERROR((TA[[#This Row],[Sunset Time (POA&lt;20 W/m2)]]-TA[[#This Row],[Sunrise Time (POA&gt;20 W/m2)]])*24,"")</f>
        <v>12.316666666666668</v>
      </c>
      <c r="L1439" s="2" t="s">
        <v>285</v>
      </c>
      <c r="M1439" s="33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14" t="s">
        <v>307</v>
      </c>
      <c r="Q1439" s="113" t="s">
        <v>307</v>
      </c>
      <c r="R1439">
        <v>117</v>
      </c>
      <c r="S1439" s="2">
        <v>20</v>
      </c>
      <c r="T1439" t="s">
        <v>286</v>
      </c>
      <c r="U1439" t="s">
        <v>291</v>
      </c>
      <c r="V1439" t="s">
        <v>289</v>
      </c>
      <c r="W1439" s="32"/>
      <c r="X1439" s="32"/>
      <c r="Y1439" s="26"/>
      <c r="Z1439" s="26"/>
      <c r="AA1439" s="27">
        <f>IF(TA[[#This Row],[Work Start time on Fault]]="NA","",(TA[[#This Row],[Fault Acknowledgement Time ]]-TA[[#This Row],[Fault Time]])*24)</f>
        <v>0</v>
      </c>
      <c r="AB1439" s="27">
        <f>(TA[[#This Row],[Work Start time on Fault]]-TA[[#This Row],[Fault Time]])*24</f>
        <v>0</v>
      </c>
      <c r="AC1439" s="26">
        <f>(TA[[#This Row],[Work Completion time on fault]]-TA[[#This Row],[Fault Time]])*24</f>
        <v>0</v>
      </c>
      <c r="AD1439" s="27">
        <f>IFERROR((TA[[#This Row],[Work Completion time on fault]]-TA[[#This Row],[Fault Time]])*24,"")</f>
        <v>0</v>
      </c>
      <c r="AE1439" t="s">
        <v>319</v>
      </c>
      <c r="AF1439" t="s">
        <v>247</v>
      </c>
      <c r="AG1439" s="2"/>
      <c r="AH1439" s="35">
        <f>1-COS(RADIANS(TA[[#This Row],[Avg. Target Angle during Fault Time (Radians)]]-TA[[#This Row],[Angle of affected equipment ]]))</f>
        <v>0.11705240714107301</v>
      </c>
      <c r="AI1439" s="27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43">
        <f t="shared" si="172"/>
        <v>2026</v>
      </c>
      <c r="C1440" s="116">
        <f t="shared" si="173"/>
        <v>2025</v>
      </c>
      <c r="D1440" s="2" t="s">
        <v>155</v>
      </c>
      <c r="E1440" s="2" t="s">
        <v>155</v>
      </c>
      <c r="F1440" s="30">
        <v>45839</v>
      </c>
      <c r="G1440" s="2">
        <f>DAY(EOMONTH(TA[[#This Row],[Month Year]],0))</f>
        <v>31</v>
      </c>
      <c r="H1440" s="21">
        <v>45847</v>
      </c>
      <c r="I1440" s="32">
        <f>IFERROR(VLOOKUP(TA[[#This Row],[Date]],Raw_Data[[Date]:[Sunset Time (POA&lt;20 W/m2)]],3,0),"")</f>
        <v>0.2590277777777778</v>
      </c>
      <c r="J1440" s="32">
        <f>IFERROR(VLOOKUP(TA[[#This Row],[Date]],Raw_Data[[Date]:[Sunset Time (POA&lt;20 W/m2)]],4,0),"")</f>
        <v>0.77222222222222225</v>
      </c>
      <c r="K1440" s="27">
        <f>IFERROR((TA[[#This Row],[Sunset Time (POA&lt;20 W/m2)]]-TA[[#This Row],[Sunrise Time (POA&gt;20 W/m2)]])*24,"")</f>
        <v>12.316666666666668</v>
      </c>
      <c r="L1440" s="2" t="s">
        <v>285</v>
      </c>
      <c r="M1440" s="33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14" t="s">
        <v>307</v>
      </c>
      <c r="Q1440" s="113" t="s">
        <v>307</v>
      </c>
      <c r="R1440">
        <v>118</v>
      </c>
      <c r="S1440" s="2">
        <v>22</v>
      </c>
      <c r="T1440" t="s">
        <v>286</v>
      </c>
      <c r="U1440" t="s">
        <v>291</v>
      </c>
      <c r="V1440" t="s">
        <v>289</v>
      </c>
      <c r="W1440" s="32"/>
      <c r="X1440" s="32"/>
      <c r="Y1440" s="26"/>
      <c r="Z1440" s="26"/>
      <c r="AA1440" s="27">
        <f>IF(TA[[#This Row],[Work Start time on Fault]]="NA","",(TA[[#This Row],[Fault Acknowledgement Time ]]-TA[[#This Row],[Fault Time]])*24)</f>
        <v>0</v>
      </c>
      <c r="AB1440" s="27">
        <f>(TA[[#This Row],[Work Start time on Fault]]-TA[[#This Row],[Fault Time]])*24</f>
        <v>0</v>
      </c>
      <c r="AC1440" s="26">
        <f>(TA[[#This Row],[Work Completion time on fault]]-TA[[#This Row],[Fault Time]])*24</f>
        <v>0</v>
      </c>
      <c r="AD1440" s="27">
        <f>IFERROR((TA[[#This Row],[Work Completion time on fault]]-TA[[#This Row],[Fault Time]])*24,"")</f>
        <v>0</v>
      </c>
      <c r="AE1440" t="s">
        <v>319</v>
      </c>
      <c r="AF1440" t="s">
        <v>247</v>
      </c>
      <c r="AG1440" s="2"/>
      <c r="AH1440" s="35">
        <f>1-COS(RADIANS(TA[[#This Row],[Avg. Target Angle during Fault Time (Radians)]]-TA[[#This Row],[Angle of affected equipment ]]))</f>
        <v>0.11705240714107301</v>
      </c>
      <c r="AI1440" s="27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43">
        <f t="shared" si="172"/>
        <v>2026</v>
      </c>
      <c r="C1441" s="116">
        <f t="shared" si="173"/>
        <v>2025</v>
      </c>
      <c r="D1441" s="2" t="s">
        <v>155</v>
      </c>
      <c r="E1441" s="2" t="s">
        <v>155</v>
      </c>
      <c r="F1441" s="30">
        <v>45839</v>
      </c>
      <c r="G1441" s="2">
        <f>DAY(EOMONTH(TA[[#This Row],[Month Year]],0))</f>
        <v>31</v>
      </c>
      <c r="H1441" s="21">
        <v>45847</v>
      </c>
      <c r="I1441" s="32">
        <f>IFERROR(VLOOKUP(TA[[#This Row],[Date]],Raw_Data[[Date]:[Sunset Time (POA&lt;20 W/m2)]],3,0),"")</f>
        <v>0.2590277777777778</v>
      </c>
      <c r="J1441" s="32">
        <f>IFERROR(VLOOKUP(TA[[#This Row],[Date]],Raw_Data[[Date]:[Sunset Time (POA&lt;20 W/m2)]],4,0),"")</f>
        <v>0.77222222222222225</v>
      </c>
      <c r="K1441" s="27">
        <f>IFERROR((TA[[#This Row],[Sunset Time (POA&lt;20 W/m2)]]-TA[[#This Row],[Sunrise Time (POA&gt;20 W/m2)]])*24,"")</f>
        <v>12.316666666666668</v>
      </c>
      <c r="L1441" s="2" t="s">
        <v>287</v>
      </c>
      <c r="M1441" s="33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314</v>
      </c>
      <c r="Q1441" s="2" t="s">
        <v>320</v>
      </c>
      <c r="R1441">
        <v>45</v>
      </c>
      <c r="S1441" s="2">
        <v>8</v>
      </c>
      <c r="T1441" t="s">
        <v>288</v>
      </c>
      <c r="U1441" t="s">
        <v>291</v>
      </c>
      <c r="V1441" t="s">
        <v>292</v>
      </c>
      <c r="W1441" s="32"/>
      <c r="X1441" s="32"/>
      <c r="Y1441" s="26"/>
      <c r="Z1441" s="26"/>
      <c r="AA1441" s="27">
        <f>IF(TA[[#This Row],[Work Start time on Fault]]="NA","",(TA[[#This Row],[Fault Acknowledgement Time ]]-TA[[#This Row],[Fault Time]])*24)</f>
        <v>0</v>
      </c>
      <c r="AB1441" s="27">
        <f>(TA[[#This Row],[Work Start time on Fault]]-TA[[#This Row],[Fault Time]])*24</f>
        <v>0</v>
      </c>
      <c r="AC1441" s="26">
        <f>(TA[[#This Row],[Work Completion time on fault]]-TA[[#This Row],[Fault Time]])*24</f>
        <v>0</v>
      </c>
      <c r="AD1441" s="27">
        <f>IFERROR((TA[[#This Row],[Work Completion time on fault]]-TA[[#This Row],[Fault Time]])*24,"")</f>
        <v>0</v>
      </c>
      <c r="AE1441" t="s">
        <v>319</v>
      </c>
      <c r="AF1441" t="s">
        <v>247</v>
      </c>
      <c r="AG1441" s="2"/>
      <c r="AH1441" s="35">
        <f>1-COS(RADIANS(TA[[#This Row],[Avg. Target Angle during Fault Time (Radians)]]-TA[[#This Row],[Angle of affected equipment ]]))</f>
        <v>0.11705240714107301</v>
      </c>
      <c r="AI1441" s="27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43">
        <f t="shared" si="172"/>
        <v>2026</v>
      </c>
      <c r="C1442" s="116">
        <f t="shared" si="173"/>
        <v>2025</v>
      </c>
      <c r="D1442" s="2" t="s">
        <v>155</v>
      </c>
      <c r="E1442" s="2" t="s">
        <v>155</v>
      </c>
      <c r="F1442" s="30">
        <v>45839</v>
      </c>
      <c r="G1442" s="2">
        <f>DAY(EOMONTH(TA[[#This Row],[Month Year]],0))</f>
        <v>31</v>
      </c>
      <c r="H1442" s="21">
        <v>45847</v>
      </c>
      <c r="I1442" s="32">
        <f>IFERROR(VLOOKUP(TA[[#This Row],[Date]],Raw_Data[[Date]:[Sunset Time (POA&lt;20 W/m2)]],3,0),"")</f>
        <v>0.2590277777777778</v>
      </c>
      <c r="J1442" s="32">
        <f>IFERROR(VLOOKUP(TA[[#This Row],[Date]],Raw_Data[[Date]:[Sunset Time (POA&lt;20 W/m2)]],4,0),"")</f>
        <v>0.77222222222222225</v>
      </c>
      <c r="K1442" s="27">
        <f>IFERROR((TA[[#This Row],[Sunset Time (POA&lt;20 W/m2)]]-TA[[#This Row],[Sunrise Time (POA&gt;20 W/m2)]])*24,"")</f>
        <v>12.316666666666668</v>
      </c>
      <c r="L1442" s="2" t="s">
        <v>287</v>
      </c>
      <c r="M1442" s="33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314</v>
      </c>
      <c r="Q1442" s="2" t="s">
        <v>320</v>
      </c>
      <c r="R1442">
        <v>47</v>
      </c>
      <c r="S1442" s="2">
        <v>18</v>
      </c>
      <c r="T1442" t="s">
        <v>288</v>
      </c>
      <c r="U1442" t="s">
        <v>291</v>
      </c>
      <c r="V1442" t="s">
        <v>292</v>
      </c>
      <c r="W1442" s="32"/>
      <c r="X1442" s="32"/>
      <c r="Y1442" s="26"/>
      <c r="Z1442" s="26"/>
      <c r="AA1442" s="27">
        <f>IF(TA[[#This Row],[Work Start time on Fault]]="NA","",(TA[[#This Row],[Fault Acknowledgement Time ]]-TA[[#This Row],[Fault Time]])*24)</f>
        <v>0</v>
      </c>
      <c r="AB1442" s="27">
        <f>(TA[[#This Row],[Work Start time on Fault]]-TA[[#This Row],[Fault Time]])*24</f>
        <v>0</v>
      </c>
      <c r="AC1442" s="26">
        <f>(TA[[#This Row],[Work Completion time on fault]]-TA[[#This Row],[Fault Time]])*24</f>
        <v>0</v>
      </c>
      <c r="AD1442" s="27">
        <f>IFERROR((TA[[#This Row],[Work Completion time on fault]]-TA[[#This Row],[Fault Time]])*24,"")</f>
        <v>0</v>
      </c>
      <c r="AE1442" t="s">
        <v>319</v>
      </c>
      <c r="AF1442" t="s">
        <v>247</v>
      </c>
      <c r="AG1442" s="2"/>
      <c r="AH1442" s="35">
        <f>1-COS(RADIANS(TA[[#This Row],[Avg. Target Angle during Fault Time (Radians)]]-TA[[#This Row],[Angle of affected equipment ]]))</f>
        <v>0.11705240714107301</v>
      </c>
      <c r="AI1442" s="27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43">
        <f t="shared" si="172"/>
        <v>2026</v>
      </c>
      <c r="C1443" s="116">
        <f t="shared" si="173"/>
        <v>2025</v>
      </c>
      <c r="D1443" s="2" t="s">
        <v>155</v>
      </c>
      <c r="E1443" s="2" t="s">
        <v>155</v>
      </c>
      <c r="F1443" s="30">
        <v>45839</v>
      </c>
      <c r="G1443" s="2">
        <f>DAY(EOMONTH(TA[[#This Row],[Month Year]],0))</f>
        <v>31</v>
      </c>
      <c r="H1443" s="21">
        <v>45847</v>
      </c>
      <c r="I1443" s="32">
        <f>IFERROR(VLOOKUP(TA[[#This Row],[Date]],Raw_Data[[Date]:[Sunset Time (POA&lt;20 W/m2)]],3,0),"")</f>
        <v>0.2590277777777778</v>
      </c>
      <c r="J1443" s="32">
        <f>IFERROR(VLOOKUP(TA[[#This Row],[Date]],Raw_Data[[Date]:[Sunset Time (POA&lt;20 W/m2)]],4,0),"")</f>
        <v>0.77222222222222225</v>
      </c>
      <c r="K1443" s="27">
        <f>IFERROR((TA[[#This Row],[Sunset Time (POA&lt;20 W/m2)]]-TA[[#This Row],[Sunrise Time (POA&gt;20 W/m2)]])*24,"")</f>
        <v>12.316666666666668</v>
      </c>
      <c r="L1443" s="2" t="s">
        <v>287</v>
      </c>
      <c r="M1443" s="33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321</v>
      </c>
      <c r="Q1443" s="2" t="s">
        <v>314</v>
      </c>
      <c r="R1443">
        <v>30</v>
      </c>
      <c r="S1443" s="2">
        <v>57</v>
      </c>
      <c r="T1443" t="s">
        <v>288</v>
      </c>
      <c r="U1443" t="s">
        <v>291</v>
      </c>
      <c r="V1443" t="s">
        <v>292</v>
      </c>
      <c r="W1443" s="32"/>
      <c r="X1443" s="32"/>
      <c r="Y1443" s="26"/>
      <c r="Z1443" s="26"/>
      <c r="AA1443" s="27">
        <f>IF(TA[[#This Row],[Work Start time on Fault]]="NA","",(TA[[#This Row],[Fault Acknowledgement Time ]]-TA[[#This Row],[Fault Time]])*24)</f>
        <v>0</v>
      </c>
      <c r="AB1443" s="27">
        <f>(TA[[#This Row],[Work Start time on Fault]]-TA[[#This Row],[Fault Time]])*24</f>
        <v>0</v>
      </c>
      <c r="AC1443" s="26">
        <f>(TA[[#This Row],[Work Completion time on fault]]-TA[[#This Row],[Fault Time]])*24</f>
        <v>0</v>
      </c>
      <c r="AD1443" s="27">
        <f>IFERROR((TA[[#This Row],[Work Completion time on fault]]-TA[[#This Row],[Fault Time]])*24,"")</f>
        <v>0</v>
      </c>
      <c r="AE1443" t="s">
        <v>319</v>
      </c>
      <c r="AF1443" t="s">
        <v>247</v>
      </c>
      <c r="AG1443" s="2"/>
      <c r="AH1443" s="35">
        <f>1-COS(RADIANS(TA[[#This Row],[Avg. Target Angle during Fault Time (Radians)]]-TA[[#This Row],[Angle of affected equipment ]]))</f>
        <v>0.11705240714107301</v>
      </c>
      <c r="AI1443" s="27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43">
        <f t="shared" si="172"/>
        <v>2026</v>
      </c>
      <c r="C1444" s="116">
        <f t="shared" si="173"/>
        <v>2025</v>
      </c>
      <c r="D1444" s="2" t="s">
        <v>155</v>
      </c>
      <c r="E1444" s="2" t="s">
        <v>155</v>
      </c>
      <c r="F1444" s="30">
        <v>45839</v>
      </c>
      <c r="G1444" s="2">
        <f>DAY(EOMONTH(TA[[#This Row],[Month Year]],0))</f>
        <v>31</v>
      </c>
      <c r="H1444" s="21">
        <v>45847</v>
      </c>
      <c r="I1444" s="32">
        <f>IFERROR(VLOOKUP(TA[[#This Row],[Date]],Raw_Data[[Date]:[Sunset Time (POA&lt;20 W/m2)]],3,0),"")</f>
        <v>0.2590277777777778</v>
      </c>
      <c r="J1444" s="32">
        <f>IFERROR(VLOOKUP(TA[[#This Row],[Date]],Raw_Data[[Date]:[Sunset Time (POA&lt;20 W/m2)]],4,0),"")</f>
        <v>0.77222222222222225</v>
      </c>
      <c r="K1444" s="27">
        <f>IFERROR((TA[[#This Row],[Sunset Time (POA&lt;20 W/m2)]]-TA[[#This Row],[Sunrise Time (POA&gt;20 W/m2)]])*24,"")</f>
        <v>12.316666666666668</v>
      </c>
      <c r="L1444" s="2" t="s">
        <v>287</v>
      </c>
      <c r="M1444" s="33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321</v>
      </c>
      <c r="Q1444" s="2" t="s">
        <v>314</v>
      </c>
      <c r="R1444">
        <v>31</v>
      </c>
      <c r="S1444" s="2">
        <v>61</v>
      </c>
      <c r="T1444" t="s">
        <v>288</v>
      </c>
      <c r="U1444" t="s">
        <v>291</v>
      </c>
      <c r="V1444" t="s">
        <v>292</v>
      </c>
      <c r="W1444" s="32"/>
      <c r="X1444" s="32"/>
      <c r="Y1444" s="26"/>
      <c r="Z1444" s="26"/>
      <c r="AA1444" s="27">
        <f>IF(TA[[#This Row],[Work Start time on Fault]]="NA","",(TA[[#This Row],[Fault Acknowledgement Time ]]-TA[[#This Row],[Fault Time]])*24)</f>
        <v>0</v>
      </c>
      <c r="AB1444" s="27">
        <f>(TA[[#This Row],[Work Start time on Fault]]-TA[[#This Row],[Fault Time]])*24</f>
        <v>0</v>
      </c>
      <c r="AC1444" s="26">
        <f>(TA[[#This Row],[Work Completion time on fault]]-TA[[#This Row],[Fault Time]])*24</f>
        <v>0</v>
      </c>
      <c r="AD1444" s="27">
        <f>IFERROR((TA[[#This Row],[Work Completion time on fault]]-TA[[#This Row],[Fault Time]])*24,"")</f>
        <v>0</v>
      </c>
      <c r="AE1444" t="s">
        <v>319</v>
      </c>
      <c r="AF1444" t="s">
        <v>247</v>
      </c>
      <c r="AG1444" s="2"/>
      <c r="AH1444" s="35">
        <f>1-COS(RADIANS(TA[[#This Row],[Avg. Target Angle during Fault Time (Radians)]]-TA[[#This Row],[Angle of affected equipment ]]))</f>
        <v>0.11705240714107301</v>
      </c>
      <c r="AI1444" s="27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43">
        <f t="shared" si="172"/>
        <v>2026</v>
      </c>
      <c r="C1445" s="116">
        <f t="shared" si="173"/>
        <v>2025</v>
      </c>
      <c r="D1445" s="2" t="s">
        <v>155</v>
      </c>
      <c r="E1445" s="2" t="s">
        <v>155</v>
      </c>
      <c r="F1445" s="30">
        <v>45839</v>
      </c>
      <c r="G1445" s="2">
        <f>DAY(EOMONTH(TA[[#This Row],[Month Year]],0))</f>
        <v>31</v>
      </c>
      <c r="H1445" s="21">
        <v>45847</v>
      </c>
      <c r="I1445" s="32">
        <f>IFERROR(VLOOKUP(TA[[#This Row],[Date]],Raw_Data[[Date]:[Sunset Time (POA&lt;20 W/m2)]],3,0),"")</f>
        <v>0.2590277777777778</v>
      </c>
      <c r="J1445" s="32">
        <f>IFERROR(VLOOKUP(TA[[#This Row],[Date]],Raw_Data[[Date]:[Sunset Time (POA&lt;20 W/m2)]],4,0),"")</f>
        <v>0.77222222222222225</v>
      </c>
      <c r="K1445" s="27">
        <f>IFERROR((TA[[#This Row],[Sunset Time (POA&lt;20 W/m2)]]-TA[[#This Row],[Sunrise Time (POA&gt;20 W/m2)]])*24,"")</f>
        <v>12.316666666666668</v>
      </c>
      <c r="L1445" s="2" t="s">
        <v>303</v>
      </c>
      <c r="M1445" s="33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321</v>
      </c>
      <c r="Q1445" s="2" t="s">
        <v>314</v>
      </c>
      <c r="R1445">
        <v>26</v>
      </c>
      <c r="S1445" s="2">
        <v>37</v>
      </c>
      <c r="T1445" t="s">
        <v>288</v>
      </c>
      <c r="U1445" t="s">
        <v>291</v>
      </c>
      <c r="V1445" t="s">
        <v>292</v>
      </c>
      <c r="W1445" s="32"/>
      <c r="X1445" s="32"/>
      <c r="Y1445" s="26"/>
      <c r="Z1445" s="26"/>
      <c r="AA1445" s="27">
        <f>IF(TA[[#This Row],[Work Start time on Fault]]="NA","",(TA[[#This Row],[Fault Acknowledgement Time ]]-TA[[#This Row],[Fault Time]])*24)</f>
        <v>0</v>
      </c>
      <c r="AB1445" s="27">
        <f>(TA[[#This Row],[Work Start time on Fault]]-TA[[#This Row],[Fault Time]])*24</f>
        <v>0</v>
      </c>
      <c r="AC1445" s="26">
        <f>(TA[[#This Row],[Work Completion time on fault]]-TA[[#This Row],[Fault Time]])*24</f>
        <v>0</v>
      </c>
      <c r="AD1445" s="27">
        <f>IFERROR((TA[[#This Row],[Work Completion time on fault]]-TA[[#This Row],[Fault Time]])*24,"")</f>
        <v>0</v>
      </c>
      <c r="AE1445" t="s">
        <v>319</v>
      </c>
      <c r="AF1445" t="s">
        <v>247</v>
      </c>
      <c r="AG1445" s="2"/>
      <c r="AH1445" s="35">
        <f>1-COS(RADIANS(TA[[#This Row],[Avg. Target Angle during Fault Time (Radians)]]-TA[[#This Row],[Angle of affected equipment ]]))</f>
        <v>0.11705240714107301</v>
      </c>
      <c r="AI1445" s="27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43">
        <f t="shared" si="172"/>
        <v>2026</v>
      </c>
      <c r="C1446" s="116">
        <f t="shared" si="173"/>
        <v>2025</v>
      </c>
      <c r="D1446" s="2" t="s">
        <v>155</v>
      </c>
      <c r="E1446" s="2" t="s">
        <v>155</v>
      </c>
      <c r="F1446" s="30">
        <v>45839</v>
      </c>
      <c r="G1446" s="2">
        <f>DAY(EOMONTH(TA[[#This Row],[Month Year]],0))</f>
        <v>31</v>
      </c>
      <c r="H1446" s="21">
        <v>45847</v>
      </c>
      <c r="I1446" s="32">
        <f>IFERROR(VLOOKUP(TA[[#This Row],[Date]],Raw_Data[[Date]:[Sunset Time (POA&lt;20 W/m2)]],3,0),"")</f>
        <v>0.2590277777777778</v>
      </c>
      <c r="J1446" s="32">
        <f>IFERROR(VLOOKUP(TA[[#This Row],[Date]],Raw_Data[[Date]:[Sunset Time (POA&lt;20 W/m2)]],4,0),"")</f>
        <v>0.77222222222222225</v>
      </c>
      <c r="K1446" s="27">
        <f>IFERROR((TA[[#This Row],[Sunset Time (POA&lt;20 W/m2)]]-TA[[#This Row],[Sunrise Time (POA&gt;20 W/m2)]])*24,"")</f>
        <v>12.316666666666668</v>
      </c>
      <c r="L1446" s="2" t="s">
        <v>303</v>
      </c>
      <c r="M1446" s="33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321</v>
      </c>
      <c r="Q1446" s="2" t="s">
        <v>314</v>
      </c>
      <c r="R1446">
        <v>27</v>
      </c>
      <c r="S1446" s="2">
        <v>42</v>
      </c>
      <c r="T1446" t="s">
        <v>288</v>
      </c>
      <c r="U1446" t="s">
        <v>291</v>
      </c>
      <c r="V1446" t="s">
        <v>292</v>
      </c>
      <c r="W1446" s="32">
        <f>IFERROR(VLOOKUP(TA[[#This Row],[Date]],Raw_Data[[Date]:[Sunset Time (POA&lt;20 W/m2)]],3,0),"")</f>
        <v>0.2590277777777778</v>
      </c>
      <c r="X1446" s="32">
        <f>IFERROR(VLOOKUP(TA[[#This Row],[Date]],Raw_Data[[Date]:[Sunset Time (POA&lt;20 W/m2)]],3,0),"")</f>
        <v>0.2590277777777778</v>
      </c>
      <c r="Y1446" s="26"/>
      <c r="Z1446" s="26">
        <v>0.76041666666666663</v>
      </c>
      <c r="AA1446" s="27">
        <f>IF(TA[[#This Row],[Work Start time on Fault]]="NA","",(TA[[#This Row],[Fault Acknowledgement Time ]]-TA[[#This Row],[Fault Time]])*24)</f>
        <v>0</v>
      </c>
      <c r="AB1446" s="27">
        <f>(TA[[#This Row],[Work Start time on Fault]]-TA[[#This Row],[Fault Time]])*24</f>
        <v>-6.2166666666666668</v>
      </c>
      <c r="AC1446" s="26">
        <f>(TA[[#This Row],[Work Completion time on fault]]-TA[[#This Row],[Fault Time]])*24</f>
        <v>12.033333333333333</v>
      </c>
      <c r="AD1446" s="27">
        <f>IFERROR((TA[[#This Row],[Work Completion time on fault]]-TA[[#This Row],[Fault Time]])*24,"")</f>
        <v>12.033333333333333</v>
      </c>
      <c r="AE1446" t="s">
        <v>300</v>
      </c>
      <c r="AF1446" t="s">
        <v>247</v>
      </c>
      <c r="AG1446" s="2"/>
      <c r="AH1446" s="35">
        <f>1-COS(RADIANS(TA[[#This Row],[Avg. Target Angle during Fault Time (Radians)]]-TA[[#This Row],[Angle of affected equipment ]]))</f>
        <v>0.11705240714107301</v>
      </c>
      <c r="AI1446" s="27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43">
        <f t="shared" ref="B1447:B1459" si="174">YEAR(H1447)+IF(MONTH(H1447)&gt;=4,1,0)</f>
        <v>2026</v>
      </c>
      <c r="C1447" s="116">
        <f t="shared" ref="C1447:C1459" si="175">YEAR(H1447)</f>
        <v>2025</v>
      </c>
      <c r="D1447" s="2" t="s">
        <v>155</v>
      </c>
      <c r="E1447" s="2" t="s">
        <v>155</v>
      </c>
      <c r="F1447" s="30">
        <v>45839</v>
      </c>
      <c r="G1447" s="2">
        <f>DAY(EOMONTH(TA[[#This Row],[Month Year]],0))</f>
        <v>31</v>
      </c>
      <c r="H1447" s="21">
        <v>45848</v>
      </c>
      <c r="I1447" s="32">
        <f>IFERROR(VLOOKUP(TA[[#This Row],[Date]],Raw_Data[[Date]:[Sunset Time (POA&lt;20 W/m2)]],3,0),"")</f>
        <v>0.25416666666666665</v>
      </c>
      <c r="J1447" s="32">
        <f>IFERROR(VLOOKUP(TA[[#This Row],[Date]],Raw_Data[[Date]:[Sunset Time (POA&lt;20 W/m2)]],4,0),"")</f>
        <v>0.78680555555555554</v>
      </c>
      <c r="K1447" s="27">
        <f>IFERROR((TA[[#This Row],[Sunset Time (POA&lt;20 W/m2)]]-TA[[#This Row],[Sunrise Time (POA&gt;20 W/m2)]])*24,"")</f>
        <v>12.783333333333333</v>
      </c>
      <c r="L1447" s="2" t="s">
        <v>285</v>
      </c>
      <c r="M1447" s="33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14" t="s">
        <v>309</v>
      </c>
      <c r="Q1447" s="113" t="s">
        <v>309</v>
      </c>
      <c r="R1447">
        <v>131</v>
      </c>
      <c r="S1447" s="2">
        <v>38</v>
      </c>
      <c r="T1447" t="s">
        <v>286</v>
      </c>
      <c r="U1447" t="s">
        <v>291</v>
      </c>
      <c r="V1447" t="s">
        <v>289</v>
      </c>
      <c r="W1447" s="32"/>
      <c r="X1447" s="32"/>
      <c r="Y1447" s="26"/>
      <c r="Z1447" s="26"/>
      <c r="AA1447" s="27">
        <f>IF(TA[[#This Row],[Work Start time on Fault]]="NA","",(TA[[#This Row],[Fault Acknowledgement Time ]]-TA[[#This Row],[Fault Time]])*24)</f>
        <v>0</v>
      </c>
      <c r="AB1447" s="27">
        <f>(TA[[#This Row],[Work Start time on Fault]]-TA[[#This Row],[Fault Time]])*24</f>
        <v>0</v>
      </c>
      <c r="AC1447" s="26">
        <f>(TA[[#This Row],[Work Completion time on fault]]-TA[[#This Row],[Fault Time]])*24</f>
        <v>0</v>
      </c>
      <c r="AD1447" s="27">
        <f>IFERROR((TA[[#This Row],[Work Completion time on fault]]-TA[[#This Row],[Fault Time]])*24,"")</f>
        <v>0</v>
      </c>
      <c r="AE1447" t="s">
        <v>319</v>
      </c>
      <c r="AF1447" t="s">
        <v>247</v>
      </c>
      <c r="AG1447" s="2"/>
      <c r="AH1447" s="35">
        <f>1-COS(RADIANS(TA[[#This Row],[Avg. Target Angle during Fault Time (Radians)]]-TA[[#This Row],[Angle of affected equipment ]]))</f>
        <v>0.11705240714107301</v>
      </c>
      <c r="AI1447" s="27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43">
        <f t="shared" si="174"/>
        <v>2026</v>
      </c>
      <c r="C1448" s="116">
        <f t="shared" si="175"/>
        <v>2025</v>
      </c>
      <c r="D1448" s="2" t="s">
        <v>155</v>
      </c>
      <c r="E1448" s="2" t="s">
        <v>155</v>
      </c>
      <c r="F1448" s="30">
        <v>45839</v>
      </c>
      <c r="G1448" s="2">
        <f>DAY(EOMONTH(TA[[#This Row],[Month Year]],0))</f>
        <v>31</v>
      </c>
      <c r="H1448" s="21">
        <v>45848</v>
      </c>
      <c r="I1448" s="32">
        <f>IFERROR(VLOOKUP(TA[[#This Row],[Date]],Raw_Data[[Date]:[Sunset Time (POA&lt;20 W/m2)]],3,0),"")</f>
        <v>0.25416666666666665</v>
      </c>
      <c r="J1448" s="32">
        <f>IFERROR(VLOOKUP(TA[[#This Row],[Date]],Raw_Data[[Date]:[Sunset Time (POA&lt;20 W/m2)]],4,0),"")</f>
        <v>0.78680555555555554</v>
      </c>
      <c r="K1448" s="27">
        <f>IFERROR((TA[[#This Row],[Sunset Time (POA&lt;20 W/m2)]]-TA[[#This Row],[Sunrise Time (POA&gt;20 W/m2)]])*24,"")</f>
        <v>12.783333333333333</v>
      </c>
      <c r="L1448" s="2" t="s">
        <v>285</v>
      </c>
      <c r="M1448" s="33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14" t="s">
        <v>309</v>
      </c>
      <c r="Q1448" s="113" t="s">
        <v>309</v>
      </c>
      <c r="R1448">
        <v>131</v>
      </c>
      <c r="S1448" s="2">
        <v>39</v>
      </c>
      <c r="T1448" t="s">
        <v>286</v>
      </c>
      <c r="U1448" t="s">
        <v>291</v>
      </c>
      <c r="V1448" t="s">
        <v>289</v>
      </c>
      <c r="W1448" s="32"/>
      <c r="X1448" s="32"/>
      <c r="Y1448" s="26"/>
      <c r="Z1448" s="26"/>
      <c r="AA1448" s="27">
        <f>IF(TA[[#This Row],[Work Start time on Fault]]="NA","",(TA[[#This Row],[Fault Acknowledgement Time ]]-TA[[#This Row],[Fault Time]])*24)</f>
        <v>0</v>
      </c>
      <c r="AB1448" s="27">
        <f>(TA[[#This Row],[Work Start time on Fault]]-TA[[#This Row],[Fault Time]])*24</f>
        <v>0</v>
      </c>
      <c r="AC1448" s="26">
        <f>(TA[[#This Row],[Work Completion time on fault]]-TA[[#This Row],[Fault Time]])*24</f>
        <v>0</v>
      </c>
      <c r="AD1448" s="27">
        <f>IFERROR((TA[[#This Row],[Work Completion time on fault]]-TA[[#This Row],[Fault Time]])*24,"")</f>
        <v>0</v>
      </c>
      <c r="AE1448" t="s">
        <v>319</v>
      </c>
      <c r="AF1448" t="s">
        <v>247</v>
      </c>
      <c r="AG1448" s="2"/>
      <c r="AH1448" s="35">
        <f>1-COS(RADIANS(TA[[#This Row],[Avg. Target Angle during Fault Time (Radians)]]-TA[[#This Row],[Angle of affected equipment ]]))</f>
        <v>0.11705240714107301</v>
      </c>
      <c r="AI1448" s="27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43">
        <f t="shared" si="174"/>
        <v>2026</v>
      </c>
      <c r="C1449" s="116">
        <f t="shared" si="175"/>
        <v>2025</v>
      </c>
      <c r="D1449" s="2" t="s">
        <v>155</v>
      </c>
      <c r="E1449" s="2" t="s">
        <v>155</v>
      </c>
      <c r="F1449" s="30">
        <v>45839</v>
      </c>
      <c r="G1449" s="2">
        <f>DAY(EOMONTH(TA[[#This Row],[Month Year]],0))</f>
        <v>31</v>
      </c>
      <c r="H1449" s="21">
        <v>45848</v>
      </c>
      <c r="I1449" s="32">
        <f>IFERROR(VLOOKUP(TA[[#This Row],[Date]],Raw_Data[[Date]:[Sunset Time (POA&lt;20 W/m2)]],3,0),"")</f>
        <v>0.25416666666666665</v>
      </c>
      <c r="J1449" s="32">
        <f>IFERROR(VLOOKUP(TA[[#This Row],[Date]],Raw_Data[[Date]:[Sunset Time (POA&lt;20 W/m2)]],4,0),"")</f>
        <v>0.78680555555555554</v>
      </c>
      <c r="K1449" s="27">
        <f>IFERROR((TA[[#This Row],[Sunset Time (POA&lt;20 W/m2)]]-TA[[#This Row],[Sunrise Time (POA&gt;20 W/m2)]])*24,"")</f>
        <v>12.783333333333333</v>
      </c>
      <c r="L1449" s="2" t="s">
        <v>287</v>
      </c>
      <c r="M1449" s="33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14" t="s">
        <v>309</v>
      </c>
      <c r="Q1449" s="2" t="s">
        <v>312</v>
      </c>
      <c r="R1449">
        <v>133</v>
      </c>
      <c r="S1449" s="2">
        <v>26</v>
      </c>
      <c r="T1449" t="s">
        <v>288</v>
      </c>
      <c r="U1449" t="s">
        <v>291</v>
      </c>
      <c r="V1449" t="s">
        <v>305</v>
      </c>
      <c r="W1449" s="32">
        <f>IFERROR(VLOOKUP(TA[[#This Row],[Date]],Raw_Data[[Date]:[Sunset Time (POA&lt;20 W/m2)]],3,0),"")</f>
        <v>0.25416666666666665</v>
      </c>
      <c r="X1449" s="32">
        <f>IFERROR(VLOOKUP(TA[[#This Row],[Date]],Raw_Data[[Date]:[Sunset Time (POA&lt;20 W/m2)]],3,0),"")</f>
        <v>0.25416666666666665</v>
      </c>
      <c r="Y1449" s="26"/>
      <c r="Z1449" s="26">
        <v>0.76041666666666663</v>
      </c>
      <c r="AA1449" s="27">
        <f>IF(TA[[#This Row],[Work Start time on Fault]]="NA","",(TA[[#This Row],[Fault Acknowledgement Time ]]-TA[[#This Row],[Fault Time]])*24)</f>
        <v>0</v>
      </c>
      <c r="AB1449" s="27">
        <f>(TA[[#This Row],[Work Start time on Fault]]-TA[[#This Row],[Fault Time]])*24</f>
        <v>-6.1</v>
      </c>
      <c r="AC1449" s="26">
        <f>(TA[[#This Row],[Work Completion time on fault]]-TA[[#This Row],[Fault Time]])*24</f>
        <v>12.149999999999999</v>
      </c>
      <c r="AD1449" s="27">
        <f>IFERROR((TA[[#This Row],[Work Completion time on fault]]-TA[[#This Row],[Fault Time]])*24,"")</f>
        <v>12.149999999999999</v>
      </c>
      <c r="AE1449" t="s">
        <v>319</v>
      </c>
      <c r="AF1449" t="s">
        <v>247</v>
      </c>
      <c r="AG1449" s="2"/>
      <c r="AH1449" s="35">
        <f>1-COS(RADIANS(TA[[#This Row],[Avg. Target Angle during Fault Time (Radians)]]-TA[[#This Row],[Angle of affected equipment ]]))</f>
        <v>0.11705240714107301</v>
      </c>
      <c r="AI1449" s="27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43">
        <f t="shared" si="174"/>
        <v>2026</v>
      </c>
      <c r="C1450" s="116">
        <f t="shared" si="175"/>
        <v>2025</v>
      </c>
      <c r="D1450" s="2" t="s">
        <v>155</v>
      </c>
      <c r="E1450" s="2" t="s">
        <v>155</v>
      </c>
      <c r="F1450" s="30">
        <v>45839</v>
      </c>
      <c r="G1450" s="2">
        <f>DAY(EOMONTH(TA[[#This Row],[Month Year]],0))</f>
        <v>31</v>
      </c>
      <c r="H1450" s="21">
        <v>45848</v>
      </c>
      <c r="I1450" s="32">
        <f>IFERROR(VLOOKUP(TA[[#This Row],[Date]],Raw_Data[[Date]:[Sunset Time (POA&lt;20 W/m2)]],3,0),"")</f>
        <v>0.25416666666666665</v>
      </c>
      <c r="J1450" s="32">
        <f>IFERROR(VLOOKUP(TA[[#This Row],[Date]],Raw_Data[[Date]:[Sunset Time (POA&lt;20 W/m2)]],4,0),"")</f>
        <v>0.78680555555555554</v>
      </c>
      <c r="K1450" s="27">
        <f>IFERROR((TA[[#This Row],[Sunset Time (POA&lt;20 W/m2)]]-TA[[#This Row],[Sunrise Time (POA&gt;20 W/m2)]])*24,"")</f>
        <v>12.783333333333333</v>
      </c>
      <c r="L1450" s="2" t="s">
        <v>285</v>
      </c>
      <c r="M1450" s="33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14" t="s">
        <v>307</v>
      </c>
      <c r="Q1450" s="113" t="s">
        <v>308</v>
      </c>
      <c r="R1450">
        <v>7</v>
      </c>
      <c r="S1450" s="2">
        <v>32</v>
      </c>
      <c r="T1450" t="s">
        <v>286</v>
      </c>
      <c r="U1450" t="s">
        <v>291</v>
      </c>
      <c r="V1450" t="s">
        <v>289</v>
      </c>
      <c r="W1450" s="32"/>
      <c r="X1450" s="32"/>
      <c r="Y1450" s="26"/>
      <c r="Z1450" s="26"/>
      <c r="AA1450" s="27">
        <f>IF(TA[[#This Row],[Work Start time on Fault]]="NA","",(TA[[#This Row],[Fault Acknowledgement Time ]]-TA[[#This Row],[Fault Time]])*24)</f>
        <v>0</v>
      </c>
      <c r="AB1450" s="27">
        <f>(TA[[#This Row],[Work Start time on Fault]]-TA[[#This Row],[Fault Time]])*24</f>
        <v>0</v>
      </c>
      <c r="AC1450" s="26">
        <f>(TA[[#This Row],[Work Completion time on fault]]-TA[[#This Row],[Fault Time]])*24</f>
        <v>0</v>
      </c>
      <c r="AD1450" s="27">
        <f>IFERROR((TA[[#This Row],[Work Completion time on fault]]-TA[[#This Row],[Fault Time]])*24,"")</f>
        <v>0</v>
      </c>
      <c r="AE1450" t="s">
        <v>319</v>
      </c>
      <c r="AF1450" t="s">
        <v>247</v>
      </c>
      <c r="AG1450" s="2"/>
      <c r="AH1450" s="35">
        <f>1-COS(RADIANS(TA[[#This Row],[Avg. Target Angle during Fault Time (Radians)]]-TA[[#This Row],[Angle of affected equipment ]]))</f>
        <v>0.11705240714107301</v>
      </c>
      <c r="AI1450" s="27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43">
        <f t="shared" si="174"/>
        <v>2026</v>
      </c>
      <c r="C1451" s="116">
        <f t="shared" si="175"/>
        <v>2025</v>
      </c>
      <c r="D1451" s="2" t="s">
        <v>155</v>
      </c>
      <c r="E1451" s="2" t="s">
        <v>155</v>
      </c>
      <c r="F1451" s="30">
        <v>45839</v>
      </c>
      <c r="G1451" s="2">
        <f>DAY(EOMONTH(TA[[#This Row],[Month Year]],0))</f>
        <v>31</v>
      </c>
      <c r="H1451" s="21">
        <v>45848</v>
      </c>
      <c r="I1451" s="32">
        <f>IFERROR(VLOOKUP(TA[[#This Row],[Date]],Raw_Data[[Date]:[Sunset Time (POA&lt;20 W/m2)]],3,0),"")</f>
        <v>0.25416666666666665</v>
      </c>
      <c r="J1451" s="32">
        <f>IFERROR(VLOOKUP(TA[[#This Row],[Date]],Raw_Data[[Date]:[Sunset Time (POA&lt;20 W/m2)]],4,0),"")</f>
        <v>0.78680555555555554</v>
      </c>
      <c r="K1451" s="27">
        <f>IFERROR((TA[[#This Row],[Sunset Time (POA&lt;20 W/m2)]]-TA[[#This Row],[Sunrise Time (POA&gt;20 W/m2)]])*24,"")</f>
        <v>12.783333333333333</v>
      </c>
      <c r="L1451" s="2" t="s">
        <v>285</v>
      </c>
      <c r="M1451" s="33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14" t="s">
        <v>306</v>
      </c>
      <c r="Q1451" s="113" t="s">
        <v>310</v>
      </c>
      <c r="R1451">
        <v>166</v>
      </c>
      <c r="S1451" s="2">
        <v>91</v>
      </c>
      <c r="T1451" t="s">
        <v>286</v>
      </c>
      <c r="U1451" t="s">
        <v>291</v>
      </c>
      <c r="V1451" t="s">
        <v>289</v>
      </c>
      <c r="W1451" s="32"/>
      <c r="X1451" s="32"/>
      <c r="Y1451" s="26"/>
      <c r="Z1451" s="26"/>
      <c r="AA1451" s="27">
        <f>IF(TA[[#This Row],[Work Start time on Fault]]="NA","",(TA[[#This Row],[Fault Acknowledgement Time ]]-TA[[#This Row],[Fault Time]])*24)</f>
        <v>0</v>
      </c>
      <c r="AB1451" s="27">
        <f>(TA[[#This Row],[Work Start time on Fault]]-TA[[#This Row],[Fault Time]])*24</f>
        <v>0</v>
      </c>
      <c r="AC1451" s="26">
        <f>(TA[[#This Row],[Work Completion time on fault]]-TA[[#This Row],[Fault Time]])*24</f>
        <v>0</v>
      </c>
      <c r="AD1451" s="27">
        <f>IFERROR((TA[[#This Row],[Work Completion time on fault]]-TA[[#This Row],[Fault Time]])*24,"")</f>
        <v>0</v>
      </c>
      <c r="AE1451" t="s">
        <v>319</v>
      </c>
      <c r="AF1451" t="s">
        <v>247</v>
      </c>
      <c r="AG1451" s="2"/>
      <c r="AH1451" s="35">
        <f>1-COS(RADIANS(TA[[#This Row],[Avg. Target Angle during Fault Time (Radians)]]-TA[[#This Row],[Angle of affected equipment ]]))</f>
        <v>0.11705240714107301</v>
      </c>
      <c r="AI1451" s="27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43">
        <f t="shared" si="174"/>
        <v>2026</v>
      </c>
      <c r="C1452" s="116">
        <f t="shared" si="175"/>
        <v>2025</v>
      </c>
      <c r="D1452" s="2" t="s">
        <v>155</v>
      </c>
      <c r="E1452" s="2" t="s">
        <v>155</v>
      </c>
      <c r="F1452" s="30">
        <v>45839</v>
      </c>
      <c r="G1452" s="2">
        <f>DAY(EOMONTH(TA[[#This Row],[Month Year]],0))</f>
        <v>31</v>
      </c>
      <c r="H1452" s="21">
        <v>45848</v>
      </c>
      <c r="I1452" s="32">
        <f>IFERROR(VLOOKUP(TA[[#This Row],[Date]],Raw_Data[[Date]:[Sunset Time (POA&lt;20 W/m2)]],3,0),"")</f>
        <v>0.25416666666666665</v>
      </c>
      <c r="J1452" s="32">
        <f>IFERROR(VLOOKUP(TA[[#This Row],[Date]],Raw_Data[[Date]:[Sunset Time (POA&lt;20 W/m2)]],4,0),"")</f>
        <v>0.78680555555555554</v>
      </c>
      <c r="K1452" s="27">
        <f>IFERROR((TA[[#This Row],[Sunset Time (POA&lt;20 W/m2)]]-TA[[#This Row],[Sunrise Time (POA&gt;20 W/m2)]])*24,"")</f>
        <v>12.783333333333333</v>
      </c>
      <c r="L1452" s="2" t="s">
        <v>285</v>
      </c>
      <c r="M1452" s="33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14" t="s">
        <v>307</v>
      </c>
      <c r="Q1452" s="113" t="s">
        <v>307</v>
      </c>
      <c r="R1452">
        <v>117</v>
      </c>
      <c r="S1452" s="2">
        <v>20</v>
      </c>
      <c r="T1452" t="s">
        <v>286</v>
      </c>
      <c r="U1452" t="s">
        <v>291</v>
      </c>
      <c r="V1452" t="s">
        <v>289</v>
      </c>
      <c r="W1452" s="32"/>
      <c r="X1452" s="32"/>
      <c r="Y1452" s="26"/>
      <c r="Z1452" s="26"/>
      <c r="AA1452" s="27">
        <f>IF(TA[[#This Row],[Work Start time on Fault]]="NA","",(TA[[#This Row],[Fault Acknowledgement Time ]]-TA[[#This Row],[Fault Time]])*24)</f>
        <v>0</v>
      </c>
      <c r="AB1452" s="27">
        <f>(TA[[#This Row],[Work Start time on Fault]]-TA[[#This Row],[Fault Time]])*24</f>
        <v>0</v>
      </c>
      <c r="AC1452" s="26">
        <f>(TA[[#This Row],[Work Completion time on fault]]-TA[[#This Row],[Fault Time]])*24</f>
        <v>0</v>
      </c>
      <c r="AD1452" s="27">
        <f>IFERROR((TA[[#This Row],[Work Completion time on fault]]-TA[[#This Row],[Fault Time]])*24,"")</f>
        <v>0</v>
      </c>
      <c r="AE1452" t="s">
        <v>319</v>
      </c>
      <c r="AF1452" t="s">
        <v>247</v>
      </c>
      <c r="AG1452" s="2"/>
      <c r="AH1452" s="35">
        <f>1-COS(RADIANS(TA[[#This Row],[Avg. Target Angle during Fault Time (Radians)]]-TA[[#This Row],[Angle of affected equipment ]]))</f>
        <v>0.11705240714107301</v>
      </c>
      <c r="AI1452" s="27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43">
        <f t="shared" si="174"/>
        <v>2026</v>
      </c>
      <c r="C1453" s="116">
        <f t="shared" si="175"/>
        <v>2025</v>
      </c>
      <c r="D1453" s="2" t="s">
        <v>155</v>
      </c>
      <c r="E1453" s="2" t="s">
        <v>155</v>
      </c>
      <c r="F1453" s="30">
        <v>45839</v>
      </c>
      <c r="G1453" s="2">
        <f>DAY(EOMONTH(TA[[#This Row],[Month Year]],0))</f>
        <v>31</v>
      </c>
      <c r="H1453" s="21">
        <v>45848</v>
      </c>
      <c r="I1453" s="32">
        <f>IFERROR(VLOOKUP(TA[[#This Row],[Date]],Raw_Data[[Date]:[Sunset Time (POA&lt;20 W/m2)]],3,0),"")</f>
        <v>0.25416666666666665</v>
      </c>
      <c r="J1453" s="32">
        <f>IFERROR(VLOOKUP(TA[[#This Row],[Date]],Raw_Data[[Date]:[Sunset Time (POA&lt;20 W/m2)]],4,0),"")</f>
        <v>0.78680555555555554</v>
      </c>
      <c r="K1453" s="27">
        <f>IFERROR((TA[[#This Row],[Sunset Time (POA&lt;20 W/m2)]]-TA[[#This Row],[Sunrise Time (POA&gt;20 W/m2)]])*24,"")</f>
        <v>12.783333333333333</v>
      </c>
      <c r="L1453" s="2" t="s">
        <v>285</v>
      </c>
      <c r="M1453" s="33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14" t="s">
        <v>307</v>
      </c>
      <c r="Q1453" s="113" t="s">
        <v>307</v>
      </c>
      <c r="R1453">
        <v>118</v>
      </c>
      <c r="S1453" s="2">
        <v>22</v>
      </c>
      <c r="T1453" t="s">
        <v>286</v>
      </c>
      <c r="U1453" t="s">
        <v>291</v>
      </c>
      <c r="V1453" t="s">
        <v>289</v>
      </c>
      <c r="W1453" s="32"/>
      <c r="X1453" s="32"/>
      <c r="Y1453" s="26"/>
      <c r="Z1453" s="26"/>
      <c r="AA1453" s="27">
        <f>IF(TA[[#This Row],[Work Start time on Fault]]="NA","",(TA[[#This Row],[Fault Acknowledgement Time ]]-TA[[#This Row],[Fault Time]])*24)</f>
        <v>0</v>
      </c>
      <c r="AB1453" s="27">
        <f>(TA[[#This Row],[Work Start time on Fault]]-TA[[#This Row],[Fault Time]])*24</f>
        <v>0</v>
      </c>
      <c r="AC1453" s="26">
        <f>(TA[[#This Row],[Work Completion time on fault]]-TA[[#This Row],[Fault Time]])*24</f>
        <v>0</v>
      </c>
      <c r="AD1453" s="27">
        <f>IFERROR((TA[[#This Row],[Work Completion time on fault]]-TA[[#This Row],[Fault Time]])*24,"")</f>
        <v>0</v>
      </c>
      <c r="AE1453" t="s">
        <v>319</v>
      </c>
      <c r="AF1453" t="s">
        <v>247</v>
      </c>
      <c r="AG1453" s="2"/>
      <c r="AH1453" s="35">
        <f>1-COS(RADIANS(TA[[#This Row],[Avg. Target Angle during Fault Time (Radians)]]-TA[[#This Row],[Angle of affected equipment ]]))</f>
        <v>0.11705240714107301</v>
      </c>
      <c r="AI1453" s="27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43">
        <f t="shared" si="174"/>
        <v>2026</v>
      </c>
      <c r="C1454" s="116">
        <f t="shared" si="175"/>
        <v>2025</v>
      </c>
      <c r="D1454" s="2" t="s">
        <v>155</v>
      </c>
      <c r="E1454" s="2" t="s">
        <v>155</v>
      </c>
      <c r="F1454" s="30">
        <v>45839</v>
      </c>
      <c r="G1454" s="2">
        <f>DAY(EOMONTH(TA[[#This Row],[Month Year]],0))</f>
        <v>31</v>
      </c>
      <c r="H1454" s="21">
        <v>45848</v>
      </c>
      <c r="I1454" s="32">
        <f>IFERROR(VLOOKUP(TA[[#This Row],[Date]],Raw_Data[[Date]:[Sunset Time (POA&lt;20 W/m2)]],3,0),"")</f>
        <v>0.25416666666666665</v>
      </c>
      <c r="J1454" s="32">
        <f>IFERROR(VLOOKUP(TA[[#This Row],[Date]],Raw_Data[[Date]:[Sunset Time (POA&lt;20 W/m2)]],4,0),"")</f>
        <v>0.78680555555555554</v>
      </c>
      <c r="K1454" s="27">
        <f>IFERROR((TA[[#This Row],[Sunset Time (POA&lt;20 W/m2)]]-TA[[#This Row],[Sunrise Time (POA&gt;20 W/m2)]])*24,"")</f>
        <v>12.783333333333333</v>
      </c>
      <c r="L1454" s="2" t="s">
        <v>287</v>
      </c>
      <c r="M1454" s="33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314</v>
      </c>
      <c r="Q1454" s="2" t="s">
        <v>320</v>
      </c>
      <c r="R1454">
        <v>45</v>
      </c>
      <c r="S1454" s="2">
        <v>8</v>
      </c>
      <c r="T1454" t="s">
        <v>288</v>
      </c>
      <c r="U1454" t="s">
        <v>291</v>
      </c>
      <c r="V1454" t="s">
        <v>292</v>
      </c>
      <c r="W1454" s="32"/>
      <c r="X1454" s="32"/>
      <c r="Y1454" s="26"/>
      <c r="Z1454" s="26"/>
      <c r="AA1454" s="27">
        <f>IF(TA[[#This Row],[Work Start time on Fault]]="NA","",(TA[[#This Row],[Fault Acknowledgement Time ]]-TA[[#This Row],[Fault Time]])*24)</f>
        <v>0</v>
      </c>
      <c r="AB1454" s="27">
        <f>(TA[[#This Row],[Work Start time on Fault]]-TA[[#This Row],[Fault Time]])*24</f>
        <v>0</v>
      </c>
      <c r="AC1454" s="26">
        <f>(TA[[#This Row],[Work Completion time on fault]]-TA[[#This Row],[Fault Time]])*24</f>
        <v>0</v>
      </c>
      <c r="AD1454" s="27">
        <f>IFERROR((TA[[#This Row],[Work Completion time on fault]]-TA[[#This Row],[Fault Time]])*24,"")</f>
        <v>0</v>
      </c>
      <c r="AE1454" t="s">
        <v>319</v>
      </c>
      <c r="AF1454" t="s">
        <v>247</v>
      </c>
      <c r="AG1454" s="2"/>
      <c r="AH1454" s="35">
        <f>1-COS(RADIANS(TA[[#This Row],[Avg. Target Angle during Fault Time (Radians)]]-TA[[#This Row],[Angle of affected equipment ]]))</f>
        <v>0.11705240714107301</v>
      </c>
      <c r="AI1454" s="27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43">
        <f t="shared" si="174"/>
        <v>2026</v>
      </c>
      <c r="C1455" s="116">
        <f t="shared" si="175"/>
        <v>2025</v>
      </c>
      <c r="D1455" s="2" t="s">
        <v>155</v>
      </c>
      <c r="E1455" s="2" t="s">
        <v>155</v>
      </c>
      <c r="F1455" s="30">
        <v>45839</v>
      </c>
      <c r="G1455" s="2">
        <f>DAY(EOMONTH(TA[[#This Row],[Month Year]],0))</f>
        <v>31</v>
      </c>
      <c r="H1455" s="21">
        <v>45848</v>
      </c>
      <c r="I1455" s="32">
        <f>IFERROR(VLOOKUP(TA[[#This Row],[Date]],Raw_Data[[Date]:[Sunset Time (POA&lt;20 W/m2)]],3,0),"")</f>
        <v>0.25416666666666665</v>
      </c>
      <c r="J1455" s="32">
        <f>IFERROR(VLOOKUP(TA[[#This Row],[Date]],Raw_Data[[Date]:[Sunset Time (POA&lt;20 W/m2)]],4,0),"")</f>
        <v>0.78680555555555554</v>
      </c>
      <c r="K1455" s="27">
        <f>IFERROR((TA[[#This Row],[Sunset Time (POA&lt;20 W/m2)]]-TA[[#This Row],[Sunrise Time (POA&gt;20 W/m2)]])*24,"")</f>
        <v>12.783333333333333</v>
      </c>
      <c r="L1455" s="2" t="s">
        <v>287</v>
      </c>
      <c r="M1455" s="33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314</v>
      </c>
      <c r="Q1455" s="2" t="s">
        <v>320</v>
      </c>
      <c r="R1455">
        <v>47</v>
      </c>
      <c r="S1455" s="2">
        <v>18</v>
      </c>
      <c r="T1455" t="s">
        <v>288</v>
      </c>
      <c r="U1455" t="s">
        <v>291</v>
      </c>
      <c r="V1455" t="s">
        <v>292</v>
      </c>
      <c r="W1455" s="32"/>
      <c r="X1455" s="32"/>
      <c r="Y1455" s="26"/>
      <c r="Z1455" s="26"/>
      <c r="AA1455" s="27">
        <f>IF(TA[[#This Row],[Work Start time on Fault]]="NA","",(TA[[#This Row],[Fault Acknowledgement Time ]]-TA[[#This Row],[Fault Time]])*24)</f>
        <v>0</v>
      </c>
      <c r="AB1455" s="27">
        <f>(TA[[#This Row],[Work Start time on Fault]]-TA[[#This Row],[Fault Time]])*24</f>
        <v>0</v>
      </c>
      <c r="AC1455" s="26">
        <f>(TA[[#This Row],[Work Completion time on fault]]-TA[[#This Row],[Fault Time]])*24</f>
        <v>0</v>
      </c>
      <c r="AD1455" s="27">
        <f>IFERROR((TA[[#This Row],[Work Completion time on fault]]-TA[[#This Row],[Fault Time]])*24,"")</f>
        <v>0</v>
      </c>
      <c r="AE1455" t="s">
        <v>319</v>
      </c>
      <c r="AF1455" t="s">
        <v>247</v>
      </c>
      <c r="AG1455" s="2"/>
      <c r="AH1455" s="35">
        <f>1-COS(RADIANS(TA[[#This Row],[Avg. Target Angle during Fault Time (Radians)]]-TA[[#This Row],[Angle of affected equipment ]]))</f>
        <v>0.11705240714107301</v>
      </c>
      <c r="AI1455" s="27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43">
        <f t="shared" si="174"/>
        <v>2026</v>
      </c>
      <c r="C1456" s="116">
        <f t="shared" si="175"/>
        <v>2025</v>
      </c>
      <c r="D1456" s="2" t="s">
        <v>155</v>
      </c>
      <c r="E1456" s="2" t="s">
        <v>155</v>
      </c>
      <c r="F1456" s="30">
        <v>45839</v>
      </c>
      <c r="G1456" s="2">
        <f>DAY(EOMONTH(TA[[#This Row],[Month Year]],0))</f>
        <v>31</v>
      </c>
      <c r="H1456" s="21">
        <v>45848</v>
      </c>
      <c r="I1456" s="32">
        <f>IFERROR(VLOOKUP(TA[[#This Row],[Date]],Raw_Data[[Date]:[Sunset Time (POA&lt;20 W/m2)]],3,0),"")</f>
        <v>0.25416666666666665</v>
      </c>
      <c r="J1456" s="32">
        <f>IFERROR(VLOOKUP(TA[[#This Row],[Date]],Raw_Data[[Date]:[Sunset Time (POA&lt;20 W/m2)]],4,0),"")</f>
        <v>0.78680555555555554</v>
      </c>
      <c r="K1456" s="27">
        <f>IFERROR((TA[[#This Row],[Sunset Time (POA&lt;20 W/m2)]]-TA[[#This Row],[Sunrise Time (POA&gt;20 W/m2)]])*24,"")</f>
        <v>12.783333333333333</v>
      </c>
      <c r="L1456" s="2" t="s">
        <v>287</v>
      </c>
      <c r="M1456" s="33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321</v>
      </c>
      <c r="Q1456" s="2" t="s">
        <v>314</v>
      </c>
      <c r="R1456">
        <v>30</v>
      </c>
      <c r="S1456" s="2">
        <v>57</v>
      </c>
      <c r="T1456" t="s">
        <v>288</v>
      </c>
      <c r="U1456" t="s">
        <v>291</v>
      </c>
      <c r="V1456" t="s">
        <v>292</v>
      </c>
      <c r="W1456" s="32"/>
      <c r="X1456" s="32"/>
      <c r="Y1456" s="26"/>
      <c r="Z1456" s="26"/>
      <c r="AA1456" s="27">
        <f>IF(TA[[#This Row],[Work Start time on Fault]]="NA","",(TA[[#This Row],[Fault Acknowledgement Time ]]-TA[[#This Row],[Fault Time]])*24)</f>
        <v>0</v>
      </c>
      <c r="AB1456" s="27">
        <f>(TA[[#This Row],[Work Start time on Fault]]-TA[[#This Row],[Fault Time]])*24</f>
        <v>0</v>
      </c>
      <c r="AC1456" s="26">
        <f>(TA[[#This Row],[Work Completion time on fault]]-TA[[#This Row],[Fault Time]])*24</f>
        <v>0</v>
      </c>
      <c r="AD1456" s="27">
        <f>IFERROR((TA[[#This Row],[Work Completion time on fault]]-TA[[#This Row],[Fault Time]])*24,"")</f>
        <v>0</v>
      </c>
      <c r="AE1456" t="s">
        <v>319</v>
      </c>
      <c r="AF1456" t="s">
        <v>247</v>
      </c>
      <c r="AG1456" s="2"/>
      <c r="AH1456" s="35">
        <f>1-COS(RADIANS(TA[[#This Row],[Avg. Target Angle during Fault Time (Radians)]]-TA[[#This Row],[Angle of affected equipment ]]))</f>
        <v>0.11705240714107301</v>
      </c>
      <c r="AI1456" s="27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43">
        <f t="shared" si="174"/>
        <v>2026</v>
      </c>
      <c r="C1457" s="116">
        <f t="shared" si="175"/>
        <v>2025</v>
      </c>
      <c r="D1457" s="2" t="s">
        <v>155</v>
      </c>
      <c r="E1457" s="2" t="s">
        <v>155</v>
      </c>
      <c r="F1457" s="30">
        <v>45839</v>
      </c>
      <c r="G1457" s="2">
        <f>DAY(EOMONTH(TA[[#This Row],[Month Year]],0))</f>
        <v>31</v>
      </c>
      <c r="H1457" s="21">
        <v>45848</v>
      </c>
      <c r="I1457" s="32">
        <f>IFERROR(VLOOKUP(TA[[#This Row],[Date]],Raw_Data[[Date]:[Sunset Time (POA&lt;20 W/m2)]],3,0),"")</f>
        <v>0.25416666666666665</v>
      </c>
      <c r="J1457" s="32">
        <f>IFERROR(VLOOKUP(TA[[#This Row],[Date]],Raw_Data[[Date]:[Sunset Time (POA&lt;20 W/m2)]],4,0),"")</f>
        <v>0.78680555555555554</v>
      </c>
      <c r="K1457" s="27">
        <f>IFERROR((TA[[#This Row],[Sunset Time (POA&lt;20 W/m2)]]-TA[[#This Row],[Sunrise Time (POA&gt;20 W/m2)]])*24,"")</f>
        <v>12.783333333333333</v>
      </c>
      <c r="L1457" s="2" t="s">
        <v>287</v>
      </c>
      <c r="M1457" s="33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321</v>
      </c>
      <c r="Q1457" s="2" t="s">
        <v>314</v>
      </c>
      <c r="R1457">
        <v>31</v>
      </c>
      <c r="S1457" s="2">
        <v>61</v>
      </c>
      <c r="T1457" t="s">
        <v>288</v>
      </c>
      <c r="U1457" t="s">
        <v>291</v>
      </c>
      <c r="V1457" t="s">
        <v>292</v>
      </c>
      <c r="W1457" s="32"/>
      <c r="X1457" s="32"/>
      <c r="Y1457" s="26"/>
      <c r="Z1457" s="26"/>
      <c r="AA1457" s="27">
        <f>IF(TA[[#This Row],[Work Start time on Fault]]="NA","",(TA[[#This Row],[Fault Acknowledgement Time ]]-TA[[#This Row],[Fault Time]])*24)</f>
        <v>0</v>
      </c>
      <c r="AB1457" s="27">
        <f>(TA[[#This Row],[Work Start time on Fault]]-TA[[#This Row],[Fault Time]])*24</f>
        <v>0</v>
      </c>
      <c r="AC1457" s="26">
        <f>(TA[[#This Row],[Work Completion time on fault]]-TA[[#This Row],[Fault Time]])*24</f>
        <v>0</v>
      </c>
      <c r="AD1457" s="27">
        <f>IFERROR((TA[[#This Row],[Work Completion time on fault]]-TA[[#This Row],[Fault Time]])*24,"")</f>
        <v>0</v>
      </c>
      <c r="AE1457" t="s">
        <v>319</v>
      </c>
      <c r="AF1457" t="s">
        <v>247</v>
      </c>
      <c r="AG1457" s="2"/>
      <c r="AH1457" s="35">
        <f>1-COS(RADIANS(TA[[#This Row],[Avg. Target Angle during Fault Time (Radians)]]-TA[[#This Row],[Angle of affected equipment ]]))</f>
        <v>0.11705240714107301</v>
      </c>
      <c r="AI1457" s="27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43">
        <f t="shared" si="174"/>
        <v>2026</v>
      </c>
      <c r="C1458" s="116">
        <f t="shared" si="175"/>
        <v>2025</v>
      </c>
      <c r="D1458" s="2" t="s">
        <v>155</v>
      </c>
      <c r="E1458" s="2" t="s">
        <v>155</v>
      </c>
      <c r="F1458" s="30">
        <v>45839</v>
      </c>
      <c r="G1458" s="2">
        <f>DAY(EOMONTH(TA[[#This Row],[Month Year]],0))</f>
        <v>31</v>
      </c>
      <c r="H1458" s="21">
        <v>45848</v>
      </c>
      <c r="I1458" s="32">
        <f>IFERROR(VLOOKUP(TA[[#This Row],[Date]],Raw_Data[[Date]:[Sunset Time (POA&lt;20 W/m2)]],3,0),"")</f>
        <v>0.25416666666666665</v>
      </c>
      <c r="J1458" s="32">
        <f>IFERROR(VLOOKUP(TA[[#This Row],[Date]],Raw_Data[[Date]:[Sunset Time (POA&lt;20 W/m2)]],4,0),"")</f>
        <v>0.78680555555555554</v>
      </c>
      <c r="K1458" s="27">
        <f>IFERROR((TA[[#This Row],[Sunset Time (POA&lt;20 W/m2)]]-TA[[#This Row],[Sunrise Time (POA&gt;20 W/m2)]])*24,"")</f>
        <v>12.783333333333333</v>
      </c>
      <c r="L1458" s="2" t="s">
        <v>303</v>
      </c>
      <c r="M1458" s="33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321</v>
      </c>
      <c r="Q1458" s="2" t="s">
        <v>314</v>
      </c>
      <c r="R1458">
        <v>26</v>
      </c>
      <c r="S1458" s="2">
        <v>37</v>
      </c>
      <c r="T1458" t="s">
        <v>288</v>
      </c>
      <c r="U1458" t="s">
        <v>291</v>
      </c>
      <c r="V1458" t="s">
        <v>292</v>
      </c>
      <c r="W1458" s="32"/>
      <c r="X1458" s="32"/>
      <c r="Y1458" s="26"/>
      <c r="Z1458" s="26"/>
      <c r="AA1458" s="27">
        <f>IF(TA[[#This Row],[Work Start time on Fault]]="NA","",(TA[[#This Row],[Fault Acknowledgement Time ]]-TA[[#This Row],[Fault Time]])*24)</f>
        <v>0</v>
      </c>
      <c r="AB1458" s="27">
        <f>(TA[[#This Row],[Work Start time on Fault]]-TA[[#This Row],[Fault Time]])*24</f>
        <v>0</v>
      </c>
      <c r="AC1458" s="26">
        <f>(TA[[#This Row],[Work Completion time on fault]]-TA[[#This Row],[Fault Time]])*24</f>
        <v>0</v>
      </c>
      <c r="AD1458" s="27">
        <f>IFERROR((TA[[#This Row],[Work Completion time on fault]]-TA[[#This Row],[Fault Time]])*24,"")</f>
        <v>0</v>
      </c>
      <c r="AE1458" t="s">
        <v>319</v>
      </c>
      <c r="AF1458" t="s">
        <v>247</v>
      </c>
      <c r="AG1458" s="2"/>
      <c r="AH1458" s="35">
        <f>1-COS(RADIANS(TA[[#This Row],[Avg. Target Angle during Fault Time (Radians)]]-TA[[#This Row],[Angle of affected equipment ]]))</f>
        <v>0.11705240714107301</v>
      </c>
      <c r="AI1458" s="27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43">
        <f t="shared" si="174"/>
        <v>2026</v>
      </c>
      <c r="C1459" s="116">
        <f t="shared" si="175"/>
        <v>2025</v>
      </c>
      <c r="D1459" s="2" t="s">
        <v>155</v>
      </c>
      <c r="E1459" s="2" t="s">
        <v>155</v>
      </c>
      <c r="F1459" s="30">
        <v>45839</v>
      </c>
      <c r="G1459" s="2">
        <f>DAY(EOMONTH(TA[[#This Row],[Month Year]],0))</f>
        <v>31</v>
      </c>
      <c r="H1459" s="21">
        <v>45848</v>
      </c>
      <c r="I1459" s="32">
        <f>IFERROR(VLOOKUP(TA[[#This Row],[Date]],Raw_Data[[Date]:[Sunset Time (POA&lt;20 W/m2)]],3,0),"")</f>
        <v>0.25416666666666665</v>
      </c>
      <c r="J1459" s="32">
        <f>IFERROR(VLOOKUP(TA[[#This Row],[Date]],Raw_Data[[Date]:[Sunset Time (POA&lt;20 W/m2)]],4,0),"")</f>
        <v>0.78680555555555554</v>
      </c>
      <c r="K1459" s="27">
        <f>IFERROR((TA[[#This Row],[Sunset Time (POA&lt;20 W/m2)]]-TA[[#This Row],[Sunrise Time (POA&gt;20 W/m2)]])*24,"")</f>
        <v>12.783333333333333</v>
      </c>
      <c r="L1459" s="2" t="s">
        <v>303</v>
      </c>
      <c r="M1459" s="33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321</v>
      </c>
      <c r="Q1459" s="2" t="s">
        <v>314</v>
      </c>
      <c r="R1459">
        <v>27</v>
      </c>
      <c r="S1459" s="2">
        <v>42</v>
      </c>
      <c r="T1459" t="s">
        <v>288</v>
      </c>
      <c r="U1459" t="s">
        <v>291</v>
      </c>
      <c r="V1459" t="s">
        <v>292</v>
      </c>
      <c r="W1459" s="32">
        <f>IFERROR(VLOOKUP(TA[[#This Row],[Date]],Raw_Data[[Date]:[Sunset Time (POA&lt;20 W/m2)]],3,0),"")</f>
        <v>0.25416666666666665</v>
      </c>
      <c r="X1459" s="32">
        <f>IFERROR(VLOOKUP(TA[[#This Row],[Date]],Raw_Data[[Date]:[Sunset Time (POA&lt;20 W/m2)]],3,0),"")</f>
        <v>0.25416666666666665</v>
      </c>
      <c r="Y1459" s="26"/>
      <c r="Z1459" s="26">
        <v>0.76041666666666663</v>
      </c>
      <c r="AA1459" s="27">
        <f>IF(TA[[#This Row],[Work Start time on Fault]]="NA","",(TA[[#This Row],[Fault Acknowledgement Time ]]-TA[[#This Row],[Fault Time]])*24)</f>
        <v>0</v>
      </c>
      <c r="AB1459" s="27">
        <f>(TA[[#This Row],[Work Start time on Fault]]-TA[[#This Row],[Fault Time]])*24</f>
        <v>-6.1</v>
      </c>
      <c r="AC1459" s="26">
        <f>(TA[[#This Row],[Work Completion time on fault]]-TA[[#This Row],[Fault Time]])*24</f>
        <v>12.149999999999999</v>
      </c>
      <c r="AD1459" s="27">
        <f>IFERROR((TA[[#This Row],[Work Completion time on fault]]-TA[[#This Row],[Fault Time]])*24,"")</f>
        <v>12.149999999999999</v>
      </c>
      <c r="AE1459" t="s">
        <v>300</v>
      </c>
      <c r="AF1459" t="s">
        <v>247</v>
      </c>
      <c r="AG1459" s="2"/>
      <c r="AH1459" s="35">
        <f>1-COS(RADIANS(TA[[#This Row],[Avg. Target Angle during Fault Time (Radians)]]-TA[[#This Row],[Angle of affected equipment ]]))</f>
        <v>0.11705240714107301</v>
      </c>
      <c r="AI1459" s="27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43">
        <f t="shared" ref="B1460:B1472" si="177">YEAR(H1460)+IF(MONTH(H1460)&gt;=4,1,0)</f>
        <v>2026</v>
      </c>
      <c r="C1460" s="116">
        <f t="shared" ref="C1460:C1472" si="178">YEAR(H1460)</f>
        <v>2025</v>
      </c>
      <c r="D1460" s="2" t="s">
        <v>155</v>
      </c>
      <c r="E1460" s="2" t="s">
        <v>155</v>
      </c>
      <c r="F1460" s="30">
        <v>45839</v>
      </c>
      <c r="G1460" s="2">
        <f>DAY(EOMONTH(TA[[#This Row],[Month Year]],0))</f>
        <v>31</v>
      </c>
      <c r="H1460" s="21">
        <v>45849</v>
      </c>
      <c r="I1460" s="32">
        <f>IFERROR(VLOOKUP(TA[[#This Row],[Date]],Raw_Data[[Date]:[Sunset Time (POA&lt;20 W/m2)]],3,0),"")</f>
        <v>0.25486111111111109</v>
      </c>
      <c r="J1460" s="32">
        <f>IFERROR(VLOOKUP(TA[[#This Row],[Date]],Raw_Data[[Date]:[Sunset Time (POA&lt;20 W/m2)]],4,0),"")</f>
        <v>0.77777777777777779</v>
      </c>
      <c r="K1460" s="27">
        <f>IFERROR((TA[[#This Row],[Sunset Time (POA&lt;20 W/m2)]]-TA[[#This Row],[Sunrise Time (POA&gt;20 W/m2)]])*24,"")</f>
        <v>12.55</v>
      </c>
      <c r="L1460" s="2" t="s">
        <v>285</v>
      </c>
      <c r="M1460" s="33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14" t="s">
        <v>309</v>
      </c>
      <c r="Q1460" s="113" t="s">
        <v>309</v>
      </c>
      <c r="R1460">
        <v>131</v>
      </c>
      <c r="S1460" s="2">
        <v>38</v>
      </c>
      <c r="T1460" t="s">
        <v>286</v>
      </c>
      <c r="U1460" t="s">
        <v>291</v>
      </c>
      <c r="V1460" t="s">
        <v>289</v>
      </c>
      <c r="W1460" s="32"/>
      <c r="X1460" s="32"/>
      <c r="Y1460" s="26"/>
      <c r="Z1460" s="26"/>
      <c r="AA1460" s="27">
        <f>IF(TA[[#This Row],[Work Start time on Fault]]="NA","",(TA[[#This Row],[Fault Acknowledgement Time ]]-TA[[#This Row],[Fault Time]])*24)</f>
        <v>0</v>
      </c>
      <c r="AB1460" s="27">
        <f>(TA[[#This Row],[Work Start time on Fault]]-TA[[#This Row],[Fault Time]])*24</f>
        <v>0</v>
      </c>
      <c r="AC1460" s="26">
        <f>(TA[[#This Row],[Work Completion time on fault]]-TA[[#This Row],[Fault Time]])*24</f>
        <v>0</v>
      </c>
      <c r="AD1460" s="27">
        <f>IFERROR((TA[[#This Row],[Work Completion time on fault]]-TA[[#This Row],[Fault Time]])*24,"")</f>
        <v>0</v>
      </c>
      <c r="AE1460" t="s">
        <v>319</v>
      </c>
      <c r="AF1460" t="s">
        <v>247</v>
      </c>
      <c r="AG1460" s="2"/>
      <c r="AH1460" s="35">
        <f>1-COS(RADIANS(TA[[#This Row],[Avg. Target Angle during Fault Time (Radians)]]-TA[[#This Row],[Angle of affected equipment ]]))</f>
        <v>0.11705240714107301</v>
      </c>
      <c r="AI1460" s="27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43">
        <f t="shared" si="177"/>
        <v>2026</v>
      </c>
      <c r="C1461" s="116">
        <f t="shared" si="178"/>
        <v>2025</v>
      </c>
      <c r="D1461" s="2" t="s">
        <v>155</v>
      </c>
      <c r="E1461" s="2" t="s">
        <v>155</v>
      </c>
      <c r="F1461" s="30">
        <v>45839</v>
      </c>
      <c r="G1461" s="2">
        <f>DAY(EOMONTH(TA[[#This Row],[Month Year]],0))</f>
        <v>31</v>
      </c>
      <c r="H1461" s="21">
        <v>45849</v>
      </c>
      <c r="I1461" s="32">
        <f>IFERROR(VLOOKUP(TA[[#This Row],[Date]],Raw_Data[[Date]:[Sunset Time (POA&lt;20 W/m2)]],3,0),"")</f>
        <v>0.25486111111111109</v>
      </c>
      <c r="J1461" s="32">
        <f>IFERROR(VLOOKUP(TA[[#This Row],[Date]],Raw_Data[[Date]:[Sunset Time (POA&lt;20 W/m2)]],4,0),"")</f>
        <v>0.77777777777777779</v>
      </c>
      <c r="K1461" s="27">
        <f>IFERROR((TA[[#This Row],[Sunset Time (POA&lt;20 W/m2)]]-TA[[#This Row],[Sunrise Time (POA&gt;20 W/m2)]])*24,"")</f>
        <v>12.55</v>
      </c>
      <c r="L1461" s="2" t="s">
        <v>285</v>
      </c>
      <c r="M1461" s="33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14" t="s">
        <v>309</v>
      </c>
      <c r="Q1461" s="113" t="s">
        <v>309</v>
      </c>
      <c r="R1461">
        <v>131</v>
      </c>
      <c r="S1461" s="2">
        <v>39</v>
      </c>
      <c r="T1461" t="s">
        <v>286</v>
      </c>
      <c r="U1461" t="s">
        <v>291</v>
      </c>
      <c r="V1461" t="s">
        <v>289</v>
      </c>
      <c r="W1461" s="32"/>
      <c r="X1461" s="32"/>
      <c r="Y1461" s="26"/>
      <c r="Z1461" s="26"/>
      <c r="AA1461" s="27">
        <f>IF(TA[[#This Row],[Work Start time on Fault]]="NA","",(TA[[#This Row],[Fault Acknowledgement Time ]]-TA[[#This Row],[Fault Time]])*24)</f>
        <v>0</v>
      </c>
      <c r="AB1461" s="27">
        <f>(TA[[#This Row],[Work Start time on Fault]]-TA[[#This Row],[Fault Time]])*24</f>
        <v>0</v>
      </c>
      <c r="AC1461" s="26">
        <f>(TA[[#This Row],[Work Completion time on fault]]-TA[[#This Row],[Fault Time]])*24</f>
        <v>0</v>
      </c>
      <c r="AD1461" s="27">
        <f>IFERROR((TA[[#This Row],[Work Completion time on fault]]-TA[[#This Row],[Fault Time]])*24,"")</f>
        <v>0</v>
      </c>
      <c r="AE1461" t="s">
        <v>319</v>
      </c>
      <c r="AF1461" t="s">
        <v>247</v>
      </c>
      <c r="AG1461" s="2"/>
      <c r="AH1461" s="35">
        <f>1-COS(RADIANS(TA[[#This Row],[Avg. Target Angle during Fault Time (Radians)]]-TA[[#This Row],[Angle of affected equipment ]]))</f>
        <v>0.11705240714107301</v>
      </c>
      <c r="AI1461" s="27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43">
        <f t="shared" si="177"/>
        <v>2026</v>
      </c>
      <c r="C1462" s="116">
        <f t="shared" si="178"/>
        <v>2025</v>
      </c>
      <c r="D1462" s="2" t="s">
        <v>155</v>
      </c>
      <c r="E1462" s="2" t="s">
        <v>155</v>
      </c>
      <c r="F1462" s="30">
        <v>45839</v>
      </c>
      <c r="G1462" s="2">
        <f>DAY(EOMONTH(TA[[#This Row],[Month Year]],0))</f>
        <v>31</v>
      </c>
      <c r="H1462" s="21">
        <v>45849</v>
      </c>
      <c r="I1462" s="32">
        <f>IFERROR(VLOOKUP(TA[[#This Row],[Date]],Raw_Data[[Date]:[Sunset Time (POA&lt;20 W/m2)]],3,0),"")</f>
        <v>0.25486111111111109</v>
      </c>
      <c r="J1462" s="32">
        <f>IFERROR(VLOOKUP(TA[[#This Row],[Date]],Raw_Data[[Date]:[Sunset Time (POA&lt;20 W/m2)]],4,0),"")</f>
        <v>0.77777777777777779</v>
      </c>
      <c r="K1462" s="27">
        <f>IFERROR((TA[[#This Row],[Sunset Time (POA&lt;20 W/m2)]]-TA[[#This Row],[Sunrise Time (POA&gt;20 W/m2)]])*24,"")</f>
        <v>12.55</v>
      </c>
      <c r="L1462" s="2" t="s">
        <v>287</v>
      </c>
      <c r="M1462" s="33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14" t="s">
        <v>309</v>
      </c>
      <c r="Q1462" s="2" t="s">
        <v>312</v>
      </c>
      <c r="R1462">
        <v>133</v>
      </c>
      <c r="S1462" s="2">
        <v>26</v>
      </c>
      <c r="T1462" t="s">
        <v>288</v>
      </c>
      <c r="U1462" t="s">
        <v>291</v>
      </c>
      <c r="V1462" t="s">
        <v>305</v>
      </c>
      <c r="W1462" s="32">
        <f>IFERROR(VLOOKUP(TA[[#This Row],[Date]],Raw_Data[[Date]:[Sunset Time (POA&lt;20 W/m2)]],3,0),"")</f>
        <v>0.25486111111111109</v>
      </c>
      <c r="X1462" s="32">
        <f>IFERROR(VLOOKUP(TA[[#This Row],[Date]],Raw_Data[[Date]:[Sunset Time (POA&lt;20 W/m2)]],3,0),"")</f>
        <v>0.25486111111111109</v>
      </c>
      <c r="Y1462" s="26"/>
      <c r="Z1462" s="26">
        <v>0.76041666666666663</v>
      </c>
      <c r="AA1462" s="27">
        <f>IF(TA[[#This Row],[Work Start time on Fault]]="NA","",(TA[[#This Row],[Fault Acknowledgement Time ]]-TA[[#This Row],[Fault Time]])*24)</f>
        <v>0</v>
      </c>
      <c r="AB1462" s="27">
        <f>(TA[[#This Row],[Work Start time on Fault]]-TA[[#This Row],[Fault Time]])*24</f>
        <v>-6.1166666666666663</v>
      </c>
      <c r="AC1462" s="26">
        <f>(TA[[#This Row],[Work Completion time on fault]]-TA[[#This Row],[Fault Time]])*24</f>
        <v>12.133333333333333</v>
      </c>
      <c r="AD1462" s="27">
        <f>IFERROR((TA[[#This Row],[Work Completion time on fault]]-TA[[#This Row],[Fault Time]])*24,"")</f>
        <v>12.133333333333333</v>
      </c>
      <c r="AE1462" t="s">
        <v>319</v>
      </c>
      <c r="AF1462" t="s">
        <v>247</v>
      </c>
      <c r="AG1462" s="2"/>
      <c r="AH1462" s="35">
        <f>1-COS(RADIANS(TA[[#This Row],[Avg. Target Angle during Fault Time (Radians)]]-TA[[#This Row],[Angle of affected equipment ]]))</f>
        <v>0.11705240714107301</v>
      </c>
      <c r="AI1462" s="27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43">
        <f t="shared" si="177"/>
        <v>2026</v>
      </c>
      <c r="C1463" s="116">
        <f t="shared" si="178"/>
        <v>2025</v>
      </c>
      <c r="D1463" s="2" t="s">
        <v>155</v>
      </c>
      <c r="E1463" s="2" t="s">
        <v>155</v>
      </c>
      <c r="F1463" s="30">
        <v>45839</v>
      </c>
      <c r="G1463" s="2">
        <f>DAY(EOMONTH(TA[[#This Row],[Month Year]],0))</f>
        <v>31</v>
      </c>
      <c r="H1463" s="21">
        <v>45849</v>
      </c>
      <c r="I1463" s="32">
        <f>IFERROR(VLOOKUP(TA[[#This Row],[Date]],Raw_Data[[Date]:[Sunset Time (POA&lt;20 W/m2)]],3,0),"")</f>
        <v>0.25486111111111109</v>
      </c>
      <c r="J1463" s="32">
        <f>IFERROR(VLOOKUP(TA[[#This Row],[Date]],Raw_Data[[Date]:[Sunset Time (POA&lt;20 W/m2)]],4,0),"")</f>
        <v>0.77777777777777779</v>
      </c>
      <c r="K1463" s="27">
        <f>IFERROR((TA[[#This Row],[Sunset Time (POA&lt;20 W/m2)]]-TA[[#This Row],[Sunrise Time (POA&gt;20 W/m2)]])*24,"")</f>
        <v>12.55</v>
      </c>
      <c r="L1463" s="2" t="s">
        <v>285</v>
      </c>
      <c r="M1463" s="33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14" t="s">
        <v>307</v>
      </c>
      <c r="Q1463" s="113" t="s">
        <v>308</v>
      </c>
      <c r="R1463">
        <v>7</v>
      </c>
      <c r="S1463" s="2">
        <v>32</v>
      </c>
      <c r="T1463" t="s">
        <v>286</v>
      </c>
      <c r="U1463" t="s">
        <v>291</v>
      </c>
      <c r="V1463" t="s">
        <v>289</v>
      </c>
      <c r="W1463" s="32"/>
      <c r="X1463" s="32"/>
      <c r="Y1463" s="26"/>
      <c r="Z1463" s="26"/>
      <c r="AA1463" s="27">
        <f>IF(TA[[#This Row],[Work Start time on Fault]]="NA","",(TA[[#This Row],[Fault Acknowledgement Time ]]-TA[[#This Row],[Fault Time]])*24)</f>
        <v>0</v>
      </c>
      <c r="AB1463" s="27">
        <f>(TA[[#This Row],[Work Start time on Fault]]-TA[[#This Row],[Fault Time]])*24</f>
        <v>0</v>
      </c>
      <c r="AC1463" s="26">
        <f>(TA[[#This Row],[Work Completion time on fault]]-TA[[#This Row],[Fault Time]])*24</f>
        <v>0</v>
      </c>
      <c r="AD1463" s="27">
        <f>IFERROR((TA[[#This Row],[Work Completion time on fault]]-TA[[#This Row],[Fault Time]])*24,"")</f>
        <v>0</v>
      </c>
      <c r="AE1463" t="s">
        <v>319</v>
      </c>
      <c r="AF1463" t="s">
        <v>247</v>
      </c>
      <c r="AG1463" s="2"/>
      <c r="AH1463" s="35">
        <f>1-COS(RADIANS(TA[[#This Row],[Avg. Target Angle during Fault Time (Radians)]]-TA[[#This Row],[Angle of affected equipment ]]))</f>
        <v>0.11705240714107301</v>
      </c>
      <c r="AI1463" s="27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43">
        <f t="shared" si="177"/>
        <v>2026</v>
      </c>
      <c r="C1464" s="116">
        <f t="shared" si="178"/>
        <v>2025</v>
      </c>
      <c r="D1464" s="2" t="s">
        <v>155</v>
      </c>
      <c r="E1464" s="2" t="s">
        <v>155</v>
      </c>
      <c r="F1464" s="30">
        <v>45839</v>
      </c>
      <c r="G1464" s="2">
        <f>DAY(EOMONTH(TA[[#This Row],[Month Year]],0))</f>
        <v>31</v>
      </c>
      <c r="H1464" s="21">
        <v>45849</v>
      </c>
      <c r="I1464" s="32">
        <f>IFERROR(VLOOKUP(TA[[#This Row],[Date]],Raw_Data[[Date]:[Sunset Time (POA&lt;20 W/m2)]],3,0),"")</f>
        <v>0.25486111111111109</v>
      </c>
      <c r="J1464" s="32">
        <f>IFERROR(VLOOKUP(TA[[#This Row],[Date]],Raw_Data[[Date]:[Sunset Time (POA&lt;20 W/m2)]],4,0),"")</f>
        <v>0.77777777777777779</v>
      </c>
      <c r="K1464" s="27">
        <f>IFERROR((TA[[#This Row],[Sunset Time (POA&lt;20 W/m2)]]-TA[[#This Row],[Sunrise Time (POA&gt;20 W/m2)]])*24,"")</f>
        <v>12.55</v>
      </c>
      <c r="L1464" s="2" t="s">
        <v>285</v>
      </c>
      <c r="M1464" s="33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14" t="s">
        <v>306</v>
      </c>
      <c r="Q1464" s="113" t="s">
        <v>310</v>
      </c>
      <c r="R1464">
        <v>166</v>
      </c>
      <c r="S1464" s="2">
        <v>91</v>
      </c>
      <c r="T1464" t="s">
        <v>286</v>
      </c>
      <c r="U1464" t="s">
        <v>291</v>
      </c>
      <c r="V1464" t="s">
        <v>289</v>
      </c>
      <c r="W1464" s="32"/>
      <c r="X1464" s="32"/>
      <c r="Y1464" s="26"/>
      <c r="Z1464" s="26"/>
      <c r="AA1464" s="27">
        <f>IF(TA[[#This Row],[Work Start time on Fault]]="NA","",(TA[[#This Row],[Fault Acknowledgement Time ]]-TA[[#This Row],[Fault Time]])*24)</f>
        <v>0</v>
      </c>
      <c r="AB1464" s="27">
        <f>(TA[[#This Row],[Work Start time on Fault]]-TA[[#This Row],[Fault Time]])*24</f>
        <v>0</v>
      </c>
      <c r="AC1464" s="26">
        <f>(TA[[#This Row],[Work Completion time on fault]]-TA[[#This Row],[Fault Time]])*24</f>
        <v>0</v>
      </c>
      <c r="AD1464" s="27">
        <f>IFERROR((TA[[#This Row],[Work Completion time on fault]]-TA[[#This Row],[Fault Time]])*24,"")</f>
        <v>0</v>
      </c>
      <c r="AE1464" t="s">
        <v>319</v>
      </c>
      <c r="AF1464" t="s">
        <v>247</v>
      </c>
      <c r="AG1464" s="2"/>
      <c r="AH1464" s="35">
        <f>1-COS(RADIANS(TA[[#This Row],[Avg. Target Angle during Fault Time (Radians)]]-TA[[#This Row],[Angle of affected equipment ]]))</f>
        <v>0.11705240714107301</v>
      </c>
      <c r="AI1464" s="27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43">
        <f t="shared" si="177"/>
        <v>2026</v>
      </c>
      <c r="C1465" s="116">
        <f t="shared" si="178"/>
        <v>2025</v>
      </c>
      <c r="D1465" s="2" t="s">
        <v>155</v>
      </c>
      <c r="E1465" s="2" t="s">
        <v>155</v>
      </c>
      <c r="F1465" s="30">
        <v>45839</v>
      </c>
      <c r="G1465" s="2">
        <f>DAY(EOMONTH(TA[[#This Row],[Month Year]],0))</f>
        <v>31</v>
      </c>
      <c r="H1465" s="21">
        <v>45849</v>
      </c>
      <c r="I1465" s="32">
        <f>IFERROR(VLOOKUP(TA[[#This Row],[Date]],Raw_Data[[Date]:[Sunset Time (POA&lt;20 W/m2)]],3,0),"")</f>
        <v>0.25486111111111109</v>
      </c>
      <c r="J1465" s="32">
        <f>IFERROR(VLOOKUP(TA[[#This Row],[Date]],Raw_Data[[Date]:[Sunset Time (POA&lt;20 W/m2)]],4,0),"")</f>
        <v>0.77777777777777779</v>
      </c>
      <c r="K1465" s="27">
        <f>IFERROR((TA[[#This Row],[Sunset Time (POA&lt;20 W/m2)]]-TA[[#This Row],[Sunrise Time (POA&gt;20 W/m2)]])*24,"")</f>
        <v>12.55</v>
      </c>
      <c r="L1465" s="2" t="s">
        <v>285</v>
      </c>
      <c r="M1465" s="33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14" t="s">
        <v>307</v>
      </c>
      <c r="Q1465" s="113" t="s">
        <v>307</v>
      </c>
      <c r="R1465">
        <v>117</v>
      </c>
      <c r="S1465" s="2">
        <v>20</v>
      </c>
      <c r="T1465" t="s">
        <v>286</v>
      </c>
      <c r="U1465" t="s">
        <v>291</v>
      </c>
      <c r="V1465" t="s">
        <v>289</v>
      </c>
      <c r="W1465" s="32"/>
      <c r="X1465" s="32"/>
      <c r="Y1465" s="26"/>
      <c r="Z1465" s="26"/>
      <c r="AA1465" s="27">
        <f>IF(TA[[#This Row],[Work Start time on Fault]]="NA","",(TA[[#This Row],[Fault Acknowledgement Time ]]-TA[[#This Row],[Fault Time]])*24)</f>
        <v>0</v>
      </c>
      <c r="AB1465" s="27">
        <f>(TA[[#This Row],[Work Start time on Fault]]-TA[[#This Row],[Fault Time]])*24</f>
        <v>0</v>
      </c>
      <c r="AC1465" s="26">
        <f>(TA[[#This Row],[Work Completion time on fault]]-TA[[#This Row],[Fault Time]])*24</f>
        <v>0</v>
      </c>
      <c r="AD1465" s="27">
        <f>IFERROR((TA[[#This Row],[Work Completion time on fault]]-TA[[#This Row],[Fault Time]])*24,"")</f>
        <v>0</v>
      </c>
      <c r="AE1465" t="s">
        <v>319</v>
      </c>
      <c r="AF1465" t="s">
        <v>247</v>
      </c>
      <c r="AG1465" s="2"/>
      <c r="AH1465" s="35">
        <f>1-COS(RADIANS(TA[[#This Row],[Avg. Target Angle during Fault Time (Radians)]]-TA[[#This Row],[Angle of affected equipment ]]))</f>
        <v>0.11705240714107301</v>
      </c>
      <c r="AI1465" s="27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43">
        <f t="shared" si="177"/>
        <v>2026</v>
      </c>
      <c r="C1466" s="116">
        <f t="shared" si="178"/>
        <v>2025</v>
      </c>
      <c r="D1466" s="2" t="s">
        <v>155</v>
      </c>
      <c r="E1466" s="2" t="s">
        <v>155</v>
      </c>
      <c r="F1466" s="30">
        <v>45839</v>
      </c>
      <c r="G1466" s="2">
        <f>DAY(EOMONTH(TA[[#This Row],[Month Year]],0))</f>
        <v>31</v>
      </c>
      <c r="H1466" s="21">
        <v>45849</v>
      </c>
      <c r="I1466" s="32">
        <f>IFERROR(VLOOKUP(TA[[#This Row],[Date]],Raw_Data[[Date]:[Sunset Time (POA&lt;20 W/m2)]],3,0),"")</f>
        <v>0.25486111111111109</v>
      </c>
      <c r="J1466" s="32">
        <f>IFERROR(VLOOKUP(TA[[#This Row],[Date]],Raw_Data[[Date]:[Sunset Time (POA&lt;20 W/m2)]],4,0),"")</f>
        <v>0.77777777777777779</v>
      </c>
      <c r="K1466" s="27">
        <f>IFERROR((TA[[#This Row],[Sunset Time (POA&lt;20 W/m2)]]-TA[[#This Row],[Sunrise Time (POA&gt;20 W/m2)]])*24,"")</f>
        <v>12.55</v>
      </c>
      <c r="L1466" s="2" t="s">
        <v>285</v>
      </c>
      <c r="M1466" s="33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14" t="s">
        <v>307</v>
      </c>
      <c r="Q1466" s="113" t="s">
        <v>307</v>
      </c>
      <c r="R1466">
        <v>118</v>
      </c>
      <c r="S1466" s="2">
        <v>22</v>
      </c>
      <c r="T1466" t="s">
        <v>286</v>
      </c>
      <c r="U1466" t="s">
        <v>291</v>
      </c>
      <c r="V1466" t="s">
        <v>289</v>
      </c>
      <c r="W1466" s="32"/>
      <c r="X1466" s="32"/>
      <c r="Y1466" s="26"/>
      <c r="Z1466" s="26"/>
      <c r="AA1466" s="27">
        <f>IF(TA[[#This Row],[Work Start time on Fault]]="NA","",(TA[[#This Row],[Fault Acknowledgement Time ]]-TA[[#This Row],[Fault Time]])*24)</f>
        <v>0</v>
      </c>
      <c r="AB1466" s="27">
        <f>(TA[[#This Row],[Work Start time on Fault]]-TA[[#This Row],[Fault Time]])*24</f>
        <v>0</v>
      </c>
      <c r="AC1466" s="26">
        <f>(TA[[#This Row],[Work Completion time on fault]]-TA[[#This Row],[Fault Time]])*24</f>
        <v>0</v>
      </c>
      <c r="AD1466" s="27">
        <f>IFERROR((TA[[#This Row],[Work Completion time on fault]]-TA[[#This Row],[Fault Time]])*24,"")</f>
        <v>0</v>
      </c>
      <c r="AE1466" t="s">
        <v>319</v>
      </c>
      <c r="AF1466" t="s">
        <v>247</v>
      </c>
      <c r="AG1466" s="2"/>
      <c r="AH1466" s="35">
        <f>1-COS(RADIANS(TA[[#This Row],[Avg. Target Angle during Fault Time (Radians)]]-TA[[#This Row],[Angle of affected equipment ]]))</f>
        <v>0.11705240714107301</v>
      </c>
      <c r="AI1466" s="27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43">
        <f t="shared" si="177"/>
        <v>2026</v>
      </c>
      <c r="C1467" s="116">
        <f t="shared" si="178"/>
        <v>2025</v>
      </c>
      <c r="D1467" s="2" t="s">
        <v>155</v>
      </c>
      <c r="E1467" s="2" t="s">
        <v>155</v>
      </c>
      <c r="F1467" s="30">
        <v>45839</v>
      </c>
      <c r="G1467" s="2">
        <f>DAY(EOMONTH(TA[[#This Row],[Month Year]],0))</f>
        <v>31</v>
      </c>
      <c r="H1467" s="21">
        <v>45849</v>
      </c>
      <c r="I1467" s="32">
        <f>IFERROR(VLOOKUP(TA[[#This Row],[Date]],Raw_Data[[Date]:[Sunset Time (POA&lt;20 W/m2)]],3,0),"")</f>
        <v>0.25486111111111109</v>
      </c>
      <c r="J1467" s="32">
        <f>IFERROR(VLOOKUP(TA[[#This Row],[Date]],Raw_Data[[Date]:[Sunset Time (POA&lt;20 W/m2)]],4,0),"")</f>
        <v>0.77777777777777779</v>
      </c>
      <c r="K1467" s="27">
        <f>IFERROR((TA[[#This Row],[Sunset Time (POA&lt;20 W/m2)]]-TA[[#This Row],[Sunrise Time (POA&gt;20 W/m2)]])*24,"")</f>
        <v>12.55</v>
      </c>
      <c r="L1467" s="2" t="s">
        <v>287</v>
      </c>
      <c r="M1467" s="33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314</v>
      </c>
      <c r="Q1467" s="2" t="s">
        <v>320</v>
      </c>
      <c r="R1467">
        <v>45</v>
      </c>
      <c r="S1467" s="2">
        <v>8</v>
      </c>
      <c r="T1467" t="s">
        <v>288</v>
      </c>
      <c r="U1467" t="s">
        <v>291</v>
      </c>
      <c r="V1467" t="s">
        <v>292</v>
      </c>
      <c r="W1467" s="32"/>
      <c r="X1467" s="32"/>
      <c r="Y1467" s="26"/>
      <c r="Z1467" s="26"/>
      <c r="AA1467" s="27">
        <f>IF(TA[[#This Row],[Work Start time on Fault]]="NA","",(TA[[#This Row],[Fault Acknowledgement Time ]]-TA[[#This Row],[Fault Time]])*24)</f>
        <v>0</v>
      </c>
      <c r="AB1467" s="27">
        <f>(TA[[#This Row],[Work Start time on Fault]]-TA[[#This Row],[Fault Time]])*24</f>
        <v>0</v>
      </c>
      <c r="AC1467" s="26">
        <f>(TA[[#This Row],[Work Completion time on fault]]-TA[[#This Row],[Fault Time]])*24</f>
        <v>0</v>
      </c>
      <c r="AD1467" s="27">
        <f>IFERROR((TA[[#This Row],[Work Completion time on fault]]-TA[[#This Row],[Fault Time]])*24,"")</f>
        <v>0</v>
      </c>
      <c r="AE1467" t="s">
        <v>319</v>
      </c>
      <c r="AF1467" t="s">
        <v>247</v>
      </c>
      <c r="AG1467" s="2"/>
      <c r="AH1467" s="35">
        <f>1-COS(RADIANS(TA[[#This Row],[Avg. Target Angle during Fault Time (Radians)]]-TA[[#This Row],[Angle of affected equipment ]]))</f>
        <v>0.11705240714107301</v>
      </c>
      <c r="AI1467" s="27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43">
        <f t="shared" si="177"/>
        <v>2026</v>
      </c>
      <c r="C1468" s="116">
        <f t="shared" si="178"/>
        <v>2025</v>
      </c>
      <c r="D1468" s="2" t="s">
        <v>155</v>
      </c>
      <c r="E1468" s="2" t="s">
        <v>155</v>
      </c>
      <c r="F1468" s="30">
        <v>45839</v>
      </c>
      <c r="G1468" s="2">
        <f>DAY(EOMONTH(TA[[#This Row],[Month Year]],0))</f>
        <v>31</v>
      </c>
      <c r="H1468" s="21">
        <v>45849</v>
      </c>
      <c r="I1468" s="32">
        <f>IFERROR(VLOOKUP(TA[[#This Row],[Date]],Raw_Data[[Date]:[Sunset Time (POA&lt;20 W/m2)]],3,0),"")</f>
        <v>0.25486111111111109</v>
      </c>
      <c r="J1468" s="32">
        <f>IFERROR(VLOOKUP(TA[[#This Row],[Date]],Raw_Data[[Date]:[Sunset Time (POA&lt;20 W/m2)]],4,0),"")</f>
        <v>0.77777777777777779</v>
      </c>
      <c r="K1468" s="27">
        <f>IFERROR((TA[[#This Row],[Sunset Time (POA&lt;20 W/m2)]]-TA[[#This Row],[Sunrise Time (POA&gt;20 W/m2)]])*24,"")</f>
        <v>12.55</v>
      </c>
      <c r="L1468" s="2" t="s">
        <v>287</v>
      </c>
      <c r="M1468" s="33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314</v>
      </c>
      <c r="Q1468" s="2" t="s">
        <v>320</v>
      </c>
      <c r="R1468">
        <v>47</v>
      </c>
      <c r="S1468" s="2">
        <v>18</v>
      </c>
      <c r="T1468" t="s">
        <v>288</v>
      </c>
      <c r="U1468" t="s">
        <v>291</v>
      </c>
      <c r="V1468" t="s">
        <v>292</v>
      </c>
      <c r="W1468" s="32"/>
      <c r="X1468" s="32"/>
      <c r="Y1468" s="26"/>
      <c r="Z1468" s="26"/>
      <c r="AA1468" s="27">
        <f>IF(TA[[#This Row],[Work Start time on Fault]]="NA","",(TA[[#This Row],[Fault Acknowledgement Time ]]-TA[[#This Row],[Fault Time]])*24)</f>
        <v>0</v>
      </c>
      <c r="AB1468" s="27">
        <f>(TA[[#This Row],[Work Start time on Fault]]-TA[[#This Row],[Fault Time]])*24</f>
        <v>0</v>
      </c>
      <c r="AC1468" s="26">
        <f>(TA[[#This Row],[Work Completion time on fault]]-TA[[#This Row],[Fault Time]])*24</f>
        <v>0</v>
      </c>
      <c r="AD1468" s="27">
        <f>IFERROR((TA[[#This Row],[Work Completion time on fault]]-TA[[#This Row],[Fault Time]])*24,"")</f>
        <v>0</v>
      </c>
      <c r="AE1468" t="s">
        <v>319</v>
      </c>
      <c r="AF1468" t="s">
        <v>247</v>
      </c>
      <c r="AG1468" s="2"/>
      <c r="AH1468" s="35">
        <f>1-COS(RADIANS(TA[[#This Row],[Avg. Target Angle during Fault Time (Radians)]]-TA[[#This Row],[Angle of affected equipment ]]))</f>
        <v>0.11705240714107301</v>
      </c>
      <c r="AI1468" s="27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43">
        <f t="shared" si="177"/>
        <v>2026</v>
      </c>
      <c r="C1469" s="116">
        <f t="shared" si="178"/>
        <v>2025</v>
      </c>
      <c r="D1469" s="2" t="s">
        <v>155</v>
      </c>
      <c r="E1469" s="2" t="s">
        <v>155</v>
      </c>
      <c r="F1469" s="30">
        <v>45839</v>
      </c>
      <c r="G1469" s="2">
        <f>DAY(EOMONTH(TA[[#This Row],[Month Year]],0))</f>
        <v>31</v>
      </c>
      <c r="H1469" s="21">
        <v>45849</v>
      </c>
      <c r="I1469" s="32">
        <f>IFERROR(VLOOKUP(TA[[#This Row],[Date]],Raw_Data[[Date]:[Sunset Time (POA&lt;20 W/m2)]],3,0),"")</f>
        <v>0.25486111111111109</v>
      </c>
      <c r="J1469" s="32">
        <f>IFERROR(VLOOKUP(TA[[#This Row],[Date]],Raw_Data[[Date]:[Sunset Time (POA&lt;20 W/m2)]],4,0),"")</f>
        <v>0.77777777777777779</v>
      </c>
      <c r="K1469" s="27">
        <f>IFERROR((TA[[#This Row],[Sunset Time (POA&lt;20 W/m2)]]-TA[[#This Row],[Sunrise Time (POA&gt;20 W/m2)]])*24,"")</f>
        <v>12.55</v>
      </c>
      <c r="L1469" s="2" t="s">
        <v>287</v>
      </c>
      <c r="M1469" s="33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321</v>
      </c>
      <c r="Q1469" s="2" t="s">
        <v>314</v>
      </c>
      <c r="R1469">
        <v>30</v>
      </c>
      <c r="S1469" s="2">
        <v>57</v>
      </c>
      <c r="T1469" t="s">
        <v>288</v>
      </c>
      <c r="U1469" t="s">
        <v>291</v>
      </c>
      <c r="V1469" t="s">
        <v>292</v>
      </c>
      <c r="W1469" s="32"/>
      <c r="X1469" s="32"/>
      <c r="Y1469" s="26"/>
      <c r="Z1469" s="26"/>
      <c r="AA1469" s="27">
        <f>IF(TA[[#This Row],[Work Start time on Fault]]="NA","",(TA[[#This Row],[Fault Acknowledgement Time ]]-TA[[#This Row],[Fault Time]])*24)</f>
        <v>0</v>
      </c>
      <c r="AB1469" s="27">
        <f>(TA[[#This Row],[Work Start time on Fault]]-TA[[#This Row],[Fault Time]])*24</f>
        <v>0</v>
      </c>
      <c r="AC1469" s="26">
        <f>(TA[[#This Row],[Work Completion time on fault]]-TA[[#This Row],[Fault Time]])*24</f>
        <v>0</v>
      </c>
      <c r="AD1469" s="27">
        <f>IFERROR((TA[[#This Row],[Work Completion time on fault]]-TA[[#This Row],[Fault Time]])*24,"")</f>
        <v>0</v>
      </c>
      <c r="AE1469" t="s">
        <v>319</v>
      </c>
      <c r="AF1469" t="s">
        <v>247</v>
      </c>
      <c r="AG1469" s="2"/>
      <c r="AH1469" s="35">
        <f>1-COS(RADIANS(TA[[#This Row],[Avg. Target Angle during Fault Time (Radians)]]-TA[[#This Row],[Angle of affected equipment ]]))</f>
        <v>0.11705240714107301</v>
      </c>
      <c r="AI1469" s="27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43">
        <f t="shared" si="177"/>
        <v>2026</v>
      </c>
      <c r="C1470" s="116">
        <f t="shared" si="178"/>
        <v>2025</v>
      </c>
      <c r="D1470" s="2" t="s">
        <v>155</v>
      </c>
      <c r="E1470" s="2" t="s">
        <v>155</v>
      </c>
      <c r="F1470" s="30">
        <v>45839</v>
      </c>
      <c r="G1470" s="2">
        <f>DAY(EOMONTH(TA[[#This Row],[Month Year]],0))</f>
        <v>31</v>
      </c>
      <c r="H1470" s="21">
        <v>45849</v>
      </c>
      <c r="I1470" s="32">
        <f>IFERROR(VLOOKUP(TA[[#This Row],[Date]],Raw_Data[[Date]:[Sunset Time (POA&lt;20 W/m2)]],3,0),"")</f>
        <v>0.25486111111111109</v>
      </c>
      <c r="J1470" s="32">
        <f>IFERROR(VLOOKUP(TA[[#This Row],[Date]],Raw_Data[[Date]:[Sunset Time (POA&lt;20 W/m2)]],4,0),"")</f>
        <v>0.77777777777777779</v>
      </c>
      <c r="K1470" s="27">
        <f>IFERROR((TA[[#This Row],[Sunset Time (POA&lt;20 W/m2)]]-TA[[#This Row],[Sunrise Time (POA&gt;20 W/m2)]])*24,"")</f>
        <v>12.55</v>
      </c>
      <c r="L1470" s="2" t="s">
        <v>287</v>
      </c>
      <c r="M1470" s="33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321</v>
      </c>
      <c r="Q1470" s="2" t="s">
        <v>314</v>
      </c>
      <c r="R1470">
        <v>31</v>
      </c>
      <c r="S1470" s="2">
        <v>61</v>
      </c>
      <c r="T1470" t="s">
        <v>288</v>
      </c>
      <c r="U1470" t="s">
        <v>291</v>
      </c>
      <c r="V1470" t="s">
        <v>292</v>
      </c>
      <c r="W1470" s="32"/>
      <c r="X1470" s="32"/>
      <c r="Y1470" s="26"/>
      <c r="Z1470" s="26"/>
      <c r="AA1470" s="27">
        <f>IF(TA[[#This Row],[Work Start time on Fault]]="NA","",(TA[[#This Row],[Fault Acknowledgement Time ]]-TA[[#This Row],[Fault Time]])*24)</f>
        <v>0</v>
      </c>
      <c r="AB1470" s="27">
        <f>(TA[[#This Row],[Work Start time on Fault]]-TA[[#This Row],[Fault Time]])*24</f>
        <v>0</v>
      </c>
      <c r="AC1470" s="26">
        <f>(TA[[#This Row],[Work Completion time on fault]]-TA[[#This Row],[Fault Time]])*24</f>
        <v>0</v>
      </c>
      <c r="AD1470" s="27">
        <f>IFERROR((TA[[#This Row],[Work Completion time on fault]]-TA[[#This Row],[Fault Time]])*24,"")</f>
        <v>0</v>
      </c>
      <c r="AE1470" t="s">
        <v>319</v>
      </c>
      <c r="AF1470" t="s">
        <v>247</v>
      </c>
      <c r="AG1470" s="2"/>
      <c r="AH1470" s="35">
        <f>1-COS(RADIANS(TA[[#This Row],[Avg. Target Angle during Fault Time (Radians)]]-TA[[#This Row],[Angle of affected equipment ]]))</f>
        <v>0.11705240714107301</v>
      </c>
      <c r="AI1470" s="27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43">
        <f t="shared" si="177"/>
        <v>2026</v>
      </c>
      <c r="C1471" s="116">
        <f t="shared" si="178"/>
        <v>2025</v>
      </c>
      <c r="D1471" s="2" t="s">
        <v>155</v>
      </c>
      <c r="E1471" s="2" t="s">
        <v>155</v>
      </c>
      <c r="F1471" s="30">
        <v>45839</v>
      </c>
      <c r="G1471" s="2">
        <f>DAY(EOMONTH(TA[[#This Row],[Month Year]],0))</f>
        <v>31</v>
      </c>
      <c r="H1471" s="21">
        <v>45849</v>
      </c>
      <c r="I1471" s="32">
        <f>IFERROR(VLOOKUP(TA[[#This Row],[Date]],Raw_Data[[Date]:[Sunset Time (POA&lt;20 W/m2)]],3,0),"")</f>
        <v>0.25486111111111109</v>
      </c>
      <c r="J1471" s="32">
        <f>IFERROR(VLOOKUP(TA[[#This Row],[Date]],Raw_Data[[Date]:[Sunset Time (POA&lt;20 W/m2)]],4,0),"")</f>
        <v>0.77777777777777779</v>
      </c>
      <c r="K1471" s="27">
        <f>IFERROR((TA[[#This Row],[Sunset Time (POA&lt;20 W/m2)]]-TA[[#This Row],[Sunrise Time (POA&gt;20 W/m2)]])*24,"")</f>
        <v>12.55</v>
      </c>
      <c r="L1471" s="2" t="s">
        <v>303</v>
      </c>
      <c r="M1471" s="33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321</v>
      </c>
      <c r="Q1471" s="2" t="s">
        <v>314</v>
      </c>
      <c r="R1471">
        <v>26</v>
      </c>
      <c r="S1471" s="2">
        <v>37</v>
      </c>
      <c r="T1471" t="s">
        <v>288</v>
      </c>
      <c r="U1471" t="s">
        <v>291</v>
      </c>
      <c r="V1471" t="s">
        <v>292</v>
      </c>
      <c r="W1471" s="32"/>
      <c r="X1471" s="32"/>
      <c r="Y1471" s="26"/>
      <c r="Z1471" s="26"/>
      <c r="AA1471" s="27">
        <f>IF(TA[[#This Row],[Work Start time on Fault]]="NA","",(TA[[#This Row],[Fault Acknowledgement Time ]]-TA[[#This Row],[Fault Time]])*24)</f>
        <v>0</v>
      </c>
      <c r="AB1471" s="27">
        <f>(TA[[#This Row],[Work Start time on Fault]]-TA[[#This Row],[Fault Time]])*24</f>
        <v>0</v>
      </c>
      <c r="AC1471" s="26">
        <f>(TA[[#This Row],[Work Completion time on fault]]-TA[[#This Row],[Fault Time]])*24</f>
        <v>0</v>
      </c>
      <c r="AD1471" s="27">
        <f>IFERROR((TA[[#This Row],[Work Completion time on fault]]-TA[[#This Row],[Fault Time]])*24,"")</f>
        <v>0</v>
      </c>
      <c r="AE1471" t="s">
        <v>319</v>
      </c>
      <c r="AF1471" t="s">
        <v>247</v>
      </c>
      <c r="AG1471" s="2"/>
      <c r="AH1471" s="35">
        <f>1-COS(RADIANS(TA[[#This Row],[Avg. Target Angle during Fault Time (Radians)]]-TA[[#This Row],[Angle of affected equipment ]]))</f>
        <v>0.11705240714107301</v>
      </c>
      <c r="AI1471" s="27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43">
        <f t="shared" si="177"/>
        <v>2026</v>
      </c>
      <c r="C1472" s="116">
        <f t="shared" si="178"/>
        <v>2025</v>
      </c>
      <c r="D1472" s="2" t="s">
        <v>155</v>
      </c>
      <c r="E1472" s="2" t="s">
        <v>155</v>
      </c>
      <c r="F1472" s="30">
        <v>45839</v>
      </c>
      <c r="G1472" s="2">
        <f>DAY(EOMONTH(TA[[#This Row],[Month Year]],0))</f>
        <v>31</v>
      </c>
      <c r="H1472" s="21">
        <v>45849</v>
      </c>
      <c r="I1472" s="32">
        <f>IFERROR(VLOOKUP(TA[[#This Row],[Date]],Raw_Data[[Date]:[Sunset Time (POA&lt;20 W/m2)]],3,0),"")</f>
        <v>0.25486111111111109</v>
      </c>
      <c r="J1472" s="32">
        <f>IFERROR(VLOOKUP(TA[[#This Row],[Date]],Raw_Data[[Date]:[Sunset Time (POA&lt;20 W/m2)]],4,0),"")</f>
        <v>0.77777777777777779</v>
      </c>
      <c r="K1472" s="27">
        <f>IFERROR((TA[[#This Row],[Sunset Time (POA&lt;20 W/m2)]]-TA[[#This Row],[Sunrise Time (POA&gt;20 W/m2)]])*24,"")</f>
        <v>12.55</v>
      </c>
      <c r="L1472" s="2" t="s">
        <v>303</v>
      </c>
      <c r="M1472" s="33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321</v>
      </c>
      <c r="Q1472" s="2" t="s">
        <v>314</v>
      </c>
      <c r="R1472">
        <v>27</v>
      </c>
      <c r="S1472" s="2">
        <v>42</v>
      </c>
      <c r="T1472" t="s">
        <v>288</v>
      </c>
      <c r="U1472" t="s">
        <v>291</v>
      </c>
      <c r="V1472" t="s">
        <v>292</v>
      </c>
      <c r="W1472" s="32">
        <f>IFERROR(VLOOKUP(TA[[#This Row],[Date]],Raw_Data[[Date]:[Sunset Time (POA&lt;20 W/m2)]],3,0),"")</f>
        <v>0.25486111111111109</v>
      </c>
      <c r="X1472" s="32">
        <f>IFERROR(VLOOKUP(TA[[#This Row],[Date]],Raw_Data[[Date]:[Sunset Time (POA&lt;20 W/m2)]],3,0),"")</f>
        <v>0.25486111111111109</v>
      </c>
      <c r="Y1472" s="26"/>
      <c r="Z1472" s="26">
        <v>0.76041666666666663</v>
      </c>
      <c r="AA1472" s="27">
        <f>IF(TA[[#This Row],[Work Start time on Fault]]="NA","",(TA[[#This Row],[Fault Acknowledgement Time ]]-TA[[#This Row],[Fault Time]])*24)</f>
        <v>0</v>
      </c>
      <c r="AB1472" s="27">
        <f>(TA[[#This Row],[Work Start time on Fault]]-TA[[#This Row],[Fault Time]])*24</f>
        <v>-6.1166666666666663</v>
      </c>
      <c r="AC1472" s="26">
        <f>(TA[[#This Row],[Work Completion time on fault]]-TA[[#This Row],[Fault Time]])*24</f>
        <v>12.133333333333333</v>
      </c>
      <c r="AD1472" s="27">
        <f>IFERROR((TA[[#This Row],[Work Completion time on fault]]-TA[[#This Row],[Fault Time]])*24,"")</f>
        <v>12.133333333333333</v>
      </c>
      <c r="AE1472" t="s">
        <v>300</v>
      </c>
      <c r="AF1472" t="s">
        <v>247</v>
      </c>
      <c r="AG1472" s="2"/>
      <c r="AH1472" s="35">
        <f>1-COS(RADIANS(TA[[#This Row],[Avg. Target Angle during Fault Time (Radians)]]-TA[[#This Row],[Angle of affected equipment ]]))</f>
        <v>0.11705240714107301</v>
      </c>
      <c r="AI1472" s="27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43">
        <f t="shared" ref="B1473:B1485" si="179">YEAR(H1473)+IF(MONTH(H1473)&gt;=4,1,0)</f>
        <v>2026</v>
      </c>
      <c r="C1473" s="116">
        <f t="shared" ref="C1473:C1485" si="180">YEAR(H1473)</f>
        <v>2025</v>
      </c>
      <c r="D1473" s="2" t="s">
        <v>155</v>
      </c>
      <c r="E1473" s="2" t="s">
        <v>155</v>
      </c>
      <c r="F1473" s="30">
        <v>45839</v>
      </c>
      <c r="G1473" s="2">
        <f>DAY(EOMONTH(TA[[#This Row],[Month Year]],0))</f>
        <v>31</v>
      </c>
      <c r="H1473" s="21">
        <v>45850</v>
      </c>
      <c r="I1473" s="32">
        <f>IFERROR(VLOOKUP(TA[[#This Row],[Date]],Raw_Data[[Date]:[Sunset Time (POA&lt;20 W/m2)]],3,0),"")</f>
        <v>0.25416666666666665</v>
      </c>
      <c r="J1473" s="32">
        <f>IFERROR(VLOOKUP(TA[[#This Row],[Date]],Raw_Data[[Date]:[Sunset Time (POA&lt;20 W/m2)]],4,0),"")</f>
        <v>0.78472222222222221</v>
      </c>
      <c r="K1473" s="27">
        <f>IFERROR((TA[[#This Row],[Sunset Time (POA&lt;20 W/m2)]]-TA[[#This Row],[Sunrise Time (POA&gt;20 W/m2)]])*24,"")</f>
        <v>12.733333333333334</v>
      </c>
      <c r="L1473" s="2" t="s">
        <v>285</v>
      </c>
      <c r="M1473" s="33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14" t="s">
        <v>309</v>
      </c>
      <c r="Q1473" s="113" t="s">
        <v>309</v>
      </c>
      <c r="R1473">
        <v>131</v>
      </c>
      <c r="S1473" s="2">
        <v>38</v>
      </c>
      <c r="T1473" t="s">
        <v>286</v>
      </c>
      <c r="U1473" t="s">
        <v>291</v>
      </c>
      <c r="V1473" t="s">
        <v>289</v>
      </c>
      <c r="W1473" s="32"/>
      <c r="X1473" s="32"/>
      <c r="Y1473" s="26"/>
      <c r="Z1473" s="26"/>
      <c r="AA1473" s="27">
        <f>IF(TA[[#This Row],[Work Start time on Fault]]="NA","",(TA[[#This Row],[Fault Acknowledgement Time ]]-TA[[#This Row],[Fault Time]])*24)</f>
        <v>0</v>
      </c>
      <c r="AB1473" s="27">
        <f>(TA[[#This Row],[Work Start time on Fault]]-TA[[#This Row],[Fault Time]])*24</f>
        <v>0</v>
      </c>
      <c r="AC1473" s="26">
        <f>(TA[[#This Row],[Work Completion time on fault]]-TA[[#This Row],[Fault Time]])*24</f>
        <v>0</v>
      </c>
      <c r="AD1473" s="27">
        <f>IFERROR((TA[[#This Row],[Work Completion time on fault]]-TA[[#This Row],[Fault Time]])*24,"")</f>
        <v>0</v>
      </c>
      <c r="AE1473" t="s">
        <v>319</v>
      </c>
      <c r="AF1473" t="s">
        <v>247</v>
      </c>
      <c r="AG1473" s="2"/>
      <c r="AH1473" s="35">
        <f>1-COS(RADIANS(TA[[#This Row],[Avg. Target Angle during Fault Time (Radians)]]-TA[[#This Row],[Angle of affected equipment ]]))</f>
        <v>0.11705240714107301</v>
      </c>
      <c r="AI1473" s="27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43">
        <f t="shared" si="179"/>
        <v>2026</v>
      </c>
      <c r="C1474" s="116">
        <f t="shared" si="180"/>
        <v>2025</v>
      </c>
      <c r="D1474" s="2" t="s">
        <v>155</v>
      </c>
      <c r="E1474" s="2" t="s">
        <v>155</v>
      </c>
      <c r="F1474" s="30">
        <v>45839</v>
      </c>
      <c r="G1474" s="2">
        <f>DAY(EOMONTH(TA[[#This Row],[Month Year]],0))</f>
        <v>31</v>
      </c>
      <c r="H1474" s="21">
        <v>45850</v>
      </c>
      <c r="I1474" s="32">
        <f>IFERROR(VLOOKUP(TA[[#This Row],[Date]],Raw_Data[[Date]:[Sunset Time (POA&lt;20 W/m2)]],3,0),"")</f>
        <v>0.25416666666666665</v>
      </c>
      <c r="J1474" s="32">
        <f>IFERROR(VLOOKUP(TA[[#This Row],[Date]],Raw_Data[[Date]:[Sunset Time (POA&lt;20 W/m2)]],4,0),"")</f>
        <v>0.78472222222222221</v>
      </c>
      <c r="K1474" s="27">
        <f>IFERROR((TA[[#This Row],[Sunset Time (POA&lt;20 W/m2)]]-TA[[#This Row],[Sunrise Time (POA&gt;20 W/m2)]])*24,"")</f>
        <v>12.733333333333334</v>
      </c>
      <c r="L1474" s="2" t="s">
        <v>285</v>
      </c>
      <c r="M1474" s="33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14" t="s">
        <v>309</v>
      </c>
      <c r="Q1474" s="113" t="s">
        <v>309</v>
      </c>
      <c r="R1474">
        <v>131</v>
      </c>
      <c r="S1474" s="2">
        <v>39</v>
      </c>
      <c r="T1474" t="s">
        <v>286</v>
      </c>
      <c r="U1474" t="s">
        <v>291</v>
      </c>
      <c r="V1474" t="s">
        <v>289</v>
      </c>
      <c r="W1474" s="32"/>
      <c r="X1474" s="32"/>
      <c r="Y1474" s="26"/>
      <c r="Z1474" s="26"/>
      <c r="AA1474" s="27">
        <f>IF(TA[[#This Row],[Work Start time on Fault]]="NA","",(TA[[#This Row],[Fault Acknowledgement Time ]]-TA[[#This Row],[Fault Time]])*24)</f>
        <v>0</v>
      </c>
      <c r="AB1474" s="27">
        <f>(TA[[#This Row],[Work Start time on Fault]]-TA[[#This Row],[Fault Time]])*24</f>
        <v>0</v>
      </c>
      <c r="AC1474" s="26">
        <f>(TA[[#This Row],[Work Completion time on fault]]-TA[[#This Row],[Fault Time]])*24</f>
        <v>0</v>
      </c>
      <c r="AD1474" s="27">
        <f>IFERROR((TA[[#This Row],[Work Completion time on fault]]-TA[[#This Row],[Fault Time]])*24,"")</f>
        <v>0</v>
      </c>
      <c r="AE1474" t="s">
        <v>319</v>
      </c>
      <c r="AF1474" t="s">
        <v>247</v>
      </c>
      <c r="AG1474" s="2"/>
      <c r="AH1474" s="35">
        <f>1-COS(RADIANS(TA[[#This Row],[Avg. Target Angle during Fault Time (Radians)]]-TA[[#This Row],[Angle of affected equipment ]]))</f>
        <v>0.11705240714107301</v>
      </c>
      <c r="AI1474" s="27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43">
        <f t="shared" si="179"/>
        <v>2026</v>
      </c>
      <c r="C1475" s="116">
        <f t="shared" si="180"/>
        <v>2025</v>
      </c>
      <c r="D1475" s="2" t="s">
        <v>155</v>
      </c>
      <c r="E1475" s="2" t="s">
        <v>155</v>
      </c>
      <c r="F1475" s="30">
        <v>45839</v>
      </c>
      <c r="G1475" s="2">
        <f>DAY(EOMONTH(TA[[#This Row],[Month Year]],0))</f>
        <v>31</v>
      </c>
      <c r="H1475" s="21">
        <v>45850</v>
      </c>
      <c r="I1475" s="32">
        <f>IFERROR(VLOOKUP(TA[[#This Row],[Date]],Raw_Data[[Date]:[Sunset Time (POA&lt;20 W/m2)]],3,0),"")</f>
        <v>0.25416666666666665</v>
      </c>
      <c r="J1475" s="32">
        <f>IFERROR(VLOOKUP(TA[[#This Row],[Date]],Raw_Data[[Date]:[Sunset Time (POA&lt;20 W/m2)]],4,0),"")</f>
        <v>0.78472222222222221</v>
      </c>
      <c r="K1475" s="27">
        <f>IFERROR((TA[[#This Row],[Sunset Time (POA&lt;20 W/m2)]]-TA[[#This Row],[Sunrise Time (POA&gt;20 W/m2)]])*24,"")</f>
        <v>12.733333333333334</v>
      </c>
      <c r="L1475" s="2" t="s">
        <v>287</v>
      </c>
      <c r="M1475" s="33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14" t="s">
        <v>309</v>
      </c>
      <c r="Q1475" s="2" t="s">
        <v>312</v>
      </c>
      <c r="R1475">
        <v>133</v>
      </c>
      <c r="S1475" s="2">
        <v>26</v>
      </c>
      <c r="T1475" t="s">
        <v>288</v>
      </c>
      <c r="U1475" t="s">
        <v>291</v>
      </c>
      <c r="V1475" t="s">
        <v>305</v>
      </c>
      <c r="W1475" s="32">
        <f>IFERROR(VLOOKUP(TA[[#This Row],[Date]],Raw_Data[[Date]:[Sunset Time (POA&lt;20 W/m2)]],3,0),"")</f>
        <v>0.25416666666666665</v>
      </c>
      <c r="X1475" s="32">
        <f>IFERROR(VLOOKUP(TA[[#This Row],[Date]],Raw_Data[[Date]:[Sunset Time (POA&lt;20 W/m2)]],3,0),"")</f>
        <v>0.25416666666666665</v>
      </c>
      <c r="Y1475" s="26"/>
      <c r="Z1475" s="26">
        <v>0.76041666666666663</v>
      </c>
      <c r="AA1475" s="27">
        <f>IF(TA[[#This Row],[Work Start time on Fault]]="NA","",(TA[[#This Row],[Fault Acknowledgement Time ]]-TA[[#This Row],[Fault Time]])*24)</f>
        <v>0</v>
      </c>
      <c r="AB1475" s="27">
        <f>(TA[[#This Row],[Work Start time on Fault]]-TA[[#This Row],[Fault Time]])*24</f>
        <v>-6.1</v>
      </c>
      <c r="AC1475" s="26">
        <f>(TA[[#This Row],[Work Completion time on fault]]-TA[[#This Row],[Fault Time]])*24</f>
        <v>12.149999999999999</v>
      </c>
      <c r="AD1475" s="27">
        <f>IFERROR((TA[[#This Row],[Work Completion time on fault]]-TA[[#This Row],[Fault Time]])*24,"")</f>
        <v>12.149999999999999</v>
      </c>
      <c r="AE1475" t="s">
        <v>319</v>
      </c>
      <c r="AF1475" t="s">
        <v>247</v>
      </c>
      <c r="AG1475" s="2"/>
      <c r="AH1475" s="35">
        <f>1-COS(RADIANS(TA[[#This Row],[Avg. Target Angle during Fault Time (Radians)]]-TA[[#This Row],[Angle of affected equipment ]]))</f>
        <v>0.11705240714107301</v>
      </c>
      <c r="AI1475" s="27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43">
        <f t="shared" si="179"/>
        <v>2026</v>
      </c>
      <c r="C1476" s="116">
        <f t="shared" si="180"/>
        <v>2025</v>
      </c>
      <c r="D1476" s="2" t="s">
        <v>155</v>
      </c>
      <c r="E1476" s="2" t="s">
        <v>155</v>
      </c>
      <c r="F1476" s="30">
        <v>45839</v>
      </c>
      <c r="G1476" s="2">
        <f>DAY(EOMONTH(TA[[#This Row],[Month Year]],0))</f>
        <v>31</v>
      </c>
      <c r="H1476" s="21">
        <v>45850</v>
      </c>
      <c r="I1476" s="32">
        <f>IFERROR(VLOOKUP(TA[[#This Row],[Date]],Raw_Data[[Date]:[Sunset Time (POA&lt;20 W/m2)]],3,0),"")</f>
        <v>0.25416666666666665</v>
      </c>
      <c r="J1476" s="32">
        <f>IFERROR(VLOOKUP(TA[[#This Row],[Date]],Raw_Data[[Date]:[Sunset Time (POA&lt;20 W/m2)]],4,0),"")</f>
        <v>0.78472222222222221</v>
      </c>
      <c r="K1476" s="27">
        <f>IFERROR((TA[[#This Row],[Sunset Time (POA&lt;20 W/m2)]]-TA[[#This Row],[Sunrise Time (POA&gt;20 W/m2)]])*24,"")</f>
        <v>12.733333333333334</v>
      </c>
      <c r="L1476" s="2" t="s">
        <v>285</v>
      </c>
      <c r="M1476" s="33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14" t="s">
        <v>307</v>
      </c>
      <c r="Q1476" s="113" t="s">
        <v>308</v>
      </c>
      <c r="R1476">
        <v>7</v>
      </c>
      <c r="S1476" s="2">
        <v>32</v>
      </c>
      <c r="T1476" t="s">
        <v>286</v>
      </c>
      <c r="U1476" t="s">
        <v>291</v>
      </c>
      <c r="V1476" t="s">
        <v>289</v>
      </c>
      <c r="W1476" s="32"/>
      <c r="X1476" s="32"/>
      <c r="Y1476" s="26"/>
      <c r="Z1476" s="26"/>
      <c r="AA1476" s="27">
        <f>IF(TA[[#This Row],[Work Start time on Fault]]="NA","",(TA[[#This Row],[Fault Acknowledgement Time ]]-TA[[#This Row],[Fault Time]])*24)</f>
        <v>0</v>
      </c>
      <c r="AB1476" s="27">
        <f>(TA[[#This Row],[Work Start time on Fault]]-TA[[#This Row],[Fault Time]])*24</f>
        <v>0</v>
      </c>
      <c r="AC1476" s="26">
        <f>(TA[[#This Row],[Work Completion time on fault]]-TA[[#This Row],[Fault Time]])*24</f>
        <v>0</v>
      </c>
      <c r="AD1476" s="27">
        <f>IFERROR((TA[[#This Row],[Work Completion time on fault]]-TA[[#This Row],[Fault Time]])*24,"")</f>
        <v>0</v>
      </c>
      <c r="AE1476" t="s">
        <v>319</v>
      </c>
      <c r="AF1476" t="s">
        <v>247</v>
      </c>
      <c r="AG1476" s="2"/>
      <c r="AH1476" s="35">
        <f>1-COS(RADIANS(TA[[#This Row],[Avg. Target Angle during Fault Time (Radians)]]-TA[[#This Row],[Angle of affected equipment ]]))</f>
        <v>0.11705240714107301</v>
      </c>
      <c r="AI1476" s="27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43">
        <f t="shared" si="179"/>
        <v>2026</v>
      </c>
      <c r="C1477" s="116">
        <f t="shared" si="180"/>
        <v>2025</v>
      </c>
      <c r="D1477" s="2" t="s">
        <v>155</v>
      </c>
      <c r="E1477" s="2" t="s">
        <v>155</v>
      </c>
      <c r="F1477" s="30">
        <v>45839</v>
      </c>
      <c r="G1477" s="2">
        <f>DAY(EOMONTH(TA[[#This Row],[Month Year]],0))</f>
        <v>31</v>
      </c>
      <c r="H1477" s="21">
        <v>45850</v>
      </c>
      <c r="I1477" s="32">
        <f>IFERROR(VLOOKUP(TA[[#This Row],[Date]],Raw_Data[[Date]:[Sunset Time (POA&lt;20 W/m2)]],3,0),"")</f>
        <v>0.25416666666666665</v>
      </c>
      <c r="J1477" s="32">
        <f>IFERROR(VLOOKUP(TA[[#This Row],[Date]],Raw_Data[[Date]:[Sunset Time (POA&lt;20 W/m2)]],4,0),"")</f>
        <v>0.78472222222222221</v>
      </c>
      <c r="K1477" s="27">
        <f>IFERROR((TA[[#This Row],[Sunset Time (POA&lt;20 W/m2)]]-TA[[#This Row],[Sunrise Time (POA&gt;20 W/m2)]])*24,"")</f>
        <v>12.733333333333334</v>
      </c>
      <c r="L1477" s="2" t="s">
        <v>285</v>
      </c>
      <c r="M1477" s="33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14" t="s">
        <v>306</v>
      </c>
      <c r="Q1477" s="113" t="s">
        <v>310</v>
      </c>
      <c r="R1477">
        <v>166</v>
      </c>
      <c r="S1477" s="2">
        <v>91</v>
      </c>
      <c r="T1477" t="s">
        <v>286</v>
      </c>
      <c r="U1477" t="s">
        <v>291</v>
      </c>
      <c r="V1477" t="s">
        <v>289</v>
      </c>
      <c r="W1477" s="32"/>
      <c r="X1477" s="32"/>
      <c r="Y1477" s="26"/>
      <c r="Z1477" s="26"/>
      <c r="AA1477" s="27">
        <f>IF(TA[[#This Row],[Work Start time on Fault]]="NA","",(TA[[#This Row],[Fault Acknowledgement Time ]]-TA[[#This Row],[Fault Time]])*24)</f>
        <v>0</v>
      </c>
      <c r="AB1477" s="27">
        <f>(TA[[#This Row],[Work Start time on Fault]]-TA[[#This Row],[Fault Time]])*24</f>
        <v>0</v>
      </c>
      <c r="AC1477" s="26">
        <f>(TA[[#This Row],[Work Completion time on fault]]-TA[[#This Row],[Fault Time]])*24</f>
        <v>0</v>
      </c>
      <c r="AD1477" s="27">
        <f>IFERROR((TA[[#This Row],[Work Completion time on fault]]-TA[[#This Row],[Fault Time]])*24,"")</f>
        <v>0</v>
      </c>
      <c r="AE1477" t="s">
        <v>319</v>
      </c>
      <c r="AF1477" t="s">
        <v>247</v>
      </c>
      <c r="AG1477" s="2"/>
      <c r="AH1477" s="35">
        <f>1-COS(RADIANS(TA[[#This Row],[Avg. Target Angle during Fault Time (Radians)]]-TA[[#This Row],[Angle of affected equipment ]]))</f>
        <v>0.11705240714107301</v>
      </c>
      <c r="AI1477" s="27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43">
        <f t="shared" si="179"/>
        <v>2026</v>
      </c>
      <c r="C1478" s="116">
        <f t="shared" si="180"/>
        <v>2025</v>
      </c>
      <c r="D1478" s="2" t="s">
        <v>155</v>
      </c>
      <c r="E1478" s="2" t="s">
        <v>155</v>
      </c>
      <c r="F1478" s="30">
        <v>45839</v>
      </c>
      <c r="G1478" s="2">
        <f>DAY(EOMONTH(TA[[#This Row],[Month Year]],0))</f>
        <v>31</v>
      </c>
      <c r="H1478" s="21">
        <v>45850</v>
      </c>
      <c r="I1478" s="32">
        <f>IFERROR(VLOOKUP(TA[[#This Row],[Date]],Raw_Data[[Date]:[Sunset Time (POA&lt;20 W/m2)]],3,0),"")</f>
        <v>0.25416666666666665</v>
      </c>
      <c r="J1478" s="32">
        <f>IFERROR(VLOOKUP(TA[[#This Row],[Date]],Raw_Data[[Date]:[Sunset Time (POA&lt;20 W/m2)]],4,0),"")</f>
        <v>0.78472222222222221</v>
      </c>
      <c r="K1478" s="27">
        <f>IFERROR((TA[[#This Row],[Sunset Time (POA&lt;20 W/m2)]]-TA[[#This Row],[Sunrise Time (POA&gt;20 W/m2)]])*24,"")</f>
        <v>12.733333333333334</v>
      </c>
      <c r="L1478" s="2" t="s">
        <v>285</v>
      </c>
      <c r="M1478" s="33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14" t="s">
        <v>307</v>
      </c>
      <c r="Q1478" s="113" t="s">
        <v>307</v>
      </c>
      <c r="R1478">
        <v>117</v>
      </c>
      <c r="S1478" s="2">
        <v>20</v>
      </c>
      <c r="T1478" t="s">
        <v>286</v>
      </c>
      <c r="U1478" t="s">
        <v>291</v>
      </c>
      <c r="V1478" t="s">
        <v>289</v>
      </c>
      <c r="W1478" s="32"/>
      <c r="X1478" s="32"/>
      <c r="Y1478" s="26"/>
      <c r="Z1478" s="26"/>
      <c r="AA1478" s="27">
        <f>IF(TA[[#This Row],[Work Start time on Fault]]="NA","",(TA[[#This Row],[Fault Acknowledgement Time ]]-TA[[#This Row],[Fault Time]])*24)</f>
        <v>0</v>
      </c>
      <c r="AB1478" s="27">
        <f>(TA[[#This Row],[Work Start time on Fault]]-TA[[#This Row],[Fault Time]])*24</f>
        <v>0</v>
      </c>
      <c r="AC1478" s="26">
        <f>(TA[[#This Row],[Work Completion time on fault]]-TA[[#This Row],[Fault Time]])*24</f>
        <v>0</v>
      </c>
      <c r="AD1478" s="27">
        <f>IFERROR((TA[[#This Row],[Work Completion time on fault]]-TA[[#This Row],[Fault Time]])*24,"")</f>
        <v>0</v>
      </c>
      <c r="AE1478" t="s">
        <v>319</v>
      </c>
      <c r="AF1478" t="s">
        <v>247</v>
      </c>
      <c r="AG1478" s="2"/>
      <c r="AH1478" s="35">
        <f>1-COS(RADIANS(TA[[#This Row],[Avg. Target Angle during Fault Time (Radians)]]-TA[[#This Row],[Angle of affected equipment ]]))</f>
        <v>0.11705240714107301</v>
      </c>
      <c r="AI1478" s="27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43">
        <f t="shared" si="179"/>
        <v>2026</v>
      </c>
      <c r="C1479" s="116">
        <f t="shared" si="180"/>
        <v>2025</v>
      </c>
      <c r="D1479" s="2" t="s">
        <v>155</v>
      </c>
      <c r="E1479" s="2" t="s">
        <v>155</v>
      </c>
      <c r="F1479" s="30">
        <v>45839</v>
      </c>
      <c r="G1479" s="2">
        <f>DAY(EOMONTH(TA[[#This Row],[Month Year]],0))</f>
        <v>31</v>
      </c>
      <c r="H1479" s="21">
        <v>45850</v>
      </c>
      <c r="I1479" s="32">
        <f>IFERROR(VLOOKUP(TA[[#This Row],[Date]],Raw_Data[[Date]:[Sunset Time (POA&lt;20 W/m2)]],3,0),"")</f>
        <v>0.25416666666666665</v>
      </c>
      <c r="J1479" s="32">
        <f>IFERROR(VLOOKUP(TA[[#This Row],[Date]],Raw_Data[[Date]:[Sunset Time (POA&lt;20 W/m2)]],4,0),"")</f>
        <v>0.78472222222222221</v>
      </c>
      <c r="K1479" s="27">
        <f>IFERROR((TA[[#This Row],[Sunset Time (POA&lt;20 W/m2)]]-TA[[#This Row],[Sunrise Time (POA&gt;20 W/m2)]])*24,"")</f>
        <v>12.733333333333334</v>
      </c>
      <c r="L1479" s="2" t="s">
        <v>285</v>
      </c>
      <c r="M1479" s="33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14" t="s">
        <v>307</v>
      </c>
      <c r="Q1479" s="113" t="s">
        <v>307</v>
      </c>
      <c r="R1479">
        <v>118</v>
      </c>
      <c r="S1479" s="2">
        <v>22</v>
      </c>
      <c r="T1479" t="s">
        <v>286</v>
      </c>
      <c r="U1479" t="s">
        <v>291</v>
      </c>
      <c r="V1479" t="s">
        <v>289</v>
      </c>
      <c r="W1479" s="32"/>
      <c r="X1479" s="32"/>
      <c r="Y1479" s="26"/>
      <c r="Z1479" s="26"/>
      <c r="AA1479" s="27">
        <f>IF(TA[[#This Row],[Work Start time on Fault]]="NA","",(TA[[#This Row],[Fault Acknowledgement Time ]]-TA[[#This Row],[Fault Time]])*24)</f>
        <v>0</v>
      </c>
      <c r="AB1479" s="27">
        <f>(TA[[#This Row],[Work Start time on Fault]]-TA[[#This Row],[Fault Time]])*24</f>
        <v>0</v>
      </c>
      <c r="AC1479" s="26">
        <f>(TA[[#This Row],[Work Completion time on fault]]-TA[[#This Row],[Fault Time]])*24</f>
        <v>0</v>
      </c>
      <c r="AD1479" s="27">
        <f>IFERROR((TA[[#This Row],[Work Completion time on fault]]-TA[[#This Row],[Fault Time]])*24,"")</f>
        <v>0</v>
      </c>
      <c r="AE1479" t="s">
        <v>319</v>
      </c>
      <c r="AF1479" t="s">
        <v>247</v>
      </c>
      <c r="AG1479" s="2"/>
      <c r="AH1479" s="35">
        <f>1-COS(RADIANS(TA[[#This Row],[Avg. Target Angle during Fault Time (Radians)]]-TA[[#This Row],[Angle of affected equipment ]]))</f>
        <v>0.11705240714107301</v>
      </c>
      <c r="AI1479" s="27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43">
        <f t="shared" si="179"/>
        <v>2026</v>
      </c>
      <c r="C1480" s="116">
        <f t="shared" si="180"/>
        <v>2025</v>
      </c>
      <c r="D1480" s="2" t="s">
        <v>155</v>
      </c>
      <c r="E1480" s="2" t="s">
        <v>155</v>
      </c>
      <c r="F1480" s="30">
        <v>45839</v>
      </c>
      <c r="G1480" s="2">
        <f>DAY(EOMONTH(TA[[#This Row],[Month Year]],0))</f>
        <v>31</v>
      </c>
      <c r="H1480" s="21">
        <v>45850</v>
      </c>
      <c r="I1480" s="32">
        <f>IFERROR(VLOOKUP(TA[[#This Row],[Date]],Raw_Data[[Date]:[Sunset Time (POA&lt;20 W/m2)]],3,0),"")</f>
        <v>0.25416666666666665</v>
      </c>
      <c r="J1480" s="32">
        <f>IFERROR(VLOOKUP(TA[[#This Row],[Date]],Raw_Data[[Date]:[Sunset Time (POA&lt;20 W/m2)]],4,0),"")</f>
        <v>0.78472222222222221</v>
      </c>
      <c r="K1480" s="27">
        <f>IFERROR((TA[[#This Row],[Sunset Time (POA&lt;20 W/m2)]]-TA[[#This Row],[Sunrise Time (POA&gt;20 W/m2)]])*24,"")</f>
        <v>12.733333333333334</v>
      </c>
      <c r="L1480" s="2" t="s">
        <v>287</v>
      </c>
      <c r="M1480" s="33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314</v>
      </c>
      <c r="Q1480" s="2" t="s">
        <v>320</v>
      </c>
      <c r="R1480">
        <v>45</v>
      </c>
      <c r="S1480" s="2">
        <v>8</v>
      </c>
      <c r="T1480" t="s">
        <v>288</v>
      </c>
      <c r="U1480" t="s">
        <v>291</v>
      </c>
      <c r="V1480" t="s">
        <v>292</v>
      </c>
      <c r="W1480" s="32"/>
      <c r="X1480" s="32"/>
      <c r="Y1480" s="26"/>
      <c r="Z1480" s="26"/>
      <c r="AA1480" s="27">
        <f>IF(TA[[#This Row],[Work Start time on Fault]]="NA","",(TA[[#This Row],[Fault Acknowledgement Time ]]-TA[[#This Row],[Fault Time]])*24)</f>
        <v>0</v>
      </c>
      <c r="AB1480" s="27">
        <f>(TA[[#This Row],[Work Start time on Fault]]-TA[[#This Row],[Fault Time]])*24</f>
        <v>0</v>
      </c>
      <c r="AC1480" s="26">
        <f>(TA[[#This Row],[Work Completion time on fault]]-TA[[#This Row],[Fault Time]])*24</f>
        <v>0</v>
      </c>
      <c r="AD1480" s="27">
        <f>IFERROR((TA[[#This Row],[Work Completion time on fault]]-TA[[#This Row],[Fault Time]])*24,"")</f>
        <v>0</v>
      </c>
      <c r="AE1480" t="s">
        <v>319</v>
      </c>
      <c r="AF1480" t="s">
        <v>247</v>
      </c>
      <c r="AG1480" s="2"/>
      <c r="AH1480" s="35">
        <f>1-COS(RADIANS(TA[[#This Row],[Avg. Target Angle during Fault Time (Radians)]]-TA[[#This Row],[Angle of affected equipment ]]))</f>
        <v>0.11705240714107301</v>
      </c>
      <c r="AI1480" s="27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43">
        <f t="shared" si="179"/>
        <v>2026</v>
      </c>
      <c r="C1481" s="116">
        <f t="shared" si="180"/>
        <v>2025</v>
      </c>
      <c r="D1481" s="2" t="s">
        <v>155</v>
      </c>
      <c r="E1481" s="2" t="s">
        <v>155</v>
      </c>
      <c r="F1481" s="30">
        <v>45839</v>
      </c>
      <c r="G1481" s="2">
        <f>DAY(EOMONTH(TA[[#This Row],[Month Year]],0))</f>
        <v>31</v>
      </c>
      <c r="H1481" s="21">
        <v>45850</v>
      </c>
      <c r="I1481" s="32">
        <f>IFERROR(VLOOKUP(TA[[#This Row],[Date]],Raw_Data[[Date]:[Sunset Time (POA&lt;20 W/m2)]],3,0),"")</f>
        <v>0.25416666666666665</v>
      </c>
      <c r="J1481" s="32">
        <f>IFERROR(VLOOKUP(TA[[#This Row],[Date]],Raw_Data[[Date]:[Sunset Time (POA&lt;20 W/m2)]],4,0),"")</f>
        <v>0.78472222222222221</v>
      </c>
      <c r="K1481" s="27">
        <f>IFERROR((TA[[#This Row],[Sunset Time (POA&lt;20 W/m2)]]-TA[[#This Row],[Sunrise Time (POA&gt;20 W/m2)]])*24,"")</f>
        <v>12.733333333333334</v>
      </c>
      <c r="L1481" s="2" t="s">
        <v>287</v>
      </c>
      <c r="M1481" s="33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314</v>
      </c>
      <c r="Q1481" s="2" t="s">
        <v>320</v>
      </c>
      <c r="R1481">
        <v>47</v>
      </c>
      <c r="S1481" s="2">
        <v>18</v>
      </c>
      <c r="T1481" t="s">
        <v>288</v>
      </c>
      <c r="U1481" t="s">
        <v>291</v>
      </c>
      <c r="V1481" t="s">
        <v>292</v>
      </c>
      <c r="W1481" s="32"/>
      <c r="X1481" s="32"/>
      <c r="Y1481" s="26"/>
      <c r="Z1481" s="26"/>
      <c r="AA1481" s="27">
        <f>IF(TA[[#This Row],[Work Start time on Fault]]="NA","",(TA[[#This Row],[Fault Acknowledgement Time ]]-TA[[#This Row],[Fault Time]])*24)</f>
        <v>0</v>
      </c>
      <c r="AB1481" s="27">
        <f>(TA[[#This Row],[Work Start time on Fault]]-TA[[#This Row],[Fault Time]])*24</f>
        <v>0</v>
      </c>
      <c r="AC1481" s="26">
        <f>(TA[[#This Row],[Work Completion time on fault]]-TA[[#This Row],[Fault Time]])*24</f>
        <v>0</v>
      </c>
      <c r="AD1481" s="27">
        <f>IFERROR((TA[[#This Row],[Work Completion time on fault]]-TA[[#This Row],[Fault Time]])*24,"")</f>
        <v>0</v>
      </c>
      <c r="AE1481" t="s">
        <v>319</v>
      </c>
      <c r="AF1481" t="s">
        <v>247</v>
      </c>
      <c r="AG1481" s="2"/>
      <c r="AH1481" s="35">
        <f>1-COS(RADIANS(TA[[#This Row],[Avg. Target Angle during Fault Time (Radians)]]-TA[[#This Row],[Angle of affected equipment ]]))</f>
        <v>0.11705240714107301</v>
      </c>
      <c r="AI1481" s="27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43">
        <f t="shared" si="179"/>
        <v>2026</v>
      </c>
      <c r="C1482" s="116">
        <f t="shared" si="180"/>
        <v>2025</v>
      </c>
      <c r="D1482" s="2" t="s">
        <v>155</v>
      </c>
      <c r="E1482" s="2" t="s">
        <v>155</v>
      </c>
      <c r="F1482" s="30">
        <v>45839</v>
      </c>
      <c r="G1482" s="2">
        <f>DAY(EOMONTH(TA[[#This Row],[Month Year]],0))</f>
        <v>31</v>
      </c>
      <c r="H1482" s="21">
        <v>45850</v>
      </c>
      <c r="I1482" s="32">
        <f>IFERROR(VLOOKUP(TA[[#This Row],[Date]],Raw_Data[[Date]:[Sunset Time (POA&lt;20 W/m2)]],3,0),"")</f>
        <v>0.25416666666666665</v>
      </c>
      <c r="J1482" s="32">
        <f>IFERROR(VLOOKUP(TA[[#This Row],[Date]],Raw_Data[[Date]:[Sunset Time (POA&lt;20 W/m2)]],4,0),"")</f>
        <v>0.78472222222222221</v>
      </c>
      <c r="K1482" s="27">
        <f>IFERROR((TA[[#This Row],[Sunset Time (POA&lt;20 W/m2)]]-TA[[#This Row],[Sunrise Time (POA&gt;20 W/m2)]])*24,"")</f>
        <v>12.733333333333334</v>
      </c>
      <c r="L1482" s="2" t="s">
        <v>287</v>
      </c>
      <c r="M1482" s="33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321</v>
      </c>
      <c r="Q1482" s="2" t="s">
        <v>314</v>
      </c>
      <c r="R1482">
        <v>30</v>
      </c>
      <c r="S1482" s="2">
        <v>57</v>
      </c>
      <c r="T1482" t="s">
        <v>288</v>
      </c>
      <c r="U1482" t="s">
        <v>291</v>
      </c>
      <c r="V1482" t="s">
        <v>292</v>
      </c>
      <c r="W1482" s="32"/>
      <c r="X1482" s="32"/>
      <c r="Y1482" s="26"/>
      <c r="Z1482" s="26"/>
      <c r="AA1482" s="27">
        <f>IF(TA[[#This Row],[Work Start time on Fault]]="NA","",(TA[[#This Row],[Fault Acknowledgement Time ]]-TA[[#This Row],[Fault Time]])*24)</f>
        <v>0</v>
      </c>
      <c r="AB1482" s="27">
        <f>(TA[[#This Row],[Work Start time on Fault]]-TA[[#This Row],[Fault Time]])*24</f>
        <v>0</v>
      </c>
      <c r="AC1482" s="26">
        <f>(TA[[#This Row],[Work Completion time on fault]]-TA[[#This Row],[Fault Time]])*24</f>
        <v>0</v>
      </c>
      <c r="AD1482" s="27">
        <f>IFERROR((TA[[#This Row],[Work Completion time on fault]]-TA[[#This Row],[Fault Time]])*24,"")</f>
        <v>0</v>
      </c>
      <c r="AE1482" t="s">
        <v>319</v>
      </c>
      <c r="AF1482" t="s">
        <v>247</v>
      </c>
      <c r="AG1482" s="2"/>
      <c r="AH1482" s="35">
        <f>1-COS(RADIANS(TA[[#This Row],[Avg. Target Angle during Fault Time (Radians)]]-TA[[#This Row],[Angle of affected equipment ]]))</f>
        <v>0.11705240714107301</v>
      </c>
      <c r="AI1482" s="27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43">
        <f t="shared" si="179"/>
        <v>2026</v>
      </c>
      <c r="C1483" s="116">
        <f t="shared" si="180"/>
        <v>2025</v>
      </c>
      <c r="D1483" s="2" t="s">
        <v>155</v>
      </c>
      <c r="E1483" s="2" t="s">
        <v>155</v>
      </c>
      <c r="F1483" s="30">
        <v>45839</v>
      </c>
      <c r="G1483" s="2">
        <f>DAY(EOMONTH(TA[[#This Row],[Month Year]],0))</f>
        <v>31</v>
      </c>
      <c r="H1483" s="21">
        <v>45850</v>
      </c>
      <c r="I1483" s="32">
        <f>IFERROR(VLOOKUP(TA[[#This Row],[Date]],Raw_Data[[Date]:[Sunset Time (POA&lt;20 W/m2)]],3,0),"")</f>
        <v>0.25416666666666665</v>
      </c>
      <c r="J1483" s="32">
        <f>IFERROR(VLOOKUP(TA[[#This Row],[Date]],Raw_Data[[Date]:[Sunset Time (POA&lt;20 W/m2)]],4,0),"")</f>
        <v>0.78472222222222221</v>
      </c>
      <c r="K1483" s="27">
        <f>IFERROR((TA[[#This Row],[Sunset Time (POA&lt;20 W/m2)]]-TA[[#This Row],[Sunrise Time (POA&gt;20 W/m2)]])*24,"")</f>
        <v>12.733333333333334</v>
      </c>
      <c r="L1483" s="2" t="s">
        <v>287</v>
      </c>
      <c r="M1483" s="33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321</v>
      </c>
      <c r="Q1483" s="2" t="s">
        <v>314</v>
      </c>
      <c r="R1483">
        <v>31</v>
      </c>
      <c r="S1483" s="2">
        <v>61</v>
      </c>
      <c r="T1483" t="s">
        <v>288</v>
      </c>
      <c r="U1483" t="s">
        <v>291</v>
      </c>
      <c r="V1483" t="s">
        <v>292</v>
      </c>
      <c r="W1483" s="32"/>
      <c r="X1483" s="32"/>
      <c r="Y1483" s="26"/>
      <c r="Z1483" s="26"/>
      <c r="AA1483" s="27">
        <f>IF(TA[[#This Row],[Work Start time on Fault]]="NA","",(TA[[#This Row],[Fault Acknowledgement Time ]]-TA[[#This Row],[Fault Time]])*24)</f>
        <v>0</v>
      </c>
      <c r="AB1483" s="27">
        <f>(TA[[#This Row],[Work Start time on Fault]]-TA[[#This Row],[Fault Time]])*24</f>
        <v>0</v>
      </c>
      <c r="AC1483" s="26">
        <f>(TA[[#This Row],[Work Completion time on fault]]-TA[[#This Row],[Fault Time]])*24</f>
        <v>0</v>
      </c>
      <c r="AD1483" s="27">
        <f>IFERROR((TA[[#This Row],[Work Completion time on fault]]-TA[[#This Row],[Fault Time]])*24,"")</f>
        <v>0</v>
      </c>
      <c r="AE1483" t="s">
        <v>319</v>
      </c>
      <c r="AF1483" t="s">
        <v>247</v>
      </c>
      <c r="AG1483" s="2"/>
      <c r="AH1483" s="35">
        <f>1-COS(RADIANS(TA[[#This Row],[Avg. Target Angle during Fault Time (Radians)]]-TA[[#This Row],[Angle of affected equipment ]]))</f>
        <v>0.11705240714107301</v>
      </c>
      <c r="AI1483" s="27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43">
        <f t="shared" si="179"/>
        <v>2026</v>
      </c>
      <c r="C1484" s="116">
        <f t="shared" si="180"/>
        <v>2025</v>
      </c>
      <c r="D1484" s="2" t="s">
        <v>155</v>
      </c>
      <c r="E1484" s="2" t="s">
        <v>155</v>
      </c>
      <c r="F1484" s="30">
        <v>45839</v>
      </c>
      <c r="G1484" s="2">
        <f>DAY(EOMONTH(TA[[#This Row],[Month Year]],0))</f>
        <v>31</v>
      </c>
      <c r="H1484" s="21">
        <v>45850</v>
      </c>
      <c r="I1484" s="32">
        <f>IFERROR(VLOOKUP(TA[[#This Row],[Date]],Raw_Data[[Date]:[Sunset Time (POA&lt;20 W/m2)]],3,0),"")</f>
        <v>0.25416666666666665</v>
      </c>
      <c r="J1484" s="32">
        <f>IFERROR(VLOOKUP(TA[[#This Row],[Date]],Raw_Data[[Date]:[Sunset Time (POA&lt;20 W/m2)]],4,0),"")</f>
        <v>0.78472222222222221</v>
      </c>
      <c r="K1484" s="27">
        <f>IFERROR((TA[[#This Row],[Sunset Time (POA&lt;20 W/m2)]]-TA[[#This Row],[Sunrise Time (POA&gt;20 W/m2)]])*24,"")</f>
        <v>12.733333333333334</v>
      </c>
      <c r="L1484" s="2" t="s">
        <v>303</v>
      </c>
      <c r="M1484" s="33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321</v>
      </c>
      <c r="Q1484" s="2" t="s">
        <v>314</v>
      </c>
      <c r="R1484">
        <v>26</v>
      </c>
      <c r="S1484" s="2">
        <v>37</v>
      </c>
      <c r="T1484" t="s">
        <v>288</v>
      </c>
      <c r="U1484" t="s">
        <v>291</v>
      </c>
      <c r="V1484" t="s">
        <v>292</v>
      </c>
      <c r="W1484" s="32"/>
      <c r="X1484" s="32"/>
      <c r="Y1484" s="26"/>
      <c r="Z1484" s="26"/>
      <c r="AA1484" s="27">
        <f>IF(TA[[#This Row],[Work Start time on Fault]]="NA","",(TA[[#This Row],[Fault Acknowledgement Time ]]-TA[[#This Row],[Fault Time]])*24)</f>
        <v>0</v>
      </c>
      <c r="AB1484" s="27">
        <f>(TA[[#This Row],[Work Start time on Fault]]-TA[[#This Row],[Fault Time]])*24</f>
        <v>0</v>
      </c>
      <c r="AC1484" s="26">
        <f>(TA[[#This Row],[Work Completion time on fault]]-TA[[#This Row],[Fault Time]])*24</f>
        <v>0</v>
      </c>
      <c r="AD1484" s="27">
        <f>IFERROR((TA[[#This Row],[Work Completion time on fault]]-TA[[#This Row],[Fault Time]])*24,"")</f>
        <v>0</v>
      </c>
      <c r="AE1484" t="s">
        <v>319</v>
      </c>
      <c r="AF1484" t="s">
        <v>247</v>
      </c>
      <c r="AG1484" s="2"/>
      <c r="AH1484" s="35">
        <f>1-COS(RADIANS(TA[[#This Row],[Avg. Target Angle during Fault Time (Radians)]]-TA[[#This Row],[Angle of affected equipment ]]))</f>
        <v>0.11705240714107301</v>
      </c>
      <c r="AI1484" s="27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43">
        <f t="shared" si="179"/>
        <v>2026</v>
      </c>
      <c r="C1485" s="116">
        <f t="shared" si="180"/>
        <v>2025</v>
      </c>
      <c r="D1485" s="2" t="s">
        <v>155</v>
      </c>
      <c r="E1485" s="2" t="s">
        <v>155</v>
      </c>
      <c r="F1485" s="30">
        <v>45839</v>
      </c>
      <c r="G1485" s="2">
        <f>DAY(EOMONTH(TA[[#This Row],[Month Year]],0))</f>
        <v>31</v>
      </c>
      <c r="H1485" s="21">
        <v>45850</v>
      </c>
      <c r="I1485" s="32">
        <f>IFERROR(VLOOKUP(TA[[#This Row],[Date]],Raw_Data[[Date]:[Sunset Time (POA&lt;20 W/m2)]],3,0),"")</f>
        <v>0.25416666666666665</v>
      </c>
      <c r="J1485" s="32">
        <f>IFERROR(VLOOKUP(TA[[#This Row],[Date]],Raw_Data[[Date]:[Sunset Time (POA&lt;20 W/m2)]],4,0),"")</f>
        <v>0.78472222222222221</v>
      </c>
      <c r="K1485" s="27">
        <f>IFERROR((TA[[#This Row],[Sunset Time (POA&lt;20 W/m2)]]-TA[[#This Row],[Sunrise Time (POA&gt;20 W/m2)]])*24,"")</f>
        <v>12.733333333333334</v>
      </c>
      <c r="L1485" s="2" t="s">
        <v>303</v>
      </c>
      <c r="M1485" s="33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321</v>
      </c>
      <c r="Q1485" s="2" t="s">
        <v>314</v>
      </c>
      <c r="R1485">
        <v>27</v>
      </c>
      <c r="S1485" s="2">
        <v>42</v>
      </c>
      <c r="T1485" t="s">
        <v>288</v>
      </c>
      <c r="U1485" t="s">
        <v>291</v>
      </c>
      <c r="V1485" t="s">
        <v>292</v>
      </c>
      <c r="W1485" s="32">
        <f>IFERROR(VLOOKUP(TA[[#This Row],[Date]],Raw_Data[[Date]:[Sunset Time (POA&lt;20 W/m2)]],3,0),"")</f>
        <v>0.25416666666666665</v>
      </c>
      <c r="X1485" s="32">
        <f>IFERROR(VLOOKUP(TA[[#This Row],[Date]],Raw_Data[[Date]:[Sunset Time (POA&lt;20 W/m2)]],3,0),"")</f>
        <v>0.25416666666666665</v>
      </c>
      <c r="Y1485" s="26"/>
      <c r="Z1485" s="26">
        <v>0.76041666666666663</v>
      </c>
      <c r="AA1485" s="27">
        <f>IF(TA[[#This Row],[Work Start time on Fault]]="NA","",(TA[[#This Row],[Fault Acknowledgement Time ]]-TA[[#This Row],[Fault Time]])*24)</f>
        <v>0</v>
      </c>
      <c r="AB1485" s="27">
        <f>(TA[[#This Row],[Work Start time on Fault]]-TA[[#This Row],[Fault Time]])*24</f>
        <v>-6.1</v>
      </c>
      <c r="AC1485" s="26">
        <f>(TA[[#This Row],[Work Completion time on fault]]-TA[[#This Row],[Fault Time]])*24</f>
        <v>12.149999999999999</v>
      </c>
      <c r="AD1485" s="27">
        <f>IFERROR((TA[[#This Row],[Work Completion time on fault]]-TA[[#This Row],[Fault Time]])*24,"")</f>
        <v>12.149999999999999</v>
      </c>
      <c r="AE1485" t="s">
        <v>300</v>
      </c>
      <c r="AF1485" t="s">
        <v>247</v>
      </c>
      <c r="AG1485" s="2"/>
      <c r="AH1485" s="35">
        <f>1-COS(RADIANS(TA[[#This Row],[Avg. Target Angle during Fault Time (Radians)]]-TA[[#This Row],[Angle of affected equipment ]]))</f>
        <v>0.11705240714107301</v>
      </c>
      <c r="AI1485" s="27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43">
        <f t="shared" ref="B1486:B1498" si="181">YEAR(H1486)+IF(MONTH(H1486)&gt;=4,1,0)</f>
        <v>2026</v>
      </c>
      <c r="C1486" s="116">
        <f t="shared" ref="C1486:C1498" si="182">YEAR(H1486)</f>
        <v>2025</v>
      </c>
      <c r="D1486" s="2" t="s">
        <v>155</v>
      </c>
      <c r="E1486" s="2" t="s">
        <v>155</v>
      </c>
      <c r="F1486" s="30">
        <v>45839</v>
      </c>
      <c r="G1486" s="2">
        <f>DAY(EOMONTH(TA[[#This Row],[Month Year]],0))</f>
        <v>31</v>
      </c>
      <c r="H1486" s="21">
        <v>45851</v>
      </c>
      <c r="I1486" s="32">
        <f>IFERROR(VLOOKUP(TA[[#This Row],[Date]],Raw_Data[[Date]:[Sunset Time (POA&lt;20 W/m2)]],3,0),"")</f>
        <v>0.25208333333333333</v>
      </c>
      <c r="J1486" s="32">
        <f>IFERROR(VLOOKUP(TA[[#This Row],[Date]],Raw_Data[[Date]:[Sunset Time (POA&lt;20 W/m2)]],4,0),"")</f>
        <v>0.78194444444444444</v>
      </c>
      <c r="K1486" s="27">
        <f>IFERROR((TA[[#This Row],[Sunset Time (POA&lt;20 W/m2)]]-TA[[#This Row],[Sunrise Time (POA&gt;20 W/m2)]])*24,"")</f>
        <v>12.716666666666667</v>
      </c>
      <c r="L1486" s="2" t="s">
        <v>285</v>
      </c>
      <c r="M1486" s="33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14" t="s">
        <v>309</v>
      </c>
      <c r="Q1486" s="113" t="s">
        <v>309</v>
      </c>
      <c r="R1486">
        <v>131</v>
      </c>
      <c r="S1486" s="2">
        <v>38</v>
      </c>
      <c r="T1486" t="s">
        <v>286</v>
      </c>
      <c r="U1486" t="s">
        <v>291</v>
      </c>
      <c r="V1486" t="s">
        <v>289</v>
      </c>
      <c r="W1486" s="32"/>
      <c r="X1486" s="32"/>
      <c r="Y1486" s="26"/>
      <c r="Z1486" s="26"/>
      <c r="AA1486" s="27">
        <f>IF(TA[[#This Row],[Work Start time on Fault]]="NA","",(TA[[#This Row],[Fault Acknowledgement Time ]]-TA[[#This Row],[Fault Time]])*24)</f>
        <v>0</v>
      </c>
      <c r="AB1486" s="27">
        <f>(TA[[#This Row],[Work Start time on Fault]]-TA[[#This Row],[Fault Time]])*24</f>
        <v>0</v>
      </c>
      <c r="AC1486" s="26">
        <f>(TA[[#This Row],[Work Completion time on fault]]-TA[[#This Row],[Fault Time]])*24</f>
        <v>0</v>
      </c>
      <c r="AD1486" s="27">
        <f>IFERROR((TA[[#This Row],[Work Completion time on fault]]-TA[[#This Row],[Fault Time]])*24,"")</f>
        <v>0</v>
      </c>
      <c r="AE1486" t="s">
        <v>319</v>
      </c>
      <c r="AF1486" t="s">
        <v>247</v>
      </c>
      <c r="AG1486" s="2"/>
      <c r="AH1486" s="35">
        <f>1-COS(RADIANS(TA[[#This Row],[Avg. Target Angle during Fault Time (Radians)]]-TA[[#This Row],[Angle of affected equipment ]]))</f>
        <v>0.11705240714107301</v>
      </c>
      <c r="AI1486" s="27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43">
        <f t="shared" si="181"/>
        <v>2026</v>
      </c>
      <c r="C1487" s="116">
        <f t="shared" si="182"/>
        <v>2025</v>
      </c>
      <c r="D1487" s="2" t="s">
        <v>155</v>
      </c>
      <c r="E1487" s="2" t="s">
        <v>155</v>
      </c>
      <c r="F1487" s="30">
        <v>45839</v>
      </c>
      <c r="G1487" s="2">
        <f>DAY(EOMONTH(TA[[#This Row],[Month Year]],0))</f>
        <v>31</v>
      </c>
      <c r="H1487" s="21">
        <v>45851</v>
      </c>
      <c r="I1487" s="32">
        <f>IFERROR(VLOOKUP(TA[[#This Row],[Date]],Raw_Data[[Date]:[Sunset Time (POA&lt;20 W/m2)]],3,0),"")</f>
        <v>0.25208333333333333</v>
      </c>
      <c r="J1487" s="32">
        <f>IFERROR(VLOOKUP(TA[[#This Row],[Date]],Raw_Data[[Date]:[Sunset Time (POA&lt;20 W/m2)]],4,0),"")</f>
        <v>0.78194444444444444</v>
      </c>
      <c r="K1487" s="27">
        <f>IFERROR((TA[[#This Row],[Sunset Time (POA&lt;20 W/m2)]]-TA[[#This Row],[Sunrise Time (POA&gt;20 W/m2)]])*24,"")</f>
        <v>12.716666666666667</v>
      </c>
      <c r="L1487" s="2" t="s">
        <v>285</v>
      </c>
      <c r="M1487" s="33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14" t="s">
        <v>309</v>
      </c>
      <c r="Q1487" s="113" t="s">
        <v>309</v>
      </c>
      <c r="R1487">
        <v>131</v>
      </c>
      <c r="S1487" s="2">
        <v>39</v>
      </c>
      <c r="T1487" t="s">
        <v>286</v>
      </c>
      <c r="U1487" t="s">
        <v>291</v>
      </c>
      <c r="V1487" t="s">
        <v>289</v>
      </c>
      <c r="W1487" s="32"/>
      <c r="X1487" s="32"/>
      <c r="Y1487" s="26"/>
      <c r="Z1487" s="26"/>
      <c r="AA1487" s="27">
        <f>IF(TA[[#This Row],[Work Start time on Fault]]="NA","",(TA[[#This Row],[Fault Acknowledgement Time ]]-TA[[#This Row],[Fault Time]])*24)</f>
        <v>0</v>
      </c>
      <c r="AB1487" s="27">
        <f>(TA[[#This Row],[Work Start time on Fault]]-TA[[#This Row],[Fault Time]])*24</f>
        <v>0</v>
      </c>
      <c r="AC1487" s="26">
        <f>(TA[[#This Row],[Work Completion time on fault]]-TA[[#This Row],[Fault Time]])*24</f>
        <v>0</v>
      </c>
      <c r="AD1487" s="27">
        <f>IFERROR((TA[[#This Row],[Work Completion time on fault]]-TA[[#This Row],[Fault Time]])*24,"")</f>
        <v>0</v>
      </c>
      <c r="AE1487" t="s">
        <v>319</v>
      </c>
      <c r="AF1487" t="s">
        <v>247</v>
      </c>
      <c r="AG1487" s="2"/>
      <c r="AH1487" s="35">
        <f>1-COS(RADIANS(TA[[#This Row],[Avg. Target Angle during Fault Time (Radians)]]-TA[[#This Row],[Angle of affected equipment ]]))</f>
        <v>0.11705240714107301</v>
      </c>
      <c r="AI1487" s="27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43">
        <f t="shared" si="181"/>
        <v>2026</v>
      </c>
      <c r="C1488" s="116">
        <f t="shared" si="182"/>
        <v>2025</v>
      </c>
      <c r="D1488" s="2" t="s">
        <v>155</v>
      </c>
      <c r="E1488" s="2" t="s">
        <v>155</v>
      </c>
      <c r="F1488" s="30">
        <v>45839</v>
      </c>
      <c r="G1488" s="2">
        <f>DAY(EOMONTH(TA[[#This Row],[Month Year]],0))</f>
        <v>31</v>
      </c>
      <c r="H1488" s="21">
        <v>45851</v>
      </c>
      <c r="I1488" s="32">
        <f>IFERROR(VLOOKUP(TA[[#This Row],[Date]],Raw_Data[[Date]:[Sunset Time (POA&lt;20 W/m2)]],3,0),"")</f>
        <v>0.25208333333333333</v>
      </c>
      <c r="J1488" s="32">
        <f>IFERROR(VLOOKUP(TA[[#This Row],[Date]],Raw_Data[[Date]:[Sunset Time (POA&lt;20 W/m2)]],4,0),"")</f>
        <v>0.78194444444444444</v>
      </c>
      <c r="K1488" s="27">
        <f>IFERROR((TA[[#This Row],[Sunset Time (POA&lt;20 W/m2)]]-TA[[#This Row],[Sunrise Time (POA&gt;20 W/m2)]])*24,"")</f>
        <v>12.716666666666667</v>
      </c>
      <c r="L1488" s="2" t="s">
        <v>287</v>
      </c>
      <c r="M1488" s="33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14" t="s">
        <v>309</v>
      </c>
      <c r="Q1488" s="2" t="s">
        <v>312</v>
      </c>
      <c r="R1488">
        <v>133</v>
      </c>
      <c r="S1488" s="2">
        <v>26</v>
      </c>
      <c r="T1488" t="s">
        <v>288</v>
      </c>
      <c r="U1488" t="s">
        <v>291</v>
      </c>
      <c r="V1488" t="s">
        <v>305</v>
      </c>
      <c r="W1488" s="32">
        <f>IFERROR(VLOOKUP(TA[[#This Row],[Date]],Raw_Data[[Date]:[Sunset Time (POA&lt;20 W/m2)]],3,0),"")</f>
        <v>0.25208333333333333</v>
      </c>
      <c r="X1488" s="32">
        <f>IFERROR(VLOOKUP(TA[[#This Row],[Date]],Raw_Data[[Date]:[Sunset Time (POA&lt;20 W/m2)]],3,0),"")</f>
        <v>0.25208333333333333</v>
      </c>
      <c r="Y1488" s="26"/>
      <c r="Z1488" s="26">
        <v>0.76041666666666663</v>
      </c>
      <c r="AA1488" s="27">
        <f>IF(TA[[#This Row],[Work Start time on Fault]]="NA","",(TA[[#This Row],[Fault Acknowledgement Time ]]-TA[[#This Row],[Fault Time]])*24)</f>
        <v>0</v>
      </c>
      <c r="AB1488" s="27">
        <f>(TA[[#This Row],[Work Start time on Fault]]-TA[[#This Row],[Fault Time]])*24</f>
        <v>-6.05</v>
      </c>
      <c r="AC1488" s="26">
        <f>(TA[[#This Row],[Work Completion time on fault]]-TA[[#This Row],[Fault Time]])*24</f>
        <v>12.2</v>
      </c>
      <c r="AD1488" s="27">
        <f>IFERROR((TA[[#This Row],[Work Completion time on fault]]-TA[[#This Row],[Fault Time]])*24,"")</f>
        <v>12.2</v>
      </c>
      <c r="AE1488" t="s">
        <v>319</v>
      </c>
      <c r="AF1488" t="s">
        <v>247</v>
      </c>
      <c r="AG1488" s="2"/>
      <c r="AH1488" s="35">
        <f>1-COS(RADIANS(TA[[#This Row],[Avg. Target Angle during Fault Time (Radians)]]-TA[[#This Row],[Angle of affected equipment ]]))</f>
        <v>0.11705240714107301</v>
      </c>
      <c r="AI1488" s="27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43">
        <f t="shared" si="181"/>
        <v>2026</v>
      </c>
      <c r="C1489" s="116">
        <f t="shared" si="182"/>
        <v>2025</v>
      </c>
      <c r="D1489" s="2" t="s">
        <v>155</v>
      </c>
      <c r="E1489" s="2" t="s">
        <v>155</v>
      </c>
      <c r="F1489" s="30">
        <v>45839</v>
      </c>
      <c r="G1489" s="2">
        <f>DAY(EOMONTH(TA[[#This Row],[Month Year]],0))</f>
        <v>31</v>
      </c>
      <c r="H1489" s="21">
        <v>45851</v>
      </c>
      <c r="I1489" s="32">
        <f>IFERROR(VLOOKUP(TA[[#This Row],[Date]],Raw_Data[[Date]:[Sunset Time (POA&lt;20 W/m2)]],3,0),"")</f>
        <v>0.25208333333333333</v>
      </c>
      <c r="J1489" s="32">
        <f>IFERROR(VLOOKUP(TA[[#This Row],[Date]],Raw_Data[[Date]:[Sunset Time (POA&lt;20 W/m2)]],4,0),"")</f>
        <v>0.78194444444444444</v>
      </c>
      <c r="K1489" s="27">
        <f>IFERROR((TA[[#This Row],[Sunset Time (POA&lt;20 W/m2)]]-TA[[#This Row],[Sunrise Time (POA&gt;20 W/m2)]])*24,"")</f>
        <v>12.716666666666667</v>
      </c>
      <c r="L1489" s="2" t="s">
        <v>285</v>
      </c>
      <c r="M1489" s="33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14" t="s">
        <v>307</v>
      </c>
      <c r="Q1489" s="113" t="s">
        <v>308</v>
      </c>
      <c r="R1489">
        <v>7</v>
      </c>
      <c r="S1489" s="2">
        <v>32</v>
      </c>
      <c r="T1489" t="s">
        <v>286</v>
      </c>
      <c r="U1489" t="s">
        <v>291</v>
      </c>
      <c r="V1489" t="s">
        <v>289</v>
      </c>
      <c r="W1489" s="32"/>
      <c r="X1489" s="32"/>
      <c r="Y1489" s="26"/>
      <c r="Z1489" s="26"/>
      <c r="AA1489" s="27">
        <f>IF(TA[[#This Row],[Work Start time on Fault]]="NA","",(TA[[#This Row],[Fault Acknowledgement Time ]]-TA[[#This Row],[Fault Time]])*24)</f>
        <v>0</v>
      </c>
      <c r="AB1489" s="27">
        <f>(TA[[#This Row],[Work Start time on Fault]]-TA[[#This Row],[Fault Time]])*24</f>
        <v>0</v>
      </c>
      <c r="AC1489" s="26">
        <f>(TA[[#This Row],[Work Completion time on fault]]-TA[[#This Row],[Fault Time]])*24</f>
        <v>0</v>
      </c>
      <c r="AD1489" s="27">
        <f>IFERROR((TA[[#This Row],[Work Completion time on fault]]-TA[[#This Row],[Fault Time]])*24,"")</f>
        <v>0</v>
      </c>
      <c r="AE1489" t="s">
        <v>319</v>
      </c>
      <c r="AF1489" t="s">
        <v>247</v>
      </c>
      <c r="AG1489" s="2"/>
      <c r="AH1489" s="35">
        <f>1-COS(RADIANS(TA[[#This Row],[Avg. Target Angle during Fault Time (Radians)]]-TA[[#This Row],[Angle of affected equipment ]]))</f>
        <v>0.11705240714107301</v>
      </c>
      <c r="AI1489" s="27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43">
        <f t="shared" si="181"/>
        <v>2026</v>
      </c>
      <c r="C1490" s="116">
        <f t="shared" si="182"/>
        <v>2025</v>
      </c>
      <c r="D1490" s="2" t="s">
        <v>155</v>
      </c>
      <c r="E1490" s="2" t="s">
        <v>155</v>
      </c>
      <c r="F1490" s="30">
        <v>45839</v>
      </c>
      <c r="G1490" s="2">
        <f>DAY(EOMONTH(TA[[#This Row],[Month Year]],0))</f>
        <v>31</v>
      </c>
      <c r="H1490" s="21">
        <v>45851</v>
      </c>
      <c r="I1490" s="32">
        <f>IFERROR(VLOOKUP(TA[[#This Row],[Date]],Raw_Data[[Date]:[Sunset Time (POA&lt;20 W/m2)]],3,0),"")</f>
        <v>0.25208333333333333</v>
      </c>
      <c r="J1490" s="32">
        <f>IFERROR(VLOOKUP(TA[[#This Row],[Date]],Raw_Data[[Date]:[Sunset Time (POA&lt;20 W/m2)]],4,0),"")</f>
        <v>0.78194444444444444</v>
      </c>
      <c r="K1490" s="27">
        <f>IFERROR((TA[[#This Row],[Sunset Time (POA&lt;20 W/m2)]]-TA[[#This Row],[Sunrise Time (POA&gt;20 W/m2)]])*24,"")</f>
        <v>12.716666666666667</v>
      </c>
      <c r="L1490" s="2" t="s">
        <v>285</v>
      </c>
      <c r="M1490" s="33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14" t="s">
        <v>306</v>
      </c>
      <c r="Q1490" s="113" t="s">
        <v>310</v>
      </c>
      <c r="R1490">
        <v>166</v>
      </c>
      <c r="S1490" s="2">
        <v>91</v>
      </c>
      <c r="T1490" t="s">
        <v>286</v>
      </c>
      <c r="U1490" t="s">
        <v>291</v>
      </c>
      <c r="V1490" t="s">
        <v>289</v>
      </c>
      <c r="W1490" s="32"/>
      <c r="X1490" s="32"/>
      <c r="Y1490" s="26"/>
      <c r="Z1490" s="26"/>
      <c r="AA1490" s="27">
        <f>IF(TA[[#This Row],[Work Start time on Fault]]="NA","",(TA[[#This Row],[Fault Acknowledgement Time ]]-TA[[#This Row],[Fault Time]])*24)</f>
        <v>0</v>
      </c>
      <c r="AB1490" s="27">
        <f>(TA[[#This Row],[Work Start time on Fault]]-TA[[#This Row],[Fault Time]])*24</f>
        <v>0</v>
      </c>
      <c r="AC1490" s="26">
        <f>(TA[[#This Row],[Work Completion time on fault]]-TA[[#This Row],[Fault Time]])*24</f>
        <v>0</v>
      </c>
      <c r="AD1490" s="27">
        <f>IFERROR((TA[[#This Row],[Work Completion time on fault]]-TA[[#This Row],[Fault Time]])*24,"")</f>
        <v>0</v>
      </c>
      <c r="AE1490" t="s">
        <v>319</v>
      </c>
      <c r="AF1490" t="s">
        <v>247</v>
      </c>
      <c r="AG1490" s="2"/>
      <c r="AH1490" s="35">
        <f>1-COS(RADIANS(TA[[#This Row],[Avg. Target Angle during Fault Time (Radians)]]-TA[[#This Row],[Angle of affected equipment ]]))</f>
        <v>0.11705240714107301</v>
      </c>
      <c r="AI1490" s="27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43">
        <f t="shared" si="181"/>
        <v>2026</v>
      </c>
      <c r="C1491" s="116">
        <f t="shared" si="182"/>
        <v>2025</v>
      </c>
      <c r="D1491" s="2" t="s">
        <v>155</v>
      </c>
      <c r="E1491" s="2" t="s">
        <v>155</v>
      </c>
      <c r="F1491" s="30">
        <v>45839</v>
      </c>
      <c r="G1491" s="2">
        <f>DAY(EOMONTH(TA[[#This Row],[Month Year]],0))</f>
        <v>31</v>
      </c>
      <c r="H1491" s="21">
        <v>45851</v>
      </c>
      <c r="I1491" s="32">
        <f>IFERROR(VLOOKUP(TA[[#This Row],[Date]],Raw_Data[[Date]:[Sunset Time (POA&lt;20 W/m2)]],3,0),"")</f>
        <v>0.25208333333333333</v>
      </c>
      <c r="J1491" s="32">
        <f>IFERROR(VLOOKUP(TA[[#This Row],[Date]],Raw_Data[[Date]:[Sunset Time (POA&lt;20 W/m2)]],4,0),"")</f>
        <v>0.78194444444444444</v>
      </c>
      <c r="K1491" s="27">
        <f>IFERROR((TA[[#This Row],[Sunset Time (POA&lt;20 W/m2)]]-TA[[#This Row],[Sunrise Time (POA&gt;20 W/m2)]])*24,"")</f>
        <v>12.716666666666667</v>
      </c>
      <c r="L1491" s="2" t="s">
        <v>285</v>
      </c>
      <c r="M1491" s="33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14" t="s">
        <v>307</v>
      </c>
      <c r="Q1491" s="113" t="s">
        <v>307</v>
      </c>
      <c r="R1491">
        <v>117</v>
      </c>
      <c r="S1491" s="2">
        <v>20</v>
      </c>
      <c r="T1491" t="s">
        <v>286</v>
      </c>
      <c r="U1491" t="s">
        <v>291</v>
      </c>
      <c r="V1491" t="s">
        <v>289</v>
      </c>
      <c r="W1491" s="32"/>
      <c r="X1491" s="32"/>
      <c r="Y1491" s="26"/>
      <c r="Z1491" s="26"/>
      <c r="AA1491" s="27">
        <f>IF(TA[[#This Row],[Work Start time on Fault]]="NA","",(TA[[#This Row],[Fault Acknowledgement Time ]]-TA[[#This Row],[Fault Time]])*24)</f>
        <v>0</v>
      </c>
      <c r="AB1491" s="27">
        <f>(TA[[#This Row],[Work Start time on Fault]]-TA[[#This Row],[Fault Time]])*24</f>
        <v>0</v>
      </c>
      <c r="AC1491" s="26">
        <f>(TA[[#This Row],[Work Completion time on fault]]-TA[[#This Row],[Fault Time]])*24</f>
        <v>0</v>
      </c>
      <c r="AD1491" s="27">
        <f>IFERROR((TA[[#This Row],[Work Completion time on fault]]-TA[[#This Row],[Fault Time]])*24,"")</f>
        <v>0</v>
      </c>
      <c r="AE1491" t="s">
        <v>319</v>
      </c>
      <c r="AF1491" t="s">
        <v>247</v>
      </c>
      <c r="AG1491" s="2"/>
      <c r="AH1491" s="35">
        <f>1-COS(RADIANS(TA[[#This Row],[Avg. Target Angle during Fault Time (Radians)]]-TA[[#This Row],[Angle of affected equipment ]]))</f>
        <v>0.11705240714107301</v>
      </c>
      <c r="AI1491" s="27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43">
        <f t="shared" si="181"/>
        <v>2026</v>
      </c>
      <c r="C1492" s="116">
        <f t="shared" si="182"/>
        <v>2025</v>
      </c>
      <c r="D1492" s="2" t="s">
        <v>155</v>
      </c>
      <c r="E1492" s="2" t="s">
        <v>155</v>
      </c>
      <c r="F1492" s="30">
        <v>45839</v>
      </c>
      <c r="G1492" s="2">
        <f>DAY(EOMONTH(TA[[#This Row],[Month Year]],0))</f>
        <v>31</v>
      </c>
      <c r="H1492" s="21">
        <v>45851</v>
      </c>
      <c r="I1492" s="32">
        <f>IFERROR(VLOOKUP(TA[[#This Row],[Date]],Raw_Data[[Date]:[Sunset Time (POA&lt;20 W/m2)]],3,0),"")</f>
        <v>0.25208333333333333</v>
      </c>
      <c r="J1492" s="32">
        <f>IFERROR(VLOOKUP(TA[[#This Row],[Date]],Raw_Data[[Date]:[Sunset Time (POA&lt;20 W/m2)]],4,0),"")</f>
        <v>0.78194444444444444</v>
      </c>
      <c r="K1492" s="27">
        <f>IFERROR((TA[[#This Row],[Sunset Time (POA&lt;20 W/m2)]]-TA[[#This Row],[Sunrise Time (POA&gt;20 W/m2)]])*24,"")</f>
        <v>12.716666666666667</v>
      </c>
      <c r="L1492" s="2" t="s">
        <v>285</v>
      </c>
      <c r="M1492" s="33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14" t="s">
        <v>307</v>
      </c>
      <c r="Q1492" s="113" t="s">
        <v>307</v>
      </c>
      <c r="R1492">
        <v>118</v>
      </c>
      <c r="S1492" s="2">
        <v>22</v>
      </c>
      <c r="T1492" t="s">
        <v>286</v>
      </c>
      <c r="U1492" t="s">
        <v>291</v>
      </c>
      <c r="V1492" t="s">
        <v>289</v>
      </c>
      <c r="W1492" s="32"/>
      <c r="X1492" s="32"/>
      <c r="Y1492" s="26"/>
      <c r="Z1492" s="26"/>
      <c r="AA1492" s="27">
        <f>IF(TA[[#This Row],[Work Start time on Fault]]="NA","",(TA[[#This Row],[Fault Acknowledgement Time ]]-TA[[#This Row],[Fault Time]])*24)</f>
        <v>0</v>
      </c>
      <c r="AB1492" s="27">
        <f>(TA[[#This Row],[Work Start time on Fault]]-TA[[#This Row],[Fault Time]])*24</f>
        <v>0</v>
      </c>
      <c r="AC1492" s="26">
        <f>(TA[[#This Row],[Work Completion time on fault]]-TA[[#This Row],[Fault Time]])*24</f>
        <v>0</v>
      </c>
      <c r="AD1492" s="27">
        <f>IFERROR((TA[[#This Row],[Work Completion time on fault]]-TA[[#This Row],[Fault Time]])*24,"")</f>
        <v>0</v>
      </c>
      <c r="AE1492" t="s">
        <v>319</v>
      </c>
      <c r="AF1492" t="s">
        <v>247</v>
      </c>
      <c r="AG1492" s="2"/>
      <c r="AH1492" s="35">
        <f>1-COS(RADIANS(TA[[#This Row],[Avg. Target Angle during Fault Time (Radians)]]-TA[[#This Row],[Angle of affected equipment ]]))</f>
        <v>0.11705240714107301</v>
      </c>
      <c r="AI1492" s="27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43">
        <f t="shared" si="181"/>
        <v>2026</v>
      </c>
      <c r="C1493" s="116">
        <f t="shared" si="182"/>
        <v>2025</v>
      </c>
      <c r="D1493" s="2" t="s">
        <v>155</v>
      </c>
      <c r="E1493" s="2" t="s">
        <v>155</v>
      </c>
      <c r="F1493" s="30">
        <v>45839</v>
      </c>
      <c r="G1493" s="2">
        <f>DAY(EOMONTH(TA[[#This Row],[Month Year]],0))</f>
        <v>31</v>
      </c>
      <c r="H1493" s="21">
        <v>45851</v>
      </c>
      <c r="I1493" s="32">
        <f>IFERROR(VLOOKUP(TA[[#This Row],[Date]],Raw_Data[[Date]:[Sunset Time (POA&lt;20 W/m2)]],3,0),"")</f>
        <v>0.25208333333333333</v>
      </c>
      <c r="J1493" s="32">
        <f>IFERROR(VLOOKUP(TA[[#This Row],[Date]],Raw_Data[[Date]:[Sunset Time (POA&lt;20 W/m2)]],4,0),"")</f>
        <v>0.78194444444444444</v>
      </c>
      <c r="K1493" s="27">
        <f>IFERROR((TA[[#This Row],[Sunset Time (POA&lt;20 W/m2)]]-TA[[#This Row],[Sunrise Time (POA&gt;20 W/m2)]])*24,"")</f>
        <v>12.716666666666667</v>
      </c>
      <c r="L1493" s="2" t="s">
        <v>287</v>
      </c>
      <c r="M1493" s="33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314</v>
      </c>
      <c r="Q1493" s="2" t="s">
        <v>320</v>
      </c>
      <c r="R1493">
        <v>45</v>
      </c>
      <c r="S1493" s="2">
        <v>8</v>
      </c>
      <c r="T1493" t="s">
        <v>288</v>
      </c>
      <c r="U1493" t="s">
        <v>291</v>
      </c>
      <c r="V1493" t="s">
        <v>292</v>
      </c>
      <c r="W1493" s="32"/>
      <c r="X1493" s="32"/>
      <c r="Y1493" s="26"/>
      <c r="Z1493" s="26"/>
      <c r="AA1493" s="27">
        <f>IF(TA[[#This Row],[Work Start time on Fault]]="NA","",(TA[[#This Row],[Fault Acknowledgement Time ]]-TA[[#This Row],[Fault Time]])*24)</f>
        <v>0</v>
      </c>
      <c r="AB1493" s="27">
        <f>(TA[[#This Row],[Work Start time on Fault]]-TA[[#This Row],[Fault Time]])*24</f>
        <v>0</v>
      </c>
      <c r="AC1493" s="26">
        <f>(TA[[#This Row],[Work Completion time on fault]]-TA[[#This Row],[Fault Time]])*24</f>
        <v>0</v>
      </c>
      <c r="AD1493" s="27">
        <f>IFERROR((TA[[#This Row],[Work Completion time on fault]]-TA[[#This Row],[Fault Time]])*24,"")</f>
        <v>0</v>
      </c>
      <c r="AE1493" t="s">
        <v>319</v>
      </c>
      <c r="AF1493" t="s">
        <v>247</v>
      </c>
      <c r="AG1493" s="2"/>
      <c r="AH1493" s="35">
        <f>1-COS(RADIANS(TA[[#This Row],[Avg. Target Angle during Fault Time (Radians)]]-TA[[#This Row],[Angle of affected equipment ]]))</f>
        <v>0.11705240714107301</v>
      </c>
      <c r="AI1493" s="27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43">
        <f t="shared" si="181"/>
        <v>2026</v>
      </c>
      <c r="C1494" s="116">
        <f t="shared" si="182"/>
        <v>2025</v>
      </c>
      <c r="D1494" s="2" t="s">
        <v>155</v>
      </c>
      <c r="E1494" s="2" t="s">
        <v>155</v>
      </c>
      <c r="F1494" s="30">
        <v>45839</v>
      </c>
      <c r="G1494" s="2">
        <f>DAY(EOMONTH(TA[[#This Row],[Month Year]],0))</f>
        <v>31</v>
      </c>
      <c r="H1494" s="21">
        <v>45851</v>
      </c>
      <c r="I1494" s="32">
        <f>IFERROR(VLOOKUP(TA[[#This Row],[Date]],Raw_Data[[Date]:[Sunset Time (POA&lt;20 W/m2)]],3,0),"")</f>
        <v>0.25208333333333333</v>
      </c>
      <c r="J1494" s="32">
        <f>IFERROR(VLOOKUP(TA[[#This Row],[Date]],Raw_Data[[Date]:[Sunset Time (POA&lt;20 W/m2)]],4,0),"")</f>
        <v>0.78194444444444444</v>
      </c>
      <c r="K1494" s="27">
        <f>IFERROR((TA[[#This Row],[Sunset Time (POA&lt;20 W/m2)]]-TA[[#This Row],[Sunrise Time (POA&gt;20 W/m2)]])*24,"")</f>
        <v>12.716666666666667</v>
      </c>
      <c r="L1494" s="2" t="s">
        <v>287</v>
      </c>
      <c r="M1494" s="33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314</v>
      </c>
      <c r="Q1494" s="2" t="s">
        <v>320</v>
      </c>
      <c r="R1494">
        <v>47</v>
      </c>
      <c r="S1494" s="2">
        <v>18</v>
      </c>
      <c r="T1494" t="s">
        <v>288</v>
      </c>
      <c r="U1494" t="s">
        <v>291</v>
      </c>
      <c r="V1494" t="s">
        <v>292</v>
      </c>
      <c r="W1494" s="32"/>
      <c r="X1494" s="32"/>
      <c r="Y1494" s="26"/>
      <c r="Z1494" s="26"/>
      <c r="AA1494" s="27">
        <f>IF(TA[[#This Row],[Work Start time on Fault]]="NA","",(TA[[#This Row],[Fault Acknowledgement Time ]]-TA[[#This Row],[Fault Time]])*24)</f>
        <v>0</v>
      </c>
      <c r="AB1494" s="27">
        <f>(TA[[#This Row],[Work Start time on Fault]]-TA[[#This Row],[Fault Time]])*24</f>
        <v>0</v>
      </c>
      <c r="AC1494" s="26">
        <f>(TA[[#This Row],[Work Completion time on fault]]-TA[[#This Row],[Fault Time]])*24</f>
        <v>0</v>
      </c>
      <c r="AD1494" s="27">
        <f>IFERROR((TA[[#This Row],[Work Completion time on fault]]-TA[[#This Row],[Fault Time]])*24,"")</f>
        <v>0</v>
      </c>
      <c r="AE1494" t="s">
        <v>319</v>
      </c>
      <c r="AF1494" t="s">
        <v>247</v>
      </c>
      <c r="AG1494" s="2"/>
      <c r="AH1494" s="35">
        <f>1-COS(RADIANS(TA[[#This Row],[Avg. Target Angle during Fault Time (Radians)]]-TA[[#This Row],[Angle of affected equipment ]]))</f>
        <v>0.11705240714107301</v>
      </c>
      <c r="AI1494" s="27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43">
        <f t="shared" si="181"/>
        <v>2026</v>
      </c>
      <c r="C1495" s="116">
        <f t="shared" si="182"/>
        <v>2025</v>
      </c>
      <c r="D1495" s="2" t="s">
        <v>155</v>
      </c>
      <c r="E1495" s="2" t="s">
        <v>155</v>
      </c>
      <c r="F1495" s="30">
        <v>45839</v>
      </c>
      <c r="G1495" s="2">
        <f>DAY(EOMONTH(TA[[#This Row],[Month Year]],0))</f>
        <v>31</v>
      </c>
      <c r="H1495" s="21">
        <v>45851</v>
      </c>
      <c r="I1495" s="32">
        <f>IFERROR(VLOOKUP(TA[[#This Row],[Date]],Raw_Data[[Date]:[Sunset Time (POA&lt;20 W/m2)]],3,0),"")</f>
        <v>0.25208333333333333</v>
      </c>
      <c r="J1495" s="32">
        <f>IFERROR(VLOOKUP(TA[[#This Row],[Date]],Raw_Data[[Date]:[Sunset Time (POA&lt;20 W/m2)]],4,0),"")</f>
        <v>0.78194444444444444</v>
      </c>
      <c r="K1495" s="27">
        <f>IFERROR((TA[[#This Row],[Sunset Time (POA&lt;20 W/m2)]]-TA[[#This Row],[Sunrise Time (POA&gt;20 W/m2)]])*24,"")</f>
        <v>12.716666666666667</v>
      </c>
      <c r="L1495" s="2" t="s">
        <v>287</v>
      </c>
      <c r="M1495" s="33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321</v>
      </c>
      <c r="Q1495" s="2" t="s">
        <v>314</v>
      </c>
      <c r="R1495">
        <v>30</v>
      </c>
      <c r="S1495" s="2">
        <v>57</v>
      </c>
      <c r="T1495" t="s">
        <v>288</v>
      </c>
      <c r="U1495" t="s">
        <v>291</v>
      </c>
      <c r="V1495" t="s">
        <v>292</v>
      </c>
      <c r="W1495" s="32"/>
      <c r="X1495" s="32"/>
      <c r="Y1495" s="26"/>
      <c r="Z1495" s="26"/>
      <c r="AA1495" s="27">
        <f>IF(TA[[#This Row],[Work Start time on Fault]]="NA","",(TA[[#This Row],[Fault Acknowledgement Time ]]-TA[[#This Row],[Fault Time]])*24)</f>
        <v>0</v>
      </c>
      <c r="AB1495" s="27">
        <f>(TA[[#This Row],[Work Start time on Fault]]-TA[[#This Row],[Fault Time]])*24</f>
        <v>0</v>
      </c>
      <c r="AC1495" s="26">
        <f>(TA[[#This Row],[Work Completion time on fault]]-TA[[#This Row],[Fault Time]])*24</f>
        <v>0</v>
      </c>
      <c r="AD1495" s="27">
        <f>IFERROR((TA[[#This Row],[Work Completion time on fault]]-TA[[#This Row],[Fault Time]])*24,"")</f>
        <v>0</v>
      </c>
      <c r="AE1495" t="s">
        <v>319</v>
      </c>
      <c r="AF1495" t="s">
        <v>247</v>
      </c>
      <c r="AG1495" s="2"/>
      <c r="AH1495" s="35">
        <f>1-COS(RADIANS(TA[[#This Row],[Avg. Target Angle during Fault Time (Radians)]]-TA[[#This Row],[Angle of affected equipment ]]))</f>
        <v>0.11705240714107301</v>
      </c>
      <c r="AI1495" s="27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43">
        <f t="shared" si="181"/>
        <v>2026</v>
      </c>
      <c r="C1496" s="116">
        <f t="shared" si="182"/>
        <v>2025</v>
      </c>
      <c r="D1496" s="2" t="s">
        <v>155</v>
      </c>
      <c r="E1496" s="2" t="s">
        <v>155</v>
      </c>
      <c r="F1496" s="30">
        <v>45839</v>
      </c>
      <c r="G1496" s="2">
        <f>DAY(EOMONTH(TA[[#This Row],[Month Year]],0))</f>
        <v>31</v>
      </c>
      <c r="H1496" s="21">
        <v>45851</v>
      </c>
      <c r="I1496" s="32">
        <f>IFERROR(VLOOKUP(TA[[#This Row],[Date]],Raw_Data[[Date]:[Sunset Time (POA&lt;20 W/m2)]],3,0),"")</f>
        <v>0.25208333333333333</v>
      </c>
      <c r="J1496" s="32">
        <f>IFERROR(VLOOKUP(TA[[#This Row],[Date]],Raw_Data[[Date]:[Sunset Time (POA&lt;20 W/m2)]],4,0),"")</f>
        <v>0.78194444444444444</v>
      </c>
      <c r="K1496" s="27">
        <f>IFERROR((TA[[#This Row],[Sunset Time (POA&lt;20 W/m2)]]-TA[[#This Row],[Sunrise Time (POA&gt;20 W/m2)]])*24,"")</f>
        <v>12.716666666666667</v>
      </c>
      <c r="L1496" s="2" t="s">
        <v>287</v>
      </c>
      <c r="M1496" s="33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321</v>
      </c>
      <c r="Q1496" s="2" t="s">
        <v>314</v>
      </c>
      <c r="R1496">
        <v>31</v>
      </c>
      <c r="S1496" s="2">
        <v>61</v>
      </c>
      <c r="T1496" t="s">
        <v>288</v>
      </c>
      <c r="U1496" t="s">
        <v>291</v>
      </c>
      <c r="V1496" t="s">
        <v>292</v>
      </c>
      <c r="W1496" s="32"/>
      <c r="X1496" s="32"/>
      <c r="Y1496" s="26"/>
      <c r="Z1496" s="26"/>
      <c r="AA1496" s="27">
        <f>IF(TA[[#This Row],[Work Start time on Fault]]="NA","",(TA[[#This Row],[Fault Acknowledgement Time ]]-TA[[#This Row],[Fault Time]])*24)</f>
        <v>0</v>
      </c>
      <c r="AB1496" s="27">
        <f>(TA[[#This Row],[Work Start time on Fault]]-TA[[#This Row],[Fault Time]])*24</f>
        <v>0</v>
      </c>
      <c r="AC1496" s="26">
        <f>(TA[[#This Row],[Work Completion time on fault]]-TA[[#This Row],[Fault Time]])*24</f>
        <v>0</v>
      </c>
      <c r="AD1496" s="27">
        <f>IFERROR((TA[[#This Row],[Work Completion time on fault]]-TA[[#This Row],[Fault Time]])*24,"")</f>
        <v>0</v>
      </c>
      <c r="AE1496" t="s">
        <v>319</v>
      </c>
      <c r="AF1496" t="s">
        <v>247</v>
      </c>
      <c r="AG1496" s="2"/>
      <c r="AH1496" s="35">
        <f>1-COS(RADIANS(TA[[#This Row],[Avg. Target Angle during Fault Time (Radians)]]-TA[[#This Row],[Angle of affected equipment ]]))</f>
        <v>0.11705240714107301</v>
      </c>
      <c r="AI1496" s="27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43">
        <f t="shared" si="181"/>
        <v>2026</v>
      </c>
      <c r="C1497" s="116">
        <f t="shared" si="182"/>
        <v>2025</v>
      </c>
      <c r="D1497" s="2" t="s">
        <v>155</v>
      </c>
      <c r="E1497" s="2" t="s">
        <v>155</v>
      </c>
      <c r="F1497" s="30">
        <v>45839</v>
      </c>
      <c r="G1497" s="2">
        <f>DAY(EOMONTH(TA[[#This Row],[Month Year]],0))</f>
        <v>31</v>
      </c>
      <c r="H1497" s="21">
        <v>45851</v>
      </c>
      <c r="I1497" s="32">
        <f>IFERROR(VLOOKUP(TA[[#This Row],[Date]],Raw_Data[[Date]:[Sunset Time (POA&lt;20 W/m2)]],3,0),"")</f>
        <v>0.25208333333333333</v>
      </c>
      <c r="J1497" s="32">
        <f>IFERROR(VLOOKUP(TA[[#This Row],[Date]],Raw_Data[[Date]:[Sunset Time (POA&lt;20 W/m2)]],4,0),"")</f>
        <v>0.78194444444444444</v>
      </c>
      <c r="K1497" s="27">
        <f>IFERROR((TA[[#This Row],[Sunset Time (POA&lt;20 W/m2)]]-TA[[#This Row],[Sunrise Time (POA&gt;20 W/m2)]])*24,"")</f>
        <v>12.716666666666667</v>
      </c>
      <c r="L1497" s="2" t="s">
        <v>303</v>
      </c>
      <c r="M1497" s="33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321</v>
      </c>
      <c r="Q1497" s="2" t="s">
        <v>314</v>
      </c>
      <c r="R1497">
        <v>26</v>
      </c>
      <c r="S1497" s="2">
        <v>37</v>
      </c>
      <c r="T1497" t="s">
        <v>288</v>
      </c>
      <c r="U1497" t="s">
        <v>291</v>
      </c>
      <c r="V1497" t="s">
        <v>292</v>
      </c>
      <c r="W1497" s="32"/>
      <c r="X1497" s="32"/>
      <c r="Y1497" s="26"/>
      <c r="Z1497" s="26"/>
      <c r="AA1497" s="27">
        <f>IF(TA[[#This Row],[Work Start time on Fault]]="NA","",(TA[[#This Row],[Fault Acknowledgement Time ]]-TA[[#This Row],[Fault Time]])*24)</f>
        <v>0</v>
      </c>
      <c r="AB1497" s="27">
        <f>(TA[[#This Row],[Work Start time on Fault]]-TA[[#This Row],[Fault Time]])*24</f>
        <v>0</v>
      </c>
      <c r="AC1497" s="26">
        <f>(TA[[#This Row],[Work Completion time on fault]]-TA[[#This Row],[Fault Time]])*24</f>
        <v>0</v>
      </c>
      <c r="AD1497" s="27">
        <f>IFERROR((TA[[#This Row],[Work Completion time on fault]]-TA[[#This Row],[Fault Time]])*24,"")</f>
        <v>0</v>
      </c>
      <c r="AE1497" t="s">
        <v>319</v>
      </c>
      <c r="AF1497" t="s">
        <v>247</v>
      </c>
      <c r="AG1497" s="2"/>
      <c r="AH1497" s="35">
        <f>1-COS(RADIANS(TA[[#This Row],[Avg. Target Angle during Fault Time (Radians)]]-TA[[#This Row],[Angle of affected equipment ]]))</f>
        <v>0.11705240714107301</v>
      </c>
      <c r="AI1497" s="27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43">
        <f t="shared" si="181"/>
        <v>2026</v>
      </c>
      <c r="C1498" s="116">
        <f t="shared" si="182"/>
        <v>2025</v>
      </c>
      <c r="D1498" s="2" t="s">
        <v>155</v>
      </c>
      <c r="E1498" s="2" t="s">
        <v>155</v>
      </c>
      <c r="F1498" s="30">
        <v>45839</v>
      </c>
      <c r="G1498" s="2">
        <f>DAY(EOMONTH(TA[[#This Row],[Month Year]],0))</f>
        <v>31</v>
      </c>
      <c r="H1498" s="21">
        <v>45851</v>
      </c>
      <c r="I1498" s="32">
        <f>IFERROR(VLOOKUP(TA[[#This Row],[Date]],Raw_Data[[Date]:[Sunset Time (POA&lt;20 W/m2)]],3,0),"")</f>
        <v>0.25208333333333333</v>
      </c>
      <c r="J1498" s="32">
        <f>IFERROR(VLOOKUP(TA[[#This Row],[Date]],Raw_Data[[Date]:[Sunset Time (POA&lt;20 W/m2)]],4,0),"")</f>
        <v>0.78194444444444444</v>
      </c>
      <c r="K1498" s="27">
        <f>IFERROR((TA[[#This Row],[Sunset Time (POA&lt;20 W/m2)]]-TA[[#This Row],[Sunrise Time (POA&gt;20 W/m2)]])*24,"")</f>
        <v>12.716666666666667</v>
      </c>
      <c r="L1498" s="2" t="s">
        <v>303</v>
      </c>
      <c r="M1498" s="33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321</v>
      </c>
      <c r="Q1498" s="2" t="s">
        <v>314</v>
      </c>
      <c r="R1498">
        <v>27</v>
      </c>
      <c r="S1498" s="2">
        <v>42</v>
      </c>
      <c r="T1498" t="s">
        <v>288</v>
      </c>
      <c r="U1498" t="s">
        <v>291</v>
      </c>
      <c r="V1498" t="s">
        <v>292</v>
      </c>
      <c r="W1498" s="32">
        <f>IFERROR(VLOOKUP(TA[[#This Row],[Date]],Raw_Data[[Date]:[Sunset Time (POA&lt;20 W/m2)]],3,0),"")</f>
        <v>0.25208333333333333</v>
      </c>
      <c r="X1498" s="32">
        <f>IFERROR(VLOOKUP(TA[[#This Row],[Date]],Raw_Data[[Date]:[Sunset Time (POA&lt;20 W/m2)]],3,0),"")</f>
        <v>0.25208333333333333</v>
      </c>
      <c r="Y1498" s="26"/>
      <c r="Z1498" s="26">
        <v>0.76041666666666663</v>
      </c>
      <c r="AA1498" s="27">
        <f>IF(TA[[#This Row],[Work Start time on Fault]]="NA","",(TA[[#This Row],[Fault Acknowledgement Time ]]-TA[[#This Row],[Fault Time]])*24)</f>
        <v>0</v>
      </c>
      <c r="AB1498" s="27">
        <f>(TA[[#This Row],[Work Start time on Fault]]-TA[[#This Row],[Fault Time]])*24</f>
        <v>-6.05</v>
      </c>
      <c r="AC1498" s="26">
        <f>(TA[[#This Row],[Work Completion time on fault]]-TA[[#This Row],[Fault Time]])*24</f>
        <v>12.2</v>
      </c>
      <c r="AD1498" s="27">
        <f>IFERROR((TA[[#This Row],[Work Completion time on fault]]-TA[[#This Row],[Fault Time]])*24,"")</f>
        <v>12.2</v>
      </c>
      <c r="AE1498" t="s">
        <v>300</v>
      </c>
      <c r="AF1498" t="s">
        <v>247</v>
      </c>
      <c r="AG1498" s="2"/>
      <c r="AH1498" s="35">
        <f>1-COS(RADIANS(TA[[#This Row],[Avg. Target Angle during Fault Time (Radians)]]-TA[[#This Row],[Angle of affected equipment ]]))</f>
        <v>0.11705240714107301</v>
      </c>
      <c r="AI1498" s="27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43">
        <f t="shared" ref="B1499:B1511" si="183">YEAR(H1499)+IF(MONTH(H1499)&gt;=4,1,0)</f>
        <v>2026</v>
      </c>
      <c r="C1499" s="116">
        <f t="shared" ref="C1499:C1511" si="184">YEAR(H1499)</f>
        <v>2025</v>
      </c>
      <c r="D1499" s="2" t="s">
        <v>155</v>
      </c>
      <c r="E1499" s="2" t="s">
        <v>155</v>
      </c>
      <c r="F1499" s="30">
        <v>45839</v>
      </c>
      <c r="G1499" s="2">
        <f>DAY(EOMONTH(TA[[#This Row],[Month Year]],0))</f>
        <v>31</v>
      </c>
      <c r="H1499" s="21">
        <v>45852</v>
      </c>
      <c r="I1499" s="32">
        <f>IFERROR(VLOOKUP(TA[[#This Row],[Date]],Raw_Data[[Date]:[Sunset Time (POA&lt;20 W/m2)]],3,0),"")</f>
        <v>0.25208333333333333</v>
      </c>
      <c r="J1499" s="32">
        <f>IFERROR(VLOOKUP(TA[[#This Row],[Date]],Raw_Data[[Date]:[Sunset Time (POA&lt;20 W/m2)]],4,0),"")</f>
        <v>0.78333333333333333</v>
      </c>
      <c r="K1499" s="27">
        <f>IFERROR((TA[[#This Row],[Sunset Time (POA&lt;20 W/m2)]]-TA[[#This Row],[Sunrise Time (POA&gt;20 W/m2)]])*24,"")</f>
        <v>12.75</v>
      </c>
      <c r="L1499" s="2" t="s">
        <v>285</v>
      </c>
      <c r="M1499" s="33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14" t="s">
        <v>309</v>
      </c>
      <c r="Q1499" s="113" t="s">
        <v>309</v>
      </c>
      <c r="R1499">
        <v>131</v>
      </c>
      <c r="S1499" s="2">
        <v>38</v>
      </c>
      <c r="T1499" t="s">
        <v>286</v>
      </c>
      <c r="U1499" t="s">
        <v>291</v>
      </c>
      <c r="V1499" t="s">
        <v>289</v>
      </c>
      <c r="W1499" s="32"/>
      <c r="X1499" s="32"/>
      <c r="Y1499" s="26"/>
      <c r="Z1499" s="26"/>
      <c r="AA1499" s="27">
        <f>IF(TA[[#This Row],[Work Start time on Fault]]="NA","",(TA[[#This Row],[Fault Acknowledgement Time ]]-TA[[#This Row],[Fault Time]])*24)</f>
        <v>0</v>
      </c>
      <c r="AB1499" s="27">
        <f>(TA[[#This Row],[Work Start time on Fault]]-TA[[#This Row],[Fault Time]])*24</f>
        <v>0</v>
      </c>
      <c r="AC1499" s="26">
        <f>(TA[[#This Row],[Work Completion time on fault]]-TA[[#This Row],[Fault Time]])*24</f>
        <v>0</v>
      </c>
      <c r="AD1499" s="27">
        <f>IFERROR((TA[[#This Row],[Work Completion time on fault]]-TA[[#This Row],[Fault Time]])*24,"")</f>
        <v>0</v>
      </c>
      <c r="AE1499" t="s">
        <v>319</v>
      </c>
      <c r="AF1499" t="s">
        <v>247</v>
      </c>
      <c r="AG1499" s="2"/>
      <c r="AH1499" s="35">
        <f>1-COS(RADIANS(TA[[#This Row],[Avg. Target Angle during Fault Time (Radians)]]-TA[[#This Row],[Angle of affected equipment ]]))</f>
        <v>0.11705240714107301</v>
      </c>
      <c r="AI1499" s="27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43">
        <f t="shared" si="183"/>
        <v>2026</v>
      </c>
      <c r="C1500" s="116">
        <f t="shared" si="184"/>
        <v>2025</v>
      </c>
      <c r="D1500" s="2" t="s">
        <v>155</v>
      </c>
      <c r="E1500" s="2" t="s">
        <v>155</v>
      </c>
      <c r="F1500" s="30">
        <v>45839</v>
      </c>
      <c r="G1500" s="2">
        <f>DAY(EOMONTH(TA[[#This Row],[Month Year]],0))</f>
        <v>31</v>
      </c>
      <c r="H1500" s="21">
        <v>45852</v>
      </c>
      <c r="I1500" s="32">
        <f>IFERROR(VLOOKUP(TA[[#This Row],[Date]],Raw_Data[[Date]:[Sunset Time (POA&lt;20 W/m2)]],3,0),"")</f>
        <v>0.25208333333333333</v>
      </c>
      <c r="J1500" s="32">
        <f>IFERROR(VLOOKUP(TA[[#This Row],[Date]],Raw_Data[[Date]:[Sunset Time (POA&lt;20 W/m2)]],4,0),"")</f>
        <v>0.78333333333333333</v>
      </c>
      <c r="K1500" s="27">
        <f>IFERROR((TA[[#This Row],[Sunset Time (POA&lt;20 W/m2)]]-TA[[#This Row],[Sunrise Time (POA&gt;20 W/m2)]])*24,"")</f>
        <v>12.75</v>
      </c>
      <c r="L1500" s="2" t="s">
        <v>285</v>
      </c>
      <c r="M1500" s="33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14" t="s">
        <v>309</v>
      </c>
      <c r="Q1500" s="113" t="s">
        <v>309</v>
      </c>
      <c r="R1500">
        <v>131</v>
      </c>
      <c r="S1500" s="2">
        <v>39</v>
      </c>
      <c r="T1500" t="s">
        <v>286</v>
      </c>
      <c r="U1500" t="s">
        <v>291</v>
      </c>
      <c r="V1500" t="s">
        <v>289</v>
      </c>
      <c r="W1500" s="32"/>
      <c r="X1500" s="32"/>
      <c r="Y1500" s="26"/>
      <c r="Z1500" s="26"/>
      <c r="AA1500" s="27">
        <f>IF(TA[[#This Row],[Work Start time on Fault]]="NA","",(TA[[#This Row],[Fault Acknowledgement Time ]]-TA[[#This Row],[Fault Time]])*24)</f>
        <v>0</v>
      </c>
      <c r="AB1500" s="27">
        <f>(TA[[#This Row],[Work Start time on Fault]]-TA[[#This Row],[Fault Time]])*24</f>
        <v>0</v>
      </c>
      <c r="AC1500" s="26">
        <f>(TA[[#This Row],[Work Completion time on fault]]-TA[[#This Row],[Fault Time]])*24</f>
        <v>0</v>
      </c>
      <c r="AD1500" s="27">
        <f>IFERROR((TA[[#This Row],[Work Completion time on fault]]-TA[[#This Row],[Fault Time]])*24,"")</f>
        <v>0</v>
      </c>
      <c r="AE1500" t="s">
        <v>319</v>
      </c>
      <c r="AF1500" t="s">
        <v>247</v>
      </c>
      <c r="AG1500" s="2"/>
      <c r="AH1500" s="35">
        <f>1-COS(RADIANS(TA[[#This Row],[Avg. Target Angle during Fault Time (Radians)]]-TA[[#This Row],[Angle of affected equipment ]]))</f>
        <v>0.11705240714107301</v>
      </c>
      <c r="AI1500" s="27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43">
        <f t="shared" si="183"/>
        <v>2026</v>
      </c>
      <c r="C1501" s="116">
        <f t="shared" si="184"/>
        <v>2025</v>
      </c>
      <c r="D1501" s="2" t="s">
        <v>155</v>
      </c>
      <c r="E1501" s="2" t="s">
        <v>155</v>
      </c>
      <c r="F1501" s="30">
        <v>45839</v>
      </c>
      <c r="G1501" s="2">
        <f>DAY(EOMONTH(TA[[#This Row],[Month Year]],0))</f>
        <v>31</v>
      </c>
      <c r="H1501" s="21">
        <v>45852</v>
      </c>
      <c r="I1501" s="32">
        <f>IFERROR(VLOOKUP(TA[[#This Row],[Date]],Raw_Data[[Date]:[Sunset Time (POA&lt;20 W/m2)]],3,0),"")</f>
        <v>0.25208333333333333</v>
      </c>
      <c r="J1501" s="32">
        <f>IFERROR(VLOOKUP(TA[[#This Row],[Date]],Raw_Data[[Date]:[Sunset Time (POA&lt;20 W/m2)]],4,0),"")</f>
        <v>0.78333333333333333</v>
      </c>
      <c r="K1501" s="27">
        <f>IFERROR((TA[[#This Row],[Sunset Time (POA&lt;20 W/m2)]]-TA[[#This Row],[Sunrise Time (POA&gt;20 W/m2)]])*24,"")</f>
        <v>12.75</v>
      </c>
      <c r="L1501" s="2" t="s">
        <v>287</v>
      </c>
      <c r="M1501" s="33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14" t="s">
        <v>309</v>
      </c>
      <c r="Q1501" s="2" t="s">
        <v>312</v>
      </c>
      <c r="R1501">
        <v>133</v>
      </c>
      <c r="S1501" s="2">
        <v>26</v>
      </c>
      <c r="T1501" t="s">
        <v>288</v>
      </c>
      <c r="U1501" t="s">
        <v>291</v>
      </c>
      <c r="V1501" t="s">
        <v>305</v>
      </c>
      <c r="W1501" s="32">
        <f>IFERROR(VLOOKUP(TA[[#This Row],[Date]],Raw_Data[[Date]:[Sunset Time (POA&lt;20 W/m2)]],3,0),"")</f>
        <v>0.25208333333333333</v>
      </c>
      <c r="X1501" s="32">
        <f>IFERROR(VLOOKUP(TA[[#This Row],[Date]],Raw_Data[[Date]:[Sunset Time (POA&lt;20 W/m2)]],3,0),"")</f>
        <v>0.25208333333333333</v>
      </c>
      <c r="Y1501" s="26"/>
      <c r="Z1501" s="26">
        <v>0.76041666666666663</v>
      </c>
      <c r="AA1501" s="27">
        <f>IF(TA[[#This Row],[Work Start time on Fault]]="NA","",(TA[[#This Row],[Fault Acknowledgement Time ]]-TA[[#This Row],[Fault Time]])*24)</f>
        <v>0</v>
      </c>
      <c r="AB1501" s="27">
        <f>(TA[[#This Row],[Work Start time on Fault]]-TA[[#This Row],[Fault Time]])*24</f>
        <v>-6.05</v>
      </c>
      <c r="AC1501" s="26">
        <f>(TA[[#This Row],[Work Completion time on fault]]-TA[[#This Row],[Fault Time]])*24</f>
        <v>12.2</v>
      </c>
      <c r="AD1501" s="27">
        <f>IFERROR((TA[[#This Row],[Work Completion time on fault]]-TA[[#This Row],[Fault Time]])*24,"")</f>
        <v>12.2</v>
      </c>
      <c r="AE1501" t="s">
        <v>319</v>
      </c>
      <c r="AF1501" t="s">
        <v>247</v>
      </c>
      <c r="AG1501" s="2"/>
      <c r="AH1501" s="35">
        <f>1-COS(RADIANS(TA[[#This Row],[Avg. Target Angle during Fault Time (Radians)]]-TA[[#This Row],[Angle of affected equipment ]]))</f>
        <v>0.11705240714107301</v>
      </c>
      <c r="AI1501" s="27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43">
        <f t="shared" si="183"/>
        <v>2026</v>
      </c>
      <c r="C1502" s="116">
        <f t="shared" si="184"/>
        <v>2025</v>
      </c>
      <c r="D1502" s="2" t="s">
        <v>155</v>
      </c>
      <c r="E1502" s="2" t="s">
        <v>155</v>
      </c>
      <c r="F1502" s="30">
        <v>45839</v>
      </c>
      <c r="G1502" s="2">
        <f>DAY(EOMONTH(TA[[#This Row],[Month Year]],0))</f>
        <v>31</v>
      </c>
      <c r="H1502" s="21">
        <v>45852</v>
      </c>
      <c r="I1502" s="32">
        <f>IFERROR(VLOOKUP(TA[[#This Row],[Date]],Raw_Data[[Date]:[Sunset Time (POA&lt;20 W/m2)]],3,0),"")</f>
        <v>0.25208333333333333</v>
      </c>
      <c r="J1502" s="32">
        <f>IFERROR(VLOOKUP(TA[[#This Row],[Date]],Raw_Data[[Date]:[Sunset Time (POA&lt;20 W/m2)]],4,0),"")</f>
        <v>0.78333333333333333</v>
      </c>
      <c r="K1502" s="27">
        <f>IFERROR((TA[[#This Row],[Sunset Time (POA&lt;20 W/m2)]]-TA[[#This Row],[Sunrise Time (POA&gt;20 W/m2)]])*24,"")</f>
        <v>12.75</v>
      </c>
      <c r="L1502" s="2" t="s">
        <v>285</v>
      </c>
      <c r="M1502" s="33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14" t="s">
        <v>307</v>
      </c>
      <c r="Q1502" s="113" t="s">
        <v>308</v>
      </c>
      <c r="R1502">
        <v>7</v>
      </c>
      <c r="S1502" s="2">
        <v>32</v>
      </c>
      <c r="T1502" t="s">
        <v>286</v>
      </c>
      <c r="U1502" t="s">
        <v>291</v>
      </c>
      <c r="V1502" t="s">
        <v>289</v>
      </c>
      <c r="W1502" s="32"/>
      <c r="X1502" s="32"/>
      <c r="Y1502" s="26"/>
      <c r="Z1502" s="26"/>
      <c r="AA1502" s="27">
        <f>IF(TA[[#This Row],[Work Start time on Fault]]="NA","",(TA[[#This Row],[Fault Acknowledgement Time ]]-TA[[#This Row],[Fault Time]])*24)</f>
        <v>0</v>
      </c>
      <c r="AB1502" s="27">
        <f>(TA[[#This Row],[Work Start time on Fault]]-TA[[#This Row],[Fault Time]])*24</f>
        <v>0</v>
      </c>
      <c r="AC1502" s="26">
        <f>(TA[[#This Row],[Work Completion time on fault]]-TA[[#This Row],[Fault Time]])*24</f>
        <v>0</v>
      </c>
      <c r="AD1502" s="27">
        <f>IFERROR((TA[[#This Row],[Work Completion time on fault]]-TA[[#This Row],[Fault Time]])*24,"")</f>
        <v>0</v>
      </c>
      <c r="AE1502" t="s">
        <v>319</v>
      </c>
      <c r="AF1502" t="s">
        <v>247</v>
      </c>
      <c r="AG1502" s="2"/>
      <c r="AH1502" s="35">
        <f>1-COS(RADIANS(TA[[#This Row],[Avg. Target Angle during Fault Time (Radians)]]-TA[[#This Row],[Angle of affected equipment ]]))</f>
        <v>0.11705240714107301</v>
      </c>
      <c r="AI1502" s="27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43">
        <f t="shared" si="183"/>
        <v>2026</v>
      </c>
      <c r="C1503" s="116">
        <f t="shared" si="184"/>
        <v>2025</v>
      </c>
      <c r="D1503" s="2" t="s">
        <v>155</v>
      </c>
      <c r="E1503" s="2" t="s">
        <v>155</v>
      </c>
      <c r="F1503" s="30">
        <v>45839</v>
      </c>
      <c r="G1503" s="2">
        <f>DAY(EOMONTH(TA[[#This Row],[Month Year]],0))</f>
        <v>31</v>
      </c>
      <c r="H1503" s="21">
        <v>45852</v>
      </c>
      <c r="I1503" s="32">
        <f>IFERROR(VLOOKUP(TA[[#This Row],[Date]],Raw_Data[[Date]:[Sunset Time (POA&lt;20 W/m2)]],3,0),"")</f>
        <v>0.25208333333333333</v>
      </c>
      <c r="J1503" s="32">
        <f>IFERROR(VLOOKUP(TA[[#This Row],[Date]],Raw_Data[[Date]:[Sunset Time (POA&lt;20 W/m2)]],4,0),"")</f>
        <v>0.78333333333333333</v>
      </c>
      <c r="K1503" s="27">
        <f>IFERROR((TA[[#This Row],[Sunset Time (POA&lt;20 W/m2)]]-TA[[#This Row],[Sunrise Time (POA&gt;20 W/m2)]])*24,"")</f>
        <v>12.75</v>
      </c>
      <c r="L1503" s="2" t="s">
        <v>285</v>
      </c>
      <c r="M1503" s="33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14" t="s">
        <v>306</v>
      </c>
      <c r="Q1503" s="113" t="s">
        <v>310</v>
      </c>
      <c r="R1503">
        <v>166</v>
      </c>
      <c r="S1503" s="2">
        <v>91</v>
      </c>
      <c r="T1503" t="s">
        <v>286</v>
      </c>
      <c r="U1503" t="s">
        <v>291</v>
      </c>
      <c r="V1503" t="s">
        <v>289</v>
      </c>
      <c r="W1503" s="32"/>
      <c r="X1503" s="32"/>
      <c r="Y1503" s="26"/>
      <c r="Z1503" s="26"/>
      <c r="AA1503" s="27">
        <f>IF(TA[[#This Row],[Work Start time on Fault]]="NA","",(TA[[#This Row],[Fault Acknowledgement Time ]]-TA[[#This Row],[Fault Time]])*24)</f>
        <v>0</v>
      </c>
      <c r="AB1503" s="27">
        <f>(TA[[#This Row],[Work Start time on Fault]]-TA[[#This Row],[Fault Time]])*24</f>
        <v>0</v>
      </c>
      <c r="AC1503" s="26">
        <f>(TA[[#This Row],[Work Completion time on fault]]-TA[[#This Row],[Fault Time]])*24</f>
        <v>0</v>
      </c>
      <c r="AD1503" s="27">
        <f>IFERROR((TA[[#This Row],[Work Completion time on fault]]-TA[[#This Row],[Fault Time]])*24,"")</f>
        <v>0</v>
      </c>
      <c r="AE1503" t="s">
        <v>319</v>
      </c>
      <c r="AF1503" t="s">
        <v>247</v>
      </c>
      <c r="AG1503" s="2"/>
      <c r="AH1503" s="35">
        <f>1-COS(RADIANS(TA[[#This Row],[Avg. Target Angle during Fault Time (Radians)]]-TA[[#This Row],[Angle of affected equipment ]]))</f>
        <v>0.11705240714107301</v>
      </c>
      <c r="AI1503" s="27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43">
        <f t="shared" si="183"/>
        <v>2026</v>
      </c>
      <c r="C1504" s="116">
        <f t="shared" si="184"/>
        <v>2025</v>
      </c>
      <c r="D1504" s="2" t="s">
        <v>155</v>
      </c>
      <c r="E1504" s="2" t="s">
        <v>155</v>
      </c>
      <c r="F1504" s="30">
        <v>45839</v>
      </c>
      <c r="G1504" s="2">
        <f>DAY(EOMONTH(TA[[#This Row],[Month Year]],0))</f>
        <v>31</v>
      </c>
      <c r="H1504" s="21">
        <v>45852</v>
      </c>
      <c r="I1504" s="32">
        <f>IFERROR(VLOOKUP(TA[[#This Row],[Date]],Raw_Data[[Date]:[Sunset Time (POA&lt;20 W/m2)]],3,0),"")</f>
        <v>0.25208333333333333</v>
      </c>
      <c r="J1504" s="32">
        <f>IFERROR(VLOOKUP(TA[[#This Row],[Date]],Raw_Data[[Date]:[Sunset Time (POA&lt;20 W/m2)]],4,0),"")</f>
        <v>0.78333333333333333</v>
      </c>
      <c r="K1504" s="27">
        <f>IFERROR((TA[[#This Row],[Sunset Time (POA&lt;20 W/m2)]]-TA[[#This Row],[Sunrise Time (POA&gt;20 W/m2)]])*24,"")</f>
        <v>12.75</v>
      </c>
      <c r="L1504" s="2" t="s">
        <v>285</v>
      </c>
      <c r="M1504" s="33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14" t="s">
        <v>307</v>
      </c>
      <c r="Q1504" s="113" t="s">
        <v>307</v>
      </c>
      <c r="R1504">
        <v>117</v>
      </c>
      <c r="S1504" s="2">
        <v>20</v>
      </c>
      <c r="T1504" t="s">
        <v>286</v>
      </c>
      <c r="U1504" t="s">
        <v>291</v>
      </c>
      <c r="V1504" t="s">
        <v>289</v>
      </c>
      <c r="W1504" s="32"/>
      <c r="X1504" s="32"/>
      <c r="Y1504" s="26"/>
      <c r="Z1504" s="26"/>
      <c r="AA1504" s="27">
        <f>IF(TA[[#This Row],[Work Start time on Fault]]="NA","",(TA[[#This Row],[Fault Acknowledgement Time ]]-TA[[#This Row],[Fault Time]])*24)</f>
        <v>0</v>
      </c>
      <c r="AB1504" s="27">
        <f>(TA[[#This Row],[Work Start time on Fault]]-TA[[#This Row],[Fault Time]])*24</f>
        <v>0</v>
      </c>
      <c r="AC1504" s="26">
        <f>(TA[[#This Row],[Work Completion time on fault]]-TA[[#This Row],[Fault Time]])*24</f>
        <v>0</v>
      </c>
      <c r="AD1504" s="27">
        <f>IFERROR((TA[[#This Row],[Work Completion time on fault]]-TA[[#This Row],[Fault Time]])*24,"")</f>
        <v>0</v>
      </c>
      <c r="AE1504" t="s">
        <v>319</v>
      </c>
      <c r="AF1504" t="s">
        <v>247</v>
      </c>
      <c r="AG1504" s="2"/>
      <c r="AH1504" s="35">
        <f>1-COS(RADIANS(TA[[#This Row],[Avg. Target Angle during Fault Time (Radians)]]-TA[[#This Row],[Angle of affected equipment ]]))</f>
        <v>0.11705240714107301</v>
      </c>
      <c r="AI1504" s="27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43">
        <f t="shared" si="183"/>
        <v>2026</v>
      </c>
      <c r="C1505" s="116">
        <f t="shared" si="184"/>
        <v>2025</v>
      </c>
      <c r="D1505" s="2" t="s">
        <v>155</v>
      </c>
      <c r="E1505" s="2" t="s">
        <v>155</v>
      </c>
      <c r="F1505" s="30">
        <v>45839</v>
      </c>
      <c r="G1505" s="2">
        <f>DAY(EOMONTH(TA[[#This Row],[Month Year]],0))</f>
        <v>31</v>
      </c>
      <c r="H1505" s="21">
        <v>45852</v>
      </c>
      <c r="I1505" s="32">
        <f>IFERROR(VLOOKUP(TA[[#This Row],[Date]],Raw_Data[[Date]:[Sunset Time (POA&lt;20 W/m2)]],3,0),"")</f>
        <v>0.25208333333333333</v>
      </c>
      <c r="J1505" s="32">
        <f>IFERROR(VLOOKUP(TA[[#This Row],[Date]],Raw_Data[[Date]:[Sunset Time (POA&lt;20 W/m2)]],4,0),"")</f>
        <v>0.78333333333333333</v>
      </c>
      <c r="K1505" s="27">
        <f>IFERROR((TA[[#This Row],[Sunset Time (POA&lt;20 W/m2)]]-TA[[#This Row],[Sunrise Time (POA&gt;20 W/m2)]])*24,"")</f>
        <v>12.75</v>
      </c>
      <c r="L1505" s="2" t="s">
        <v>285</v>
      </c>
      <c r="M1505" s="33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14" t="s">
        <v>307</v>
      </c>
      <c r="Q1505" s="113" t="s">
        <v>307</v>
      </c>
      <c r="R1505">
        <v>118</v>
      </c>
      <c r="S1505" s="2">
        <v>22</v>
      </c>
      <c r="T1505" t="s">
        <v>286</v>
      </c>
      <c r="U1505" t="s">
        <v>291</v>
      </c>
      <c r="V1505" t="s">
        <v>289</v>
      </c>
      <c r="W1505" s="32"/>
      <c r="X1505" s="32"/>
      <c r="Y1505" s="26"/>
      <c r="Z1505" s="26"/>
      <c r="AA1505" s="27">
        <f>IF(TA[[#This Row],[Work Start time on Fault]]="NA","",(TA[[#This Row],[Fault Acknowledgement Time ]]-TA[[#This Row],[Fault Time]])*24)</f>
        <v>0</v>
      </c>
      <c r="AB1505" s="27">
        <f>(TA[[#This Row],[Work Start time on Fault]]-TA[[#This Row],[Fault Time]])*24</f>
        <v>0</v>
      </c>
      <c r="AC1505" s="26">
        <f>(TA[[#This Row],[Work Completion time on fault]]-TA[[#This Row],[Fault Time]])*24</f>
        <v>0</v>
      </c>
      <c r="AD1505" s="27">
        <f>IFERROR((TA[[#This Row],[Work Completion time on fault]]-TA[[#This Row],[Fault Time]])*24,"")</f>
        <v>0</v>
      </c>
      <c r="AE1505" t="s">
        <v>319</v>
      </c>
      <c r="AF1505" t="s">
        <v>247</v>
      </c>
      <c r="AG1505" s="2"/>
      <c r="AH1505" s="35">
        <f>1-COS(RADIANS(TA[[#This Row],[Avg. Target Angle during Fault Time (Radians)]]-TA[[#This Row],[Angle of affected equipment ]]))</f>
        <v>0.11705240714107301</v>
      </c>
      <c r="AI1505" s="27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43">
        <f t="shared" si="183"/>
        <v>2026</v>
      </c>
      <c r="C1506" s="116">
        <f t="shared" si="184"/>
        <v>2025</v>
      </c>
      <c r="D1506" s="2" t="s">
        <v>155</v>
      </c>
      <c r="E1506" s="2" t="s">
        <v>155</v>
      </c>
      <c r="F1506" s="30">
        <v>45839</v>
      </c>
      <c r="G1506" s="2">
        <f>DAY(EOMONTH(TA[[#This Row],[Month Year]],0))</f>
        <v>31</v>
      </c>
      <c r="H1506" s="21">
        <v>45852</v>
      </c>
      <c r="I1506" s="32">
        <f>IFERROR(VLOOKUP(TA[[#This Row],[Date]],Raw_Data[[Date]:[Sunset Time (POA&lt;20 W/m2)]],3,0),"")</f>
        <v>0.25208333333333333</v>
      </c>
      <c r="J1506" s="32">
        <f>IFERROR(VLOOKUP(TA[[#This Row],[Date]],Raw_Data[[Date]:[Sunset Time (POA&lt;20 W/m2)]],4,0),"")</f>
        <v>0.78333333333333333</v>
      </c>
      <c r="K1506" s="27">
        <f>IFERROR((TA[[#This Row],[Sunset Time (POA&lt;20 W/m2)]]-TA[[#This Row],[Sunrise Time (POA&gt;20 W/m2)]])*24,"")</f>
        <v>12.75</v>
      </c>
      <c r="L1506" s="2" t="s">
        <v>287</v>
      </c>
      <c r="M1506" s="33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314</v>
      </c>
      <c r="Q1506" s="2" t="s">
        <v>320</v>
      </c>
      <c r="R1506">
        <v>45</v>
      </c>
      <c r="S1506" s="2">
        <v>8</v>
      </c>
      <c r="T1506" t="s">
        <v>288</v>
      </c>
      <c r="U1506" t="s">
        <v>291</v>
      </c>
      <c r="V1506" t="s">
        <v>292</v>
      </c>
      <c r="W1506" s="32"/>
      <c r="X1506" s="32"/>
      <c r="Y1506" s="26"/>
      <c r="Z1506" s="26"/>
      <c r="AA1506" s="27">
        <f>IF(TA[[#This Row],[Work Start time on Fault]]="NA","",(TA[[#This Row],[Fault Acknowledgement Time ]]-TA[[#This Row],[Fault Time]])*24)</f>
        <v>0</v>
      </c>
      <c r="AB1506" s="27">
        <f>(TA[[#This Row],[Work Start time on Fault]]-TA[[#This Row],[Fault Time]])*24</f>
        <v>0</v>
      </c>
      <c r="AC1506" s="26">
        <f>(TA[[#This Row],[Work Completion time on fault]]-TA[[#This Row],[Fault Time]])*24</f>
        <v>0</v>
      </c>
      <c r="AD1506" s="27">
        <f>IFERROR((TA[[#This Row],[Work Completion time on fault]]-TA[[#This Row],[Fault Time]])*24,"")</f>
        <v>0</v>
      </c>
      <c r="AE1506" t="s">
        <v>319</v>
      </c>
      <c r="AF1506" t="s">
        <v>247</v>
      </c>
      <c r="AG1506" s="2"/>
      <c r="AH1506" s="35">
        <f>1-COS(RADIANS(TA[[#This Row],[Avg. Target Angle during Fault Time (Radians)]]-TA[[#This Row],[Angle of affected equipment ]]))</f>
        <v>0.11705240714107301</v>
      </c>
      <c r="AI1506" s="27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43">
        <f t="shared" si="183"/>
        <v>2026</v>
      </c>
      <c r="C1507" s="116">
        <f t="shared" si="184"/>
        <v>2025</v>
      </c>
      <c r="D1507" s="2" t="s">
        <v>155</v>
      </c>
      <c r="E1507" s="2" t="s">
        <v>155</v>
      </c>
      <c r="F1507" s="30">
        <v>45839</v>
      </c>
      <c r="G1507" s="2">
        <f>DAY(EOMONTH(TA[[#This Row],[Month Year]],0))</f>
        <v>31</v>
      </c>
      <c r="H1507" s="21">
        <v>45852</v>
      </c>
      <c r="I1507" s="32">
        <f>IFERROR(VLOOKUP(TA[[#This Row],[Date]],Raw_Data[[Date]:[Sunset Time (POA&lt;20 W/m2)]],3,0),"")</f>
        <v>0.25208333333333333</v>
      </c>
      <c r="J1507" s="32">
        <f>IFERROR(VLOOKUP(TA[[#This Row],[Date]],Raw_Data[[Date]:[Sunset Time (POA&lt;20 W/m2)]],4,0),"")</f>
        <v>0.78333333333333333</v>
      </c>
      <c r="K1507" s="27">
        <f>IFERROR((TA[[#This Row],[Sunset Time (POA&lt;20 W/m2)]]-TA[[#This Row],[Sunrise Time (POA&gt;20 W/m2)]])*24,"")</f>
        <v>12.75</v>
      </c>
      <c r="L1507" s="2" t="s">
        <v>287</v>
      </c>
      <c r="M1507" s="33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314</v>
      </c>
      <c r="Q1507" s="2" t="s">
        <v>320</v>
      </c>
      <c r="R1507">
        <v>47</v>
      </c>
      <c r="S1507" s="2">
        <v>18</v>
      </c>
      <c r="T1507" t="s">
        <v>288</v>
      </c>
      <c r="U1507" t="s">
        <v>291</v>
      </c>
      <c r="V1507" t="s">
        <v>292</v>
      </c>
      <c r="W1507" s="32"/>
      <c r="X1507" s="32"/>
      <c r="Y1507" s="26"/>
      <c r="Z1507" s="26"/>
      <c r="AA1507" s="27">
        <f>IF(TA[[#This Row],[Work Start time on Fault]]="NA","",(TA[[#This Row],[Fault Acknowledgement Time ]]-TA[[#This Row],[Fault Time]])*24)</f>
        <v>0</v>
      </c>
      <c r="AB1507" s="27">
        <f>(TA[[#This Row],[Work Start time on Fault]]-TA[[#This Row],[Fault Time]])*24</f>
        <v>0</v>
      </c>
      <c r="AC1507" s="26">
        <f>(TA[[#This Row],[Work Completion time on fault]]-TA[[#This Row],[Fault Time]])*24</f>
        <v>0</v>
      </c>
      <c r="AD1507" s="27">
        <f>IFERROR((TA[[#This Row],[Work Completion time on fault]]-TA[[#This Row],[Fault Time]])*24,"")</f>
        <v>0</v>
      </c>
      <c r="AE1507" t="s">
        <v>319</v>
      </c>
      <c r="AF1507" t="s">
        <v>247</v>
      </c>
      <c r="AG1507" s="2"/>
      <c r="AH1507" s="35">
        <f>1-COS(RADIANS(TA[[#This Row],[Avg. Target Angle during Fault Time (Radians)]]-TA[[#This Row],[Angle of affected equipment ]]))</f>
        <v>0.11705240714107301</v>
      </c>
      <c r="AI1507" s="27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43">
        <f t="shared" si="183"/>
        <v>2026</v>
      </c>
      <c r="C1508" s="116">
        <f t="shared" si="184"/>
        <v>2025</v>
      </c>
      <c r="D1508" s="2" t="s">
        <v>155</v>
      </c>
      <c r="E1508" s="2" t="s">
        <v>155</v>
      </c>
      <c r="F1508" s="30">
        <v>45839</v>
      </c>
      <c r="G1508" s="2">
        <f>DAY(EOMONTH(TA[[#This Row],[Month Year]],0))</f>
        <v>31</v>
      </c>
      <c r="H1508" s="21">
        <v>45852</v>
      </c>
      <c r="I1508" s="32">
        <f>IFERROR(VLOOKUP(TA[[#This Row],[Date]],Raw_Data[[Date]:[Sunset Time (POA&lt;20 W/m2)]],3,0),"")</f>
        <v>0.25208333333333333</v>
      </c>
      <c r="J1508" s="32">
        <f>IFERROR(VLOOKUP(TA[[#This Row],[Date]],Raw_Data[[Date]:[Sunset Time (POA&lt;20 W/m2)]],4,0),"")</f>
        <v>0.78333333333333333</v>
      </c>
      <c r="K1508" s="27">
        <f>IFERROR((TA[[#This Row],[Sunset Time (POA&lt;20 W/m2)]]-TA[[#This Row],[Sunrise Time (POA&gt;20 W/m2)]])*24,"")</f>
        <v>12.75</v>
      </c>
      <c r="L1508" s="2" t="s">
        <v>287</v>
      </c>
      <c r="M1508" s="33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321</v>
      </c>
      <c r="Q1508" s="2" t="s">
        <v>314</v>
      </c>
      <c r="R1508">
        <v>30</v>
      </c>
      <c r="S1508" s="2">
        <v>57</v>
      </c>
      <c r="T1508" t="s">
        <v>288</v>
      </c>
      <c r="U1508" t="s">
        <v>291</v>
      </c>
      <c r="V1508" t="s">
        <v>292</v>
      </c>
      <c r="W1508" s="32"/>
      <c r="X1508" s="32"/>
      <c r="Y1508" s="26"/>
      <c r="Z1508" s="26"/>
      <c r="AA1508" s="27">
        <f>IF(TA[[#This Row],[Work Start time on Fault]]="NA","",(TA[[#This Row],[Fault Acknowledgement Time ]]-TA[[#This Row],[Fault Time]])*24)</f>
        <v>0</v>
      </c>
      <c r="AB1508" s="27">
        <f>(TA[[#This Row],[Work Start time on Fault]]-TA[[#This Row],[Fault Time]])*24</f>
        <v>0</v>
      </c>
      <c r="AC1508" s="26">
        <f>(TA[[#This Row],[Work Completion time on fault]]-TA[[#This Row],[Fault Time]])*24</f>
        <v>0</v>
      </c>
      <c r="AD1508" s="27">
        <f>IFERROR((TA[[#This Row],[Work Completion time on fault]]-TA[[#This Row],[Fault Time]])*24,"")</f>
        <v>0</v>
      </c>
      <c r="AE1508" t="s">
        <v>319</v>
      </c>
      <c r="AF1508" t="s">
        <v>247</v>
      </c>
      <c r="AG1508" s="2"/>
      <c r="AH1508" s="35">
        <f>1-COS(RADIANS(TA[[#This Row],[Avg. Target Angle during Fault Time (Radians)]]-TA[[#This Row],[Angle of affected equipment ]]))</f>
        <v>0.11705240714107301</v>
      </c>
      <c r="AI1508" s="27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43">
        <f t="shared" si="183"/>
        <v>2026</v>
      </c>
      <c r="C1509" s="116">
        <f t="shared" si="184"/>
        <v>2025</v>
      </c>
      <c r="D1509" s="2" t="s">
        <v>155</v>
      </c>
      <c r="E1509" s="2" t="s">
        <v>155</v>
      </c>
      <c r="F1509" s="30">
        <v>45839</v>
      </c>
      <c r="G1509" s="2">
        <f>DAY(EOMONTH(TA[[#This Row],[Month Year]],0))</f>
        <v>31</v>
      </c>
      <c r="H1509" s="21">
        <v>45852</v>
      </c>
      <c r="I1509" s="32">
        <f>IFERROR(VLOOKUP(TA[[#This Row],[Date]],Raw_Data[[Date]:[Sunset Time (POA&lt;20 W/m2)]],3,0),"")</f>
        <v>0.25208333333333333</v>
      </c>
      <c r="J1509" s="32">
        <f>IFERROR(VLOOKUP(TA[[#This Row],[Date]],Raw_Data[[Date]:[Sunset Time (POA&lt;20 W/m2)]],4,0),"")</f>
        <v>0.78333333333333333</v>
      </c>
      <c r="K1509" s="27">
        <f>IFERROR((TA[[#This Row],[Sunset Time (POA&lt;20 W/m2)]]-TA[[#This Row],[Sunrise Time (POA&gt;20 W/m2)]])*24,"")</f>
        <v>12.75</v>
      </c>
      <c r="L1509" s="2" t="s">
        <v>287</v>
      </c>
      <c r="M1509" s="33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321</v>
      </c>
      <c r="Q1509" s="2" t="s">
        <v>314</v>
      </c>
      <c r="R1509">
        <v>31</v>
      </c>
      <c r="S1509" s="2">
        <v>61</v>
      </c>
      <c r="T1509" t="s">
        <v>288</v>
      </c>
      <c r="U1509" t="s">
        <v>291</v>
      </c>
      <c r="V1509" t="s">
        <v>292</v>
      </c>
      <c r="W1509" s="32"/>
      <c r="X1509" s="32"/>
      <c r="Y1509" s="26"/>
      <c r="Z1509" s="26"/>
      <c r="AA1509" s="27">
        <f>IF(TA[[#This Row],[Work Start time on Fault]]="NA","",(TA[[#This Row],[Fault Acknowledgement Time ]]-TA[[#This Row],[Fault Time]])*24)</f>
        <v>0</v>
      </c>
      <c r="AB1509" s="27">
        <f>(TA[[#This Row],[Work Start time on Fault]]-TA[[#This Row],[Fault Time]])*24</f>
        <v>0</v>
      </c>
      <c r="AC1509" s="26">
        <f>(TA[[#This Row],[Work Completion time on fault]]-TA[[#This Row],[Fault Time]])*24</f>
        <v>0</v>
      </c>
      <c r="AD1509" s="27">
        <f>IFERROR((TA[[#This Row],[Work Completion time on fault]]-TA[[#This Row],[Fault Time]])*24,"")</f>
        <v>0</v>
      </c>
      <c r="AE1509" t="s">
        <v>319</v>
      </c>
      <c r="AF1509" t="s">
        <v>247</v>
      </c>
      <c r="AG1509" s="2"/>
      <c r="AH1509" s="35">
        <f>1-COS(RADIANS(TA[[#This Row],[Avg. Target Angle during Fault Time (Radians)]]-TA[[#This Row],[Angle of affected equipment ]]))</f>
        <v>0.11705240714107301</v>
      </c>
      <c r="AI1509" s="27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43">
        <f t="shared" si="183"/>
        <v>2026</v>
      </c>
      <c r="C1510" s="116">
        <f t="shared" si="184"/>
        <v>2025</v>
      </c>
      <c r="D1510" s="2" t="s">
        <v>155</v>
      </c>
      <c r="E1510" s="2" t="s">
        <v>155</v>
      </c>
      <c r="F1510" s="30">
        <v>45839</v>
      </c>
      <c r="G1510" s="2">
        <f>DAY(EOMONTH(TA[[#This Row],[Month Year]],0))</f>
        <v>31</v>
      </c>
      <c r="H1510" s="21">
        <v>45852</v>
      </c>
      <c r="I1510" s="32">
        <f>IFERROR(VLOOKUP(TA[[#This Row],[Date]],Raw_Data[[Date]:[Sunset Time (POA&lt;20 W/m2)]],3,0),"")</f>
        <v>0.25208333333333333</v>
      </c>
      <c r="J1510" s="32">
        <f>IFERROR(VLOOKUP(TA[[#This Row],[Date]],Raw_Data[[Date]:[Sunset Time (POA&lt;20 W/m2)]],4,0),"")</f>
        <v>0.78333333333333333</v>
      </c>
      <c r="K1510" s="27">
        <f>IFERROR((TA[[#This Row],[Sunset Time (POA&lt;20 W/m2)]]-TA[[#This Row],[Sunrise Time (POA&gt;20 W/m2)]])*24,"")</f>
        <v>12.75</v>
      </c>
      <c r="L1510" s="2" t="s">
        <v>303</v>
      </c>
      <c r="M1510" s="33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321</v>
      </c>
      <c r="Q1510" s="2" t="s">
        <v>314</v>
      </c>
      <c r="R1510">
        <v>26</v>
      </c>
      <c r="S1510" s="2">
        <v>37</v>
      </c>
      <c r="T1510" t="s">
        <v>288</v>
      </c>
      <c r="U1510" t="s">
        <v>291</v>
      </c>
      <c r="V1510" t="s">
        <v>292</v>
      </c>
      <c r="W1510" s="32"/>
      <c r="X1510" s="32"/>
      <c r="Y1510" s="26"/>
      <c r="Z1510" s="26"/>
      <c r="AA1510" s="27">
        <f>IF(TA[[#This Row],[Work Start time on Fault]]="NA","",(TA[[#This Row],[Fault Acknowledgement Time ]]-TA[[#This Row],[Fault Time]])*24)</f>
        <v>0</v>
      </c>
      <c r="AB1510" s="27">
        <f>(TA[[#This Row],[Work Start time on Fault]]-TA[[#This Row],[Fault Time]])*24</f>
        <v>0</v>
      </c>
      <c r="AC1510" s="26">
        <f>(TA[[#This Row],[Work Completion time on fault]]-TA[[#This Row],[Fault Time]])*24</f>
        <v>0</v>
      </c>
      <c r="AD1510" s="27">
        <f>IFERROR((TA[[#This Row],[Work Completion time on fault]]-TA[[#This Row],[Fault Time]])*24,"")</f>
        <v>0</v>
      </c>
      <c r="AE1510" t="s">
        <v>319</v>
      </c>
      <c r="AF1510" t="s">
        <v>247</v>
      </c>
      <c r="AG1510" s="2"/>
      <c r="AH1510" s="35">
        <f>1-COS(RADIANS(TA[[#This Row],[Avg. Target Angle during Fault Time (Radians)]]-TA[[#This Row],[Angle of affected equipment ]]))</f>
        <v>0.11705240714107301</v>
      </c>
      <c r="AI1510" s="27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43">
        <f t="shared" si="183"/>
        <v>2026</v>
      </c>
      <c r="C1511" s="116">
        <f t="shared" si="184"/>
        <v>2025</v>
      </c>
      <c r="D1511" s="2" t="s">
        <v>155</v>
      </c>
      <c r="E1511" s="2" t="s">
        <v>155</v>
      </c>
      <c r="F1511" s="30">
        <v>45839</v>
      </c>
      <c r="G1511" s="2">
        <f>DAY(EOMONTH(TA[[#This Row],[Month Year]],0))</f>
        <v>31</v>
      </c>
      <c r="H1511" s="21">
        <v>45852</v>
      </c>
      <c r="I1511" s="32">
        <f>IFERROR(VLOOKUP(TA[[#This Row],[Date]],Raw_Data[[Date]:[Sunset Time (POA&lt;20 W/m2)]],3,0),"")</f>
        <v>0.25208333333333333</v>
      </c>
      <c r="J1511" s="32">
        <f>IFERROR(VLOOKUP(TA[[#This Row],[Date]],Raw_Data[[Date]:[Sunset Time (POA&lt;20 W/m2)]],4,0),"")</f>
        <v>0.78333333333333333</v>
      </c>
      <c r="K1511" s="27">
        <f>IFERROR((TA[[#This Row],[Sunset Time (POA&lt;20 W/m2)]]-TA[[#This Row],[Sunrise Time (POA&gt;20 W/m2)]])*24,"")</f>
        <v>12.75</v>
      </c>
      <c r="L1511" s="2" t="s">
        <v>303</v>
      </c>
      <c r="M1511" s="33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321</v>
      </c>
      <c r="Q1511" s="2" t="s">
        <v>314</v>
      </c>
      <c r="R1511">
        <v>27</v>
      </c>
      <c r="S1511" s="2">
        <v>42</v>
      </c>
      <c r="T1511" t="s">
        <v>288</v>
      </c>
      <c r="U1511" t="s">
        <v>291</v>
      </c>
      <c r="V1511" t="s">
        <v>292</v>
      </c>
      <c r="W1511" s="32">
        <f>IFERROR(VLOOKUP(TA[[#This Row],[Date]],Raw_Data[[Date]:[Sunset Time (POA&lt;20 W/m2)]],3,0),"")</f>
        <v>0.25208333333333333</v>
      </c>
      <c r="X1511" s="32">
        <f>IFERROR(VLOOKUP(TA[[#This Row],[Date]],Raw_Data[[Date]:[Sunset Time (POA&lt;20 W/m2)]],3,0),"")</f>
        <v>0.25208333333333333</v>
      </c>
      <c r="Y1511" s="26"/>
      <c r="Z1511" s="26">
        <v>0.76041666666666663</v>
      </c>
      <c r="AA1511" s="27">
        <f>IF(TA[[#This Row],[Work Start time on Fault]]="NA","",(TA[[#This Row],[Fault Acknowledgement Time ]]-TA[[#This Row],[Fault Time]])*24)</f>
        <v>0</v>
      </c>
      <c r="AB1511" s="27">
        <f>(TA[[#This Row],[Work Start time on Fault]]-TA[[#This Row],[Fault Time]])*24</f>
        <v>-6.05</v>
      </c>
      <c r="AC1511" s="26">
        <f>(TA[[#This Row],[Work Completion time on fault]]-TA[[#This Row],[Fault Time]])*24</f>
        <v>12.2</v>
      </c>
      <c r="AD1511" s="27">
        <f>IFERROR((TA[[#This Row],[Work Completion time on fault]]-TA[[#This Row],[Fault Time]])*24,"")</f>
        <v>12.2</v>
      </c>
      <c r="AE1511" t="s">
        <v>300</v>
      </c>
      <c r="AF1511" t="s">
        <v>247</v>
      </c>
      <c r="AG1511" s="2"/>
      <c r="AH1511" s="35">
        <f>1-COS(RADIANS(TA[[#This Row],[Avg. Target Angle during Fault Time (Radians)]]-TA[[#This Row],[Angle of affected equipment ]]))</f>
        <v>0.11705240714107301</v>
      </c>
      <c r="AI1511" s="27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43">
        <f t="shared" ref="B1512:B1524" si="185">YEAR(H1512)+IF(MONTH(H1512)&gt;=4,1,0)</f>
        <v>2026</v>
      </c>
      <c r="C1512" s="116">
        <f t="shared" ref="C1512:C1524" si="186">YEAR(H1512)</f>
        <v>2025</v>
      </c>
      <c r="D1512" s="2" t="s">
        <v>155</v>
      </c>
      <c r="E1512" s="2" t="s">
        <v>155</v>
      </c>
      <c r="F1512" s="30">
        <v>45839</v>
      </c>
      <c r="G1512" s="2">
        <f>DAY(EOMONTH(TA[[#This Row],[Month Year]],0))</f>
        <v>31</v>
      </c>
      <c r="H1512" s="21">
        <v>45853</v>
      </c>
      <c r="I1512" s="32">
        <f>IFERROR(VLOOKUP(TA[[#This Row],[Date]],Raw_Data[[Date]:[Sunset Time (POA&lt;20 W/m2)]],3,0),"")</f>
        <v>0.25763888888888886</v>
      </c>
      <c r="J1512" s="32">
        <f>IFERROR(VLOOKUP(TA[[#This Row],[Date]],Raw_Data[[Date]:[Sunset Time (POA&lt;20 W/m2)]],4,0),"")</f>
        <v>0.78680555555555554</v>
      </c>
      <c r="K1512" s="27">
        <f>IFERROR((TA[[#This Row],[Sunset Time (POA&lt;20 W/m2)]]-TA[[#This Row],[Sunrise Time (POA&gt;20 W/m2)]])*24,"")</f>
        <v>12.7</v>
      </c>
      <c r="L1512" s="2" t="s">
        <v>285</v>
      </c>
      <c r="M1512" s="33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14" t="s">
        <v>309</v>
      </c>
      <c r="Q1512" s="113" t="s">
        <v>309</v>
      </c>
      <c r="R1512">
        <v>131</v>
      </c>
      <c r="S1512" s="2">
        <v>38</v>
      </c>
      <c r="T1512" t="s">
        <v>286</v>
      </c>
      <c r="U1512" t="s">
        <v>291</v>
      </c>
      <c r="V1512" t="s">
        <v>289</v>
      </c>
      <c r="W1512" s="32"/>
      <c r="X1512" s="32"/>
      <c r="Y1512" s="26"/>
      <c r="Z1512" s="26"/>
      <c r="AA1512" s="27">
        <f>IF(TA[[#This Row],[Work Start time on Fault]]="NA","",(TA[[#This Row],[Fault Acknowledgement Time ]]-TA[[#This Row],[Fault Time]])*24)</f>
        <v>0</v>
      </c>
      <c r="AB1512" s="27">
        <f>(TA[[#This Row],[Work Start time on Fault]]-TA[[#This Row],[Fault Time]])*24</f>
        <v>0</v>
      </c>
      <c r="AC1512" s="26">
        <f>(TA[[#This Row],[Work Completion time on fault]]-TA[[#This Row],[Fault Time]])*24</f>
        <v>0</v>
      </c>
      <c r="AD1512" s="27">
        <f>IFERROR((TA[[#This Row],[Work Completion time on fault]]-TA[[#This Row],[Fault Time]])*24,"")</f>
        <v>0</v>
      </c>
      <c r="AE1512" t="s">
        <v>319</v>
      </c>
      <c r="AF1512" t="s">
        <v>247</v>
      </c>
      <c r="AG1512" s="2"/>
      <c r="AH1512" s="35">
        <f>1-COS(RADIANS(TA[[#This Row],[Avg. Target Angle during Fault Time (Radians)]]-TA[[#This Row],[Angle of affected equipment ]]))</f>
        <v>0.11705240714107301</v>
      </c>
      <c r="AI1512" s="27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43">
        <f t="shared" si="185"/>
        <v>2026</v>
      </c>
      <c r="C1513" s="116">
        <f t="shared" si="186"/>
        <v>2025</v>
      </c>
      <c r="D1513" s="2" t="s">
        <v>155</v>
      </c>
      <c r="E1513" s="2" t="s">
        <v>155</v>
      </c>
      <c r="F1513" s="30">
        <v>45839</v>
      </c>
      <c r="G1513" s="2">
        <f>DAY(EOMONTH(TA[[#This Row],[Month Year]],0))</f>
        <v>31</v>
      </c>
      <c r="H1513" s="21">
        <v>45853</v>
      </c>
      <c r="I1513" s="32">
        <f>IFERROR(VLOOKUP(TA[[#This Row],[Date]],Raw_Data[[Date]:[Sunset Time (POA&lt;20 W/m2)]],3,0),"")</f>
        <v>0.25763888888888886</v>
      </c>
      <c r="J1513" s="32">
        <f>IFERROR(VLOOKUP(TA[[#This Row],[Date]],Raw_Data[[Date]:[Sunset Time (POA&lt;20 W/m2)]],4,0),"")</f>
        <v>0.78680555555555554</v>
      </c>
      <c r="K1513" s="27">
        <f>IFERROR((TA[[#This Row],[Sunset Time (POA&lt;20 W/m2)]]-TA[[#This Row],[Sunrise Time (POA&gt;20 W/m2)]])*24,"")</f>
        <v>12.7</v>
      </c>
      <c r="L1513" s="2" t="s">
        <v>285</v>
      </c>
      <c r="M1513" s="33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14" t="s">
        <v>309</v>
      </c>
      <c r="Q1513" s="113" t="s">
        <v>309</v>
      </c>
      <c r="R1513">
        <v>131</v>
      </c>
      <c r="S1513" s="2">
        <v>39</v>
      </c>
      <c r="T1513" t="s">
        <v>286</v>
      </c>
      <c r="U1513" t="s">
        <v>291</v>
      </c>
      <c r="V1513" t="s">
        <v>289</v>
      </c>
      <c r="W1513" s="32"/>
      <c r="X1513" s="32"/>
      <c r="Y1513" s="26"/>
      <c r="Z1513" s="26"/>
      <c r="AA1513" s="27">
        <f>IF(TA[[#This Row],[Work Start time on Fault]]="NA","",(TA[[#This Row],[Fault Acknowledgement Time ]]-TA[[#This Row],[Fault Time]])*24)</f>
        <v>0</v>
      </c>
      <c r="AB1513" s="27">
        <f>(TA[[#This Row],[Work Start time on Fault]]-TA[[#This Row],[Fault Time]])*24</f>
        <v>0</v>
      </c>
      <c r="AC1513" s="26">
        <f>(TA[[#This Row],[Work Completion time on fault]]-TA[[#This Row],[Fault Time]])*24</f>
        <v>0</v>
      </c>
      <c r="AD1513" s="27">
        <f>IFERROR((TA[[#This Row],[Work Completion time on fault]]-TA[[#This Row],[Fault Time]])*24,"")</f>
        <v>0</v>
      </c>
      <c r="AE1513" t="s">
        <v>319</v>
      </c>
      <c r="AF1513" t="s">
        <v>247</v>
      </c>
      <c r="AG1513" s="2"/>
      <c r="AH1513" s="35">
        <f>1-COS(RADIANS(TA[[#This Row],[Avg. Target Angle during Fault Time (Radians)]]-TA[[#This Row],[Angle of affected equipment ]]))</f>
        <v>0.11705240714107301</v>
      </c>
      <c r="AI1513" s="27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43">
        <f t="shared" si="185"/>
        <v>2026</v>
      </c>
      <c r="C1514" s="116">
        <f t="shared" si="186"/>
        <v>2025</v>
      </c>
      <c r="D1514" s="2" t="s">
        <v>155</v>
      </c>
      <c r="E1514" s="2" t="s">
        <v>155</v>
      </c>
      <c r="F1514" s="30">
        <v>45839</v>
      </c>
      <c r="G1514" s="2">
        <f>DAY(EOMONTH(TA[[#This Row],[Month Year]],0))</f>
        <v>31</v>
      </c>
      <c r="H1514" s="21">
        <v>45853</v>
      </c>
      <c r="I1514" s="32">
        <f>IFERROR(VLOOKUP(TA[[#This Row],[Date]],Raw_Data[[Date]:[Sunset Time (POA&lt;20 W/m2)]],3,0),"")</f>
        <v>0.25763888888888886</v>
      </c>
      <c r="J1514" s="32">
        <f>IFERROR(VLOOKUP(TA[[#This Row],[Date]],Raw_Data[[Date]:[Sunset Time (POA&lt;20 W/m2)]],4,0),"")</f>
        <v>0.78680555555555554</v>
      </c>
      <c r="K1514" s="27">
        <f>IFERROR((TA[[#This Row],[Sunset Time (POA&lt;20 W/m2)]]-TA[[#This Row],[Sunrise Time (POA&gt;20 W/m2)]])*24,"")</f>
        <v>12.7</v>
      </c>
      <c r="L1514" s="2" t="s">
        <v>287</v>
      </c>
      <c r="M1514" s="33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14" t="s">
        <v>309</v>
      </c>
      <c r="Q1514" s="2" t="s">
        <v>312</v>
      </c>
      <c r="R1514">
        <v>133</v>
      </c>
      <c r="S1514" s="2">
        <v>26</v>
      </c>
      <c r="T1514" t="s">
        <v>288</v>
      </c>
      <c r="U1514" t="s">
        <v>291</v>
      </c>
      <c r="V1514" t="s">
        <v>305</v>
      </c>
      <c r="W1514" s="32">
        <f>IFERROR(VLOOKUP(TA[[#This Row],[Date]],Raw_Data[[Date]:[Sunset Time (POA&lt;20 W/m2)]],3,0),"")</f>
        <v>0.25763888888888886</v>
      </c>
      <c r="X1514" s="32">
        <f>IFERROR(VLOOKUP(TA[[#This Row],[Date]],Raw_Data[[Date]:[Sunset Time (POA&lt;20 W/m2)]],3,0),"")</f>
        <v>0.25763888888888886</v>
      </c>
      <c r="Y1514" s="26"/>
      <c r="Z1514" s="26">
        <v>0.76041666666666663</v>
      </c>
      <c r="AA1514" s="27">
        <f>IF(TA[[#This Row],[Work Start time on Fault]]="NA","",(TA[[#This Row],[Fault Acknowledgement Time ]]-TA[[#This Row],[Fault Time]])*24)</f>
        <v>0</v>
      </c>
      <c r="AB1514" s="27">
        <f>(TA[[#This Row],[Work Start time on Fault]]-TA[[#This Row],[Fault Time]])*24</f>
        <v>-6.1833333333333327</v>
      </c>
      <c r="AC1514" s="26">
        <f>(TA[[#This Row],[Work Completion time on fault]]-TA[[#This Row],[Fault Time]])*24</f>
        <v>12.066666666666666</v>
      </c>
      <c r="AD1514" s="27">
        <f>IFERROR((TA[[#This Row],[Work Completion time on fault]]-TA[[#This Row],[Fault Time]])*24,"")</f>
        <v>12.066666666666666</v>
      </c>
      <c r="AE1514" t="s">
        <v>319</v>
      </c>
      <c r="AF1514" t="s">
        <v>247</v>
      </c>
      <c r="AG1514" s="2"/>
      <c r="AH1514" s="35">
        <f>1-COS(RADIANS(TA[[#This Row],[Avg. Target Angle during Fault Time (Radians)]]-TA[[#This Row],[Angle of affected equipment ]]))</f>
        <v>0.11705240714107301</v>
      </c>
      <c r="AI1514" s="27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43">
        <f t="shared" si="185"/>
        <v>2026</v>
      </c>
      <c r="C1515" s="116">
        <f t="shared" si="186"/>
        <v>2025</v>
      </c>
      <c r="D1515" s="2" t="s">
        <v>155</v>
      </c>
      <c r="E1515" s="2" t="s">
        <v>155</v>
      </c>
      <c r="F1515" s="30">
        <v>45839</v>
      </c>
      <c r="G1515" s="2">
        <f>DAY(EOMONTH(TA[[#This Row],[Month Year]],0))</f>
        <v>31</v>
      </c>
      <c r="H1515" s="21">
        <v>45853</v>
      </c>
      <c r="I1515" s="32">
        <f>IFERROR(VLOOKUP(TA[[#This Row],[Date]],Raw_Data[[Date]:[Sunset Time (POA&lt;20 W/m2)]],3,0),"")</f>
        <v>0.25763888888888886</v>
      </c>
      <c r="J1515" s="32">
        <f>IFERROR(VLOOKUP(TA[[#This Row],[Date]],Raw_Data[[Date]:[Sunset Time (POA&lt;20 W/m2)]],4,0),"")</f>
        <v>0.78680555555555554</v>
      </c>
      <c r="K1515" s="27">
        <f>IFERROR((TA[[#This Row],[Sunset Time (POA&lt;20 W/m2)]]-TA[[#This Row],[Sunrise Time (POA&gt;20 W/m2)]])*24,"")</f>
        <v>12.7</v>
      </c>
      <c r="L1515" s="2" t="s">
        <v>285</v>
      </c>
      <c r="M1515" s="33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14" t="s">
        <v>307</v>
      </c>
      <c r="Q1515" s="113" t="s">
        <v>308</v>
      </c>
      <c r="R1515">
        <v>7</v>
      </c>
      <c r="S1515" s="2">
        <v>32</v>
      </c>
      <c r="T1515" t="s">
        <v>286</v>
      </c>
      <c r="U1515" t="s">
        <v>291</v>
      </c>
      <c r="V1515" t="s">
        <v>289</v>
      </c>
      <c r="W1515" s="32"/>
      <c r="X1515" s="32"/>
      <c r="Y1515" s="26"/>
      <c r="Z1515" s="26"/>
      <c r="AA1515" s="27">
        <f>IF(TA[[#This Row],[Work Start time on Fault]]="NA","",(TA[[#This Row],[Fault Acknowledgement Time ]]-TA[[#This Row],[Fault Time]])*24)</f>
        <v>0</v>
      </c>
      <c r="AB1515" s="27">
        <f>(TA[[#This Row],[Work Start time on Fault]]-TA[[#This Row],[Fault Time]])*24</f>
        <v>0</v>
      </c>
      <c r="AC1515" s="26">
        <f>(TA[[#This Row],[Work Completion time on fault]]-TA[[#This Row],[Fault Time]])*24</f>
        <v>0</v>
      </c>
      <c r="AD1515" s="27">
        <f>IFERROR((TA[[#This Row],[Work Completion time on fault]]-TA[[#This Row],[Fault Time]])*24,"")</f>
        <v>0</v>
      </c>
      <c r="AE1515" t="s">
        <v>319</v>
      </c>
      <c r="AF1515" t="s">
        <v>247</v>
      </c>
      <c r="AG1515" s="2"/>
      <c r="AH1515" s="35">
        <f>1-COS(RADIANS(TA[[#This Row],[Avg. Target Angle during Fault Time (Radians)]]-TA[[#This Row],[Angle of affected equipment ]]))</f>
        <v>0.11705240714107301</v>
      </c>
      <c r="AI1515" s="27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43">
        <f t="shared" si="185"/>
        <v>2026</v>
      </c>
      <c r="C1516" s="116">
        <f t="shared" si="186"/>
        <v>2025</v>
      </c>
      <c r="D1516" s="2" t="s">
        <v>155</v>
      </c>
      <c r="E1516" s="2" t="s">
        <v>155</v>
      </c>
      <c r="F1516" s="30">
        <v>45839</v>
      </c>
      <c r="G1516" s="2">
        <f>DAY(EOMONTH(TA[[#This Row],[Month Year]],0))</f>
        <v>31</v>
      </c>
      <c r="H1516" s="21">
        <v>45853</v>
      </c>
      <c r="I1516" s="32">
        <f>IFERROR(VLOOKUP(TA[[#This Row],[Date]],Raw_Data[[Date]:[Sunset Time (POA&lt;20 W/m2)]],3,0),"")</f>
        <v>0.25763888888888886</v>
      </c>
      <c r="J1516" s="32">
        <f>IFERROR(VLOOKUP(TA[[#This Row],[Date]],Raw_Data[[Date]:[Sunset Time (POA&lt;20 W/m2)]],4,0),"")</f>
        <v>0.78680555555555554</v>
      </c>
      <c r="K1516" s="27">
        <f>IFERROR((TA[[#This Row],[Sunset Time (POA&lt;20 W/m2)]]-TA[[#This Row],[Sunrise Time (POA&gt;20 W/m2)]])*24,"")</f>
        <v>12.7</v>
      </c>
      <c r="L1516" s="2" t="s">
        <v>285</v>
      </c>
      <c r="M1516" s="33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14" t="s">
        <v>306</v>
      </c>
      <c r="Q1516" s="113" t="s">
        <v>310</v>
      </c>
      <c r="R1516">
        <v>166</v>
      </c>
      <c r="S1516" s="2">
        <v>91</v>
      </c>
      <c r="T1516" t="s">
        <v>286</v>
      </c>
      <c r="U1516" t="s">
        <v>291</v>
      </c>
      <c r="V1516" t="s">
        <v>289</v>
      </c>
      <c r="W1516" s="32"/>
      <c r="X1516" s="32"/>
      <c r="Y1516" s="26"/>
      <c r="Z1516" s="26"/>
      <c r="AA1516" s="27">
        <f>IF(TA[[#This Row],[Work Start time on Fault]]="NA","",(TA[[#This Row],[Fault Acknowledgement Time ]]-TA[[#This Row],[Fault Time]])*24)</f>
        <v>0</v>
      </c>
      <c r="AB1516" s="27">
        <f>(TA[[#This Row],[Work Start time on Fault]]-TA[[#This Row],[Fault Time]])*24</f>
        <v>0</v>
      </c>
      <c r="AC1516" s="26">
        <f>(TA[[#This Row],[Work Completion time on fault]]-TA[[#This Row],[Fault Time]])*24</f>
        <v>0</v>
      </c>
      <c r="AD1516" s="27">
        <f>IFERROR((TA[[#This Row],[Work Completion time on fault]]-TA[[#This Row],[Fault Time]])*24,"")</f>
        <v>0</v>
      </c>
      <c r="AE1516" t="s">
        <v>319</v>
      </c>
      <c r="AF1516" t="s">
        <v>247</v>
      </c>
      <c r="AG1516" s="2"/>
      <c r="AH1516" s="35">
        <f>1-COS(RADIANS(TA[[#This Row],[Avg. Target Angle during Fault Time (Radians)]]-TA[[#This Row],[Angle of affected equipment ]]))</f>
        <v>0.11705240714107301</v>
      </c>
      <c r="AI1516" s="27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43">
        <f t="shared" si="185"/>
        <v>2026</v>
      </c>
      <c r="C1517" s="116">
        <f t="shared" si="186"/>
        <v>2025</v>
      </c>
      <c r="D1517" s="2" t="s">
        <v>155</v>
      </c>
      <c r="E1517" s="2" t="s">
        <v>155</v>
      </c>
      <c r="F1517" s="30">
        <v>45839</v>
      </c>
      <c r="G1517" s="2">
        <f>DAY(EOMONTH(TA[[#This Row],[Month Year]],0))</f>
        <v>31</v>
      </c>
      <c r="H1517" s="21">
        <v>45853</v>
      </c>
      <c r="I1517" s="32">
        <f>IFERROR(VLOOKUP(TA[[#This Row],[Date]],Raw_Data[[Date]:[Sunset Time (POA&lt;20 W/m2)]],3,0),"")</f>
        <v>0.25763888888888886</v>
      </c>
      <c r="J1517" s="32">
        <f>IFERROR(VLOOKUP(TA[[#This Row],[Date]],Raw_Data[[Date]:[Sunset Time (POA&lt;20 W/m2)]],4,0),"")</f>
        <v>0.78680555555555554</v>
      </c>
      <c r="K1517" s="27">
        <f>IFERROR((TA[[#This Row],[Sunset Time (POA&lt;20 W/m2)]]-TA[[#This Row],[Sunrise Time (POA&gt;20 W/m2)]])*24,"")</f>
        <v>12.7</v>
      </c>
      <c r="L1517" s="2" t="s">
        <v>285</v>
      </c>
      <c r="M1517" s="33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14" t="s">
        <v>307</v>
      </c>
      <c r="Q1517" s="113" t="s">
        <v>307</v>
      </c>
      <c r="R1517">
        <v>117</v>
      </c>
      <c r="S1517" s="2">
        <v>20</v>
      </c>
      <c r="T1517" t="s">
        <v>286</v>
      </c>
      <c r="U1517" t="s">
        <v>291</v>
      </c>
      <c r="V1517" t="s">
        <v>289</v>
      </c>
      <c r="W1517" s="32"/>
      <c r="X1517" s="32"/>
      <c r="Y1517" s="26"/>
      <c r="Z1517" s="26"/>
      <c r="AA1517" s="27">
        <f>IF(TA[[#This Row],[Work Start time on Fault]]="NA","",(TA[[#This Row],[Fault Acknowledgement Time ]]-TA[[#This Row],[Fault Time]])*24)</f>
        <v>0</v>
      </c>
      <c r="AB1517" s="27">
        <f>(TA[[#This Row],[Work Start time on Fault]]-TA[[#This Row],[Fault Time]])*24</f>
        <v>0</v>
      </c>
      <c r="AC1517" s="26">
        <f>(TA[[#This Row],[Work Completion time on fault]]-TA[[#This Row],[Fault Time]])*24</f>
        <v>0</v>
      </c>
      <c r="AD1517" s="27">
        <f>IFERROR((TA[[#This Row],[Work Completion time on fault]]-TA[[#This Row],[Fault Time]])*24,"")</f>
        <v>0</v>
      </c>
      <c r="AE1517" t="s">
        <v>319</v>
      </c>
      <c r="AF1517" t="s">
        <v>247</v>
      </c>
      <c r="AG1517" s="2"/>
      <c r="AH1517" s="35">
        <f>1-COS(RADIANS(TA[[#This Row],[Avg. Target Angle during Fault Time (Radians)]]-TA[[#This Row],[Angle of affected equipment ]]))</f>
        <v>0.11705240714107301</v>
      </c>
      <c r="AI1517" s="27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43">
        <f t="shared" si="185"/>
        <v>2026</v>
      </c>
      <c r="C1518" s="116">
        <f t="shared" si="186"/>
        <v>2025</v>
      </c>
      <c r="D1518" s="2" t="s">
        <v>155</v>
      </c>
      <c r="E1518" s="2" t="s">
        <v>155</v>
      </c>
      <c r="F1518" s="30">
        <v>45839</v>
      </c>
      <c r="G1518" s="2">
        <f>DAY(EOMONTH(TA[[#This Row],[Month Year]],0))</f>
        <v>31</v>
      </c>
      <c r="H1518" s="21">
        <v>45853</v>
      </c>
      <c r="I1518" s="32">
        <f>IFERROR(VLOOKUP(TA[[#This Row],[Date]],Raw_Data[[Date]:[Sunset Time (POA&lt;20 W/m2)]],3,0),"")</f>
        <v>0.25763888888888886</v>
      </c>
      <c r="J1518" s="32">
        <f>IFERROR(VLOOKUP(TA[[#This Row],[Date]],Raw_Data[[Date]:[Sunset Time (POA&lt;20 W/m2)]],4,0),"")</f>
        <v>0.78680555555555554</v>
      </c>
      <c r="K1518" s="27">
        <f>IFERROR((TA[[#This Row],[Sunset Time (POA&lt;20 W/m2)]]-TA[[#This Row],[Sunrise Time (POA&gt;20 W/m2)]])*24,"")</f>
        <v>12.7</v>
      </c>
      <c r="L1518" s="2" t="s">
        <v>285</v>
      </c>
      <c r="M1518" s="33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14" t="s">
        <v>307</v>
      </c>
      <c r="Q1518" s="113" t="s">
        <v>307</v>
      </c>
      <c r="R1518">
        <v>118</v>
      </c>
      <c r="S1518" s="2">
        <v>22</v>
      </c>
      <c r="T1518" t="s">
        <v>286</v>
      </c>
      <c r="U1518" t="s">
        <v>291</v>
      </c>
      <c r="V1518" t="s">
        <v>289</v>
      </c>
      <c r="W1518" s="32"/>
      <c r="X1518" s="32"/>
      <c r="Y1518" s="26"/>
      <c r="Z1518" s="26"/>
      <c r="AA1518" s="27">
        <f>IF(TA[[#This Row],[Work Start time on Fault]]="NA","",(TA[[#This Row],[Fault Acknowledgement Time ]]-TA[[#This Row],[Fault Time]])*24)</f>
        <v>0</v>
      </c>
      <c r="AB1518" s="27">
        <f>(TA[[#This Row],[Work Start time on Fault]]-TA[[#This Row],[Fault Time]])*24</f>
        <v>0</v>
      </c>
      <c r="AC1518" s="26">
        <f>(TA[[#This Row],[Work Completion time on fault]]-TA[[#This Row],[Fault Time]])*24</f>
        <v>0</v>
      </c>
      <c r="AD1518" s="27">
        <f>IFERROR((TA[[#This Row],[Work Completion time on fault]]-TA[[#This Row],[Fault Time]])*24,"")</f>
        <v>0</v>
      </c>
      <c r="AE1518" t="s">
        <v>319</v>
      </c>
      <c r="AF1518" t="s">
        <v>247</v>
      </c>
      <c r="AG1518" s="2"/>
      <c r="AH1518" s="35">
        <f>1-COS(RADIANS(TA[[#This Row],[Avg. Target Angle during Fault Time (Radians)]]-TA[[#This Row],[Angle of affected equipment ]]))</f>
        <v>0.11705240714107301</v>
      </c>
      <c r="AI1518" s="27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43">
        <f t="shared" si="185"/>
        <v>2026</v>
      </c>
      <c r="C1519" s="116">
        <f t="shared" si="186"/>
        <v>2025</v>
      </c>
      <c r="D1519" s="2" t="s">
        <v>155</v>
      </c>
      <c r="E1519" s="2" t="s">
        <v>155</v>
      </c>
      <c r="F1519" s="30">
        <v>45839</v>
      </c>
      <c r="G1519" s="2">
        <f>DAY(EOMONTH(TA[[#This Row],[Month Year]],0))</f>
        <v>31</v>
      </c>
      <c r="H1519" s="21">
        <v>45853</v>
      </c>
      <c r="I1519" s="32">
        <f>IFERROR(VLOOKUP(TA[[#This Row],[Date]],Raw_Data[[Date]:[Sunset Time (POA&lt;20 W/m2)]],3,0),"")</f>
        <v>0.25763888888888886</v>
      </c>
      <c r="J1519" s="32">
        <f>IFERROR(VLOOKUP(TA[[#This Row],[Date]],Raw_Data[[Date]:[Sunset Time (POA&lt;20 W/m2)]],4,0),"")</f>
        <v>0.78680555555555554</v>
      </c>
      <c r="K1519" s="27">
        <f>IFERROR((TA[[#This Row],[Sunset Time (POA&lt;20 W/m2)]]-TA[[#This Row],[Sunrise Time (POA&gt;20 W/m2)]])*24,"")</f>
        <v>12.7</v>
      </c>
      <c r="L1519" s="2" t="s">
        <v>287</v>
      </c>
      <c r="M1519" s="33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314</v>
      </c>
      <c r="Q1519" s="2" t="s">
        <v>320</v>
      </c>
      <c r="R1519">
        <v>45</v>
      </c>
      <c r="S1519" s="2">
        <v>8</v>
      </c>
      <c r="T1519" t="s">
        <v>288</v>
      </c>
      <c r="U1519" t="s">
        <v>291</v>
      </c>
      <c r="V1519" t="s">
        <v>292</v>
      </c>
      <c r="W1519" s="32"/>
      <c r="X1519" s="32"/>
      <c r="Y1519" s="26"/>
      <c r="Z1519" s="26"/>
      <c r="AA1519" s="27">
        <f>IF(TA[[#This Row],[Work Start time on Fault]]="NA","",(TA[[#This Row],[Fault Acknowledgement Time ]]-TA[[#This Row],[Fault Time]])*24)</f>
        <v>0</v>
      </c>
      <c r="AB1519" s="27">
        <f>(TA[[#This Row],[Work Start time on Fault]]-TA[[#This Row],[Fault Time]])*24</f>
        <v>0</v>
      </c>
      <c r="AC1519" s="26">
        <f>(TA[[#This Row],[Work Completion time on fault]]-TA[[#This Row],[Fault Time]])*24</f>
        <v>0</v>
      </c>
      <c r="AD1519" s="27">
        <f>IFERROR((TA[[#This Row],[Work Completion time on fault]]-TA[[#This Row],[Fault Time]])*24,"")</f>
        <v>0</v>
      </c>
      <c r="AE1519" t="s">
        <v>319</v>
      </c>
      <c r="AF1519" t="s">
        <v>247</v>
      </c>
      <c r="AG1519" s="2"/>
      <c r="AH1519" s="35">
        <f>1-COS(RADIANS(TA[[#This Row],[Avg. Target Angle during Fault Time (Radians)]]-TA[[#This Row],[Angle of affected equipment ]]))</f>
        <v>0.11705240714107301</v>
      </c>
      <c r="AI1519" s="27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43">
        <f t="shared" si="185"/>
        <v>2026</v>
      </c>
      <c r="C1520" s="116">
        <f t="shared" si="186"/>
        <v>2025</v>
      </c>
      <c r="D1520" s="2" t="s">
        <v>155</v>
      </c>
      <c r="E1520" s="2" t="s">
        <v>155</v>
      </c>
      <c r="F1520" s="30">
        <v>45839</v>
      </c>
      <c r="G1520" s="2">
        <f>DAY(EOMONTH(TA[[#This Row],[Month Year]],0))</f>
        <v>31</v>
      </c>
      <c r="H1520" s="21">
        <v>45853</v>
      </c>
      <c r="I1520" s="32">
        <f>IFERROR(VLOOKUP(TA[[#This Row],[Date]],Raw_Data[[Date]:[Sunset Time (POA&lt;20 W/m2)]],3,0),"")</f>
        <v>0.25763888888888886</v>
      </c>
      <c r="J1520" s="32">
        <f>IFERROR(VLOOKUP(TA[[#This Row],[Date]],Raw_Data[[Date]:[Sunset Time (POA&lt;20 W/m2)]],4,0),"")</f>
        <v>0.78680555555555554</v>
      </c>
      <c r="K1520" s="27">
        <f>IFERROR((TA[[#This Row],[Sunset Time (POA&lt;20 W/m2)]]-TA[[#This Row],[Sunrise Time (POA&gt;20 W/m2)]])*24,"")</f>
        <v>12.7</v>
      </c>
      <c r="L1520" s="2" t="s">
        <v>287</v>
      </c>
      <c r="M1520" s="33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314</v>
      </c>
      <c r="Q1520" s="2" t="s">
        <v>320</v>
      </c>
      <c r="R1520">
        <v>47</v>
      </c>
      <c r="S1520" s="2">
        <v>18</v>
      </c>
      <c r="T1520" t="s">
        <v>288</v>
      </c>
      <c r="U1520" t="s">
        <v>291</v>
      </c>
      <c r="V1520" t="s">
        <v>292</v>
      </c>
      <c r="W1520" s="32"/>
      <c r="X1520" s="32"/>
      <c r="Y1520" s="26"/>
      <c r="Z1520" s="26"/>
      <c r="AA1520" s="27">
        <f>IF(TA[[#This Row],[Work Start time on Fault]]="NA","",(TA[[#This Row],[Fault Acknowledgement Time ]]-TA[[#This Row],[Fault Time]])*24)</f>
        <v>0</v>
      </c>
      <c r="AB1520" s="27">
        <f>(TA[[#This Row],[Work Start time on Fault]]-TA[[#This Row],[Fault Time]])*24</f>
        <v>0</v>
      </c>
      <c r="AC1520" s="26">
        <f>(TA[[#This Row],[Work Completion time on fault]]-TA[[#This Row],[Fault Time]])*24</f>
        <v>0</v>
      </c>
      <c r="AD1520" s="27">
        <f>IFERROR((TA[[#This Row],[Work Completion time on fault]]-TA[[#This Row],[Fault Time]])*24,"")</f>
        <v>0</v>
      </c>
      <c r="AE1520" t="s">
        <v>319</v>
      </c>
      <c r="AF1520" t="s">
        <v>247</v>
      </c>
      <c r="AG1520" s="2"/>
      <c r="AH1520" s="35">
        <f>1-COS(RADIANS(TA[[#This Row],[Avg. Target Angle during Fault Time (Radians)]]-TA[[#This Row],[Angle of affected equipment ]]))</f>
        <v>0.11705240714107301</v>
      </c>
      <c r="AI1520" s="27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43">
        <f t="shared" si="185"/>
        <v>2026</v>
      </c>
      <c r="C1521" s="116">
        <f t="shared" si="186"/>
        <v>2025</v>
      </c>
      <c r="D1521" s="2" t="s">
        <v>155</v>
      </c>
      <c r="E1521" s="2" t="s">
        <v>155</v>
      </c>
      <c r="F1521" s="30">
        <v>45839</v>
      </c>
      <c r="G1521" s="2">
        <f>DAY(EOMONTH(TA[[#This Row],[Month Year]],0))</f>
        <v>31</v>
      </c>
      <c r="H1521" s="21">
        <v>45853</v>
      </c>
      <c r="I1521" s="32">
        <f>IFERROR(VLOOKUP(TA[[#This Row],[Date]],Raw_Data[[Date]:[Sunset Time (POA&lt;20 W/m2)]],3,0),"")</f>
        <v>0.25763888888888886</v>
      </c>
      <c r="J1521" s="32">
        <f>IFERROR(VLOOKUP(TA[[#This Row],[Date]],Raw_Data[[Date]:[Sunset Time (POA&lt;20 W/m2)]],4,0),"")</f>
        <v>0.78680555555555554</v>
      </c>
      <c r="K1521" s="27">
        <f>IFERROR((TA[[#This Row],[Sunset Time (POA&lt;20 W/m2)]]-TA[[#This Row],[Sunrise Time (POA&gt;20 W/m2)]])*24,"")</f>
        <v>12.7</v>
      </c>
      <c r="L1521" s="2" t="s">
        <v>287</v>
      </c>
      <c r="M1521" s="33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321</v>
      </c>
      <c r="Q1521" s="2" t="s">
        <v>314</v>
      </c>
      <c r="R1521">
        <v>30</v>
      </c>
      <c r="S1521" s="2">
        <v>57</v>
      </c>
      <c r="T1521" t="s">
        <v>288</v>
      </c>
      <c r="U1521" t="s">
        <v>291</v>
      </c>
      <c r="V1521" t="s">
        <v>292</v>
      </c>
      <c r="W1521" s="32"/>
      <c r="X1521" s="32"/>
      <c r="Y1521" s="26"/>
      <c r="Z1521" s="26"/>
      <c r="AA1521" s="27">
        <f>IF(TA[[#This Row],[Work Start time on Fault]]="NA","",(TA[[#This Row],[Fault Acknowledgement Time ]]-TA[[#This Row],[Fault Time]])*24)</f>
        <v>0</v>
      </c>
      <c r="AB1521" s="27">
        <f>(TA[[#This Row],[Work Start time on Fault]]-TA[[#This Row],[Fault Time]])*24</f>
        <v>0</v>
      </c>
      <c r="AC1521" s="26">
        <f>(TA[[#This Row],[Work Completion time on fault]]-TA[[#This Row],[Fault Time]])*24</f>
        <v>0</v>
      </c>
      <c r="AD1521" s="27">
        <f>IFERROR((TA[[#This Row],[Work Completion time on fault]]-TA[[#This Row],[Fault Time]])*24,"")</f>
        <v>0</v>
      </c>
      <c r="AE1521" t="s">
        <v>319</v>
      </c>
      <c r="AF1521" t="s">
        <v>247</v>
      </c>
      <c r="AG1521" s="2"/>
      <c r="AH1521" s="35">
        <f>1-COS(RADIANS(TA[[#This Row],[Avg. Target Angle during Fault Time (Radians)]]-TA[[#This Row],[Angle of affected equipment ]]))</f>
        <v>0.11705240714107301</v>
      </c>
      <c r="AI1521" s="27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43">
        <f t="shared" si="185"/>
        <v>2026</v>
      </c>
      <c r="C1522" s="116">
        <f t="shared" si="186"/>
        <v>2025</v>
      </c>
      <c r="D1522" s="2" t="s">
        <v>155</v>
      </c>
      <c r="E1522" s="2" t="s">
        <v>155</v>
      </c>
      <c r="F1522" s="30">
        <v>45839</v>
      </c>
      <c r="G1522" s="2">
        <f>DAY(EOMONTH(TA[[#This Row],[Month Year]],0))</f>
        <v>31</v>
      </c>
      <c r="H1522" s="21">
        <v>45853</v>
      </c>
      <c r="I1522" s="32">
        <f>IFERROR(VLOOKUP(TA[[#This Row],[Date]],Raw_Data[[Date]:[Sunset Time (POA&lt;20 W/m2)]],3,0),"")</f>
        <v>0.25763888888888886</v>
      </c>
      <c r="J1522" s="32">
        <f>IFERROR(VLOOKUP(TA[[#This Row],[Date]],Raw_Data[[Date]:[Sunset Time (POA&lt;20 W/m2)]],4,0),"")</f>
        <v>0.78680555555555554</v>
      </c>
      <c r="K1522" s="27">
        <f>IFERROR((TA[[#This Row],[Sunset Time (POA&lt;20 W/m2)]]-TA[[#This Row],[Sunrise Time (POA&gt;20 W/m2)]])*24,"")</f>
        <v>12.7</v>
      </c>
      <c r="L1522" s="2" t="s">
        <v>287</v>
      </c>
      <c r="M1522" s="33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321</v>
      </c>
      <c r="Q1522" s="2" t="s">
        <v>314</v>
      </c>
      <c r="R1522">
        <v>31</v>
      </c>
      <c r="S1522" s="2">
        <v>61</v>
      </c>
      <c r="T1522" t="s">
        <v>288</v>
      </c>
      <c r="U1522" t="s">
        <v>291</v>
      </c>
      <c r="V1522" t="s">
        <v>292</v>
      </c>
      <c r="W1522" s="32"/>
      <c r="X1522" s="32"/>
      <c r="Y1522" s="26"/>
      <c r="Z1522" s="26"/>
      <c r="AA1522" s="27">
        <f>IF(TA[[#This Row],[Work Start time on Fault]]="NA","",(TA[[#This Row],[Fault Acknowledgement Time ]]-TA[[#This Row],[Fault Time]])*24)</f>
        <v>0</v>
      </c>
      <c r="AB1522" s="27">
        <f>(TA[[#This Row],[Work Start time on Fault]]-TA[[#This Row],[Fault Time]])*24</f>
        <v>0</v>
      </c>
      <c r="AC1522" s="26">
        <f>(TA[[#This Row],[Work Completion time on fault]]-TA[[#This Row],[Fault Time]])*24</f>
        <v>0</v>
      </c>
      <c r="AD1522" s="27">
        <f>IFERROR((TA[[#This Row],[Work Completion time on fault]]-TA[[#This Row],[Fault Time]])*24,"")</f>
        <v>0</v>
      </c>
      <c r="AE1522" t="s">
        <v>319</v>
      </c>
      <c r="AF1522" t="s">
        <v>247</v>
      </c>
      <c r="AG1522" s="2"/>
      <c r="AH1522" s="35">
        <f>1-COS(RADIANS(TA[[#This Row],[Avg. Target Angle during Fault Time (Radians)]]-TA[[#This Row],[Angle of affected equipment ]]))</f>
        <v>0.11705240714107301</v>
      </c>
      <c r="AI1522" s="27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43">
        <f t="shared" si="185"/>
        <v>2026</v>
      </c>
      <c r="C1523" s="116">
        <f t="shared" si="186"/>
        <v>2025</v>
      </c>
      <c r="D1523" s="2" t="s">
        <v>155</v>
      </c>
      <c r="E1523" s="2" t="s">
        <v>155</v>
      </c>
      <c r="F1523" s="30">
        <v>45839</v>
      </c>
      <c r="G1523" s="2">
        <f>DAY(EOMONTH(TA[[#This Row],[Month Year]],0))</f>
        <v>31</v>
      </c>
      <c r="H1523" s="21">
        <v>45853</v>
      </c>
      <c r="I1523" s="32">
        <f>IFERROR(VLOOKUP(TA[[#This Row],[Date]],Raw_Data[[Date]:[Sunset Time (POA&lt;20 W/m2)]],3,0),"")</f>
        <v>0.25763888888888886</v>
      </c>
      <c r="J1523" s="32">
        <f>IFERROR(VLOOKUP(TA[[#This Row],[Date]],Raw_Data[[Date]:[Sunset Time (POA&lt;20 W/m2)]],4,0),"")</f>
        <v>0.78680555555555554</v>
      </c>
      <c r="K1523" s="27">
        <f>IFERROR((TA[[#This Row],[Sunset Time (POA&lt;20 W/m2)]]-TA[[#This Row],[Sunrise Time (POA&gt;20 W/m2)]])*24,"")</f>
        <v>12.7</v>
      </c>
      <c r="L1523" s="2" t="s">
        <v>303</v>
      </c>
      <c r="M1523" s="33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321</v>
      </c>
      <c r="Q1523" s="2" t="s">
        <v>314</v>
      </c>
      <c r="R1523">
        <v>26</v>
      </c>
      <c r="S1523" s="2">
        <v>37</v>
      </c>
      <c r="T1523" t="s">
        <v>288</v>
      </c>
      <c r="U1523" t="s">
        <v>291</v>
      </c>
      <c r="V1523" t="s">
        <v>292</v>
      </c>
      <c r="W1523" s="32"/>
      <c r="X1523" s="32"/>
      <c r="Y1523" s="26"/>
      <c r="Z1523" s="26"/>
      <c r="AA1523" s="27">
        <f>IF(TA[[#This Row],[Work Start time on Fault]]="NA","",(TA[[#This Row],[Fault Acknowledgement Time ]]-TA[[#This Row],[Fault Time]])*24)</f>
        <v>0</v>
      </c>
      <c r="AB1523" s="27">
        <f>(TA[[#This Row],[Work Start time on Fault]]-TA[[#This Row],[Fault Time]])*24</f>
        <v>0</v>
      </c>
      <c r="AC1523" s="26">
        <f>(TA[[#This Row],[Work Completion time on fault]]-TA[[#This Row],[Fault Time]])*24</f>
        <v>0</v>
      </c>
      <c r="AD1523" s="27">
        <f>IFERROR((TA[[#This Row],[Work Completion time on fault]]-TA[[#This Row],[Fault Time]])*24,"")</f>
        <v>0</v>
      </c>
      <c r="AE1523" t="s">
        <v>319</v>
      </c>
      <c r="AF1523" t="s">
        <v>247</v>
      </c>
      <c r="AG1523" s="2"/>
      <c r="AH1523" s="35">
        <f>1-COS(RADIANS(TA[[#This Row],[Avg. Target Angle during Fault Time (Radians)]]-TA[[#This Row],[Angle of affected equipment ]]))</f>
        <v>0.11705240714107301</v>
      </c>
      <c r="AI1523" s="27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43">
        <f t="shared" si="185"/>
        <v>2026</v>
      </c>
      <c r="C1524" s="116">
        <f t="shared" si="186"/>
        <v>2025</v>
      </c>
      <c r="D1524" s="2" t="s">
        <v>155</v>
      </c>
      <c r="E1524" s="2" t="s">
        <v>155</v>
      </c>
      <c r="F1524" s="30">
        <v>45839</v>
      </c>
      <c r="G1524" s="2">
        <f>DAY(EOMONTH(TA[[#This Row],[Month Year]],0))</f>
        <v>31</v>
      </c>
      <c r="H1524" s="21">
        <v>45853</v>
      </c>
      <c r="I1524" s="32">
        <f>IFERROR(VLOOKUP(TA[[#This Row],[Date]],Raw_Data[[Date]:[Sunset Time (POA&lt;20 W/m2)]],3,0),"")</f>
        <v>0.25763888888888886</v>
      </c>
      <c r="J1524" s="32">
        <f>IFERROR(VLOOKUP(TA[[#This Row],[Date]],Raw_Data[[Date]:[Sunset Time (POA&lt;20 W/m2)]],4,0),"")</f>
        <v>0.78680555555555554</v>
      </c>
      <c r="K1524" s="27">
        <f>IFERROR((TA[[#This Row],[Sunset Time (POA&lt;20 W/m2)]]-TA[[#This Row],[Sunrise Time (POA&gt;20 W/m2)]])*24,"")</f>
        <v>12.7</v>
      </c>
      <c r="L1524" s="2" t="s">
        <v>303</v>
      </c>
      <c r="M1524" s="33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321</v>
      </c>
      <c r="Q1524" s="2" t="s">
        <v>314</v>
      </c>
      <c r="R1524">
        <v>27</v>
      </c>
      <c r="S1524" s="2">
        <v>42</v>
      </c>
      <c r="T1524" t="s">
        <v>288</v>
      </c>
      <c r="U1524" t="s">
        <v>291</v>
      </c>
      <c r="V1524" t="s">
        <v>292</v>
      </c>
      <c r="W1524" s="32">
        <f>IFERROR(VLOOKUP(TA[[#This Row],[Date]],Raw_Data[[Date]:[Sunset Time (POA&lt;20 W/m2)]],3,0),"")</f>
        <v>0.25763888888888886</v>
      </c>
      <c r="X1524" s="32">
        <f>IFERROR(VLOOKUP(TA[[#This Row],[Date]],Raw_Data[[Date]:[Sunset Time (POA&lt;20 W/m2)]],3,0),"")</f>
        <v>0.25763888888888886</v>
      </c>
      <c r="Y1524" s="26"/>
      <c r="Z1524" s="26">
        <v>0.76041666666666663</v>
      </c>
      <c r="AA1524" s="27">
        <f>IF(TA[[#This Row],[Work Start time on Fault]]="NA","",(TA[[#This Row],[Fault Acknowledgement Time ]]-TA[[#This Row],[Fault Time]])*24)</f>
        <v>0</v>
      </c>
      <c r="AB1524" s="27">
        <f>(TA[[#This Row],[Work Start time on Fault]]-TA[[#This Row],[Fault Time]])*24</f>
        <v>-6.1833333333333327</v>
      </c>
      <c r="AC1524" s="26">
        <f>(TA[[#This Row],[Work Completion time on fault]]-TA[[#This Row],[Fault Time]])*24</f>
        <v>12.066666666666666</v>
      </c>
      <c r="AD1524" s="27">
        <f>IFERROR((TA[[#This Row],[Work Completion time on fault]]-TA[[#This Row],[Fault Time]])*24,"")</f>
        <v>12.066666666666666</v>
      </c>
      <c r="AE1524" t="s">
        <v>300</v>
      </c>
      <c r="AF1524" t="s">
        <v>247</v>
      </c>
      <c r="AG1524" s="2"/>
      <c r="AH1524" s="35">
        <f>1-COS(RADIANS(TA[[#This Row],[Avg. Target Angle during Fault Time (Radians)]]-TA[[#This Row],[Angle of affected equipment ]]))</f>
        <v>0.11705240714107301</v>
      </c>
      <c r="AI1524" s="27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43">
        <f t="shared" ref="B1525:B1537" si="188">YEAR(H1525)+IF(MONTH(H1525)&gt;=4,1,0)</f>
        <v>2026</v>
      </c>
      <c r="C1525" s="116">
        <f t="shared" ref="C1525:C1537" si="189">YEAR(H1525)</f>
        <v>2025</v>
      </c>
      <c r="D1525" s="2" t="s">
        <v>155</v>
      </c>
      <c r="E1525" s="2" t="s">
        <v>155</v>
      </c>
      <c r="F1525" s="30">
        <v>45839</v>
      </c>
      <c r="G1525" s="2">
        <f>DAY(EOMONTH(TA[[#This Row],[Month Year]],0))</f>
        <v>31</v>
      </c>
      <c r="H1525" s="21">
        <v>45854</v>
      </c>
      <c r="I1525" s="32">
        <f>IFERROR(VLOOKUP(TA[[#This Row],[Date]],Raw_Data[[Date]:[Sunset Time (POA&lt;20 W/m2)]],3,0),"")</f>
        <v>0.25347222222222221</v>
      </c>
      <c r="J1525" s="32">
        <f>IFERROR(VLOOKUP(TA[[#This Row],[Date]],Raw_Data[[Date]:[Sunset Time (POA&lt;20 W/m2)]],4,0),"")</f>
        <v>0.76666666666666672</v>
      </c>
      <c r="K1525" s="27">
        <f>IFERROR((TA[[#This Row],[Sunset Time (POA&lt;20 W/m2)]]-TA[[#This Row],[Sunrise Time (POA&gt;20 W/m2)]])*24,"")</f>
        <v>12.316666666666668</v>
      </c>
      <c r="L1525" s="2" t="s">
        <v>285</v>
      </c>
      <c r="M1525" s="33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14" t="s">
        <v>309</v>
      </c>
      <c r="Q1525" s="113" t="s">
        <v>309</v>
      </c>
      <c r="R1525">
        <v>131</v>
      </c>
      <c r="S1525" s="2">
        <v>38</v>
      </c>
      <c r="T1525" t="s">
        <v>286</v>
      </c>
      <c r="U1525" t="s">
        <v>291</v>
      </c>
      <c r="V1525" t="s">
        <v>289</v>
      </c>
      <c r="W1525" s="32"/>
      <c r="X1525" s="32"/>
      <c r="Y1525" s="26"/>
      <c r="Z1525" s="26"/>
      <c r="AA1525" s="27">
        <f>IF(TA[[#This Row],[Work Start time on Fault]]="NA","",(TA[[#This Row],[Fault Acknowledgement Time ]]-TA[[#This Row],[Fault Time]])*24)</f>
        <v>0</v>
      </c>
      <c r="AB1525" s="27">
        <f>(TA[[#This Row],[Work Start time on Fault]]-TA[[#This Row],[Fault Time]])*24</f>
        <v>0</v>
      </c>
      <c r="AC1525" s="26">
        <f>(TA[[#This Row],[Work Completion time on fault]]-TA[[#This Row],[Fault Time]])*24</f>
        <v>0</v>
      </c>
      <c r="AD1525" s="27">
        <f>IFERROR((TA[[#This Row],[Work Completion time on fault]]-TA[[#This Row],[Fault Time]])*24,"")</f>
        <v>0</v>
      </c>
      <c r="AE1525" t="s">
        <v>319</v>
      </c>
      <c r="AF1525" t="s">
        <v>247</v>
      </c>
      <c r="AG1525" s="2"/>
      <c r="AH1525" s="35">
        <f>1-COS(RADIANS(TA[[#This Row],[Avg. Target Angle during Fault Time (Radians)]]-TA[[#This Row],[Angle of affected equipment ]]))</f>
        <v>0.11705240714107301</v>
      </c>
      <c r="AI1525" s="27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43">
        <f t="shared" si="188"/>
        <v>2026</v>
      </c>
      <c r="C1526" s="116">
        <f t="shared" si="189"/>
        <v>2025</v>
      </c>
      <c r="D1526" s="2" t="s">
        <v>155</v>
      </c>
      <c r="E1526" s="2" t="s">
        <v>155</v>
      </c>
      <c r="F1526" s="30">
        <v>45839</v>
      </c>
      <c r="G1526" s="2">
        <f>DAY(EOMONTH(TA[[#This Row],[Month Year]],0))</f>
        <v>31</v>
      </c>
      <c r="H1526" s="21">
        <v>45854</v>
      </c>
      <c r="I1526" s="32">
        <f>IFERROR(VLOOKUP(TA[[#This Row],[Date]],Raw_Data[[Date]:[Sunset Time (POA&lt;20 W/m2)]],3,0),"")</f>
        <v>0.25347222222222221</v>
      </c>
      <c r="J1526" s="32">
        <f>IFERROR(VLOOKUP(TA[[#This Row],[Date]],Raw_Data[[Date]:[Sunset Time (POA&lt;20 W/m2)]],4,0),"")</f>
        <v>0.76666666666666672</v>
      </c>
      <c r="K1526" s="27">
        <f>IFERROR((TA[[#This Row],[Sunset Time (POA&lt;20 W/m2)]]-TA[[#This Row],[Sunrise Time (POA&gt;20 W/m2)]])*24,"")</f>
        <v>12.316666666666668</v>
      </c>
      <c r="L1526" s="2" t="s">
        <v>285</v>
      </c>
      <c r="M1526" s="33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14" t="s">
        <v>309</v>
      </c>
      <c r="Q1526" s="113" t="s">
        <v>309</v>
      </c>
      <c r="R1526">
        <v>131</v>
      </c>
      <c r="S1526" s="2">
        <v>39</v>
      </c>
      <c r="T1526" t="s">
        <v>286</v>
      </c>
      <c r="U1526" t="s">
        <v>291</v>
      </c>
      <c r="V1526" t="s">
        <v>289</v>
      </c>
      <c r="W1526" s="32"/>
      <c r="X1526" s="32"/>
      <c r="Y1526" s="26"/>
      <c r="Z1526" s="26"/>
      <c r="AA1526" s="27">
        <f>IF(TA[[#This Row],[Work Start time on Fault]]="NA","",(TA[[#This Row],[Fault Acknowledgement Time ]]-TA[[#This Row],[Fault Time]])*24)</f>
        <v>0</v>
      </c>
      <c r="AB1526" s="27">
        <f>(TA[[#This Row],[Work Start time on Fault]]-TA[[#This Row],[Fault Time]])*24</f>
        <v>0</v>
      </c>
      <c r="AC1526" s="26">
        <f>(TA[[#This Row],[Work Completion time on fault]]-TA[[#This Row],[Fault Time]])*24</f>
        <v>0</v>
      </c>
      <c r="AD1526" s="27">
        <f>IFERROR((TA[[#This Row],[Work Completion time on fault]]-TA[[#This Row],[Fault Time]])*24,"")</f>
        <v>0</v>
      </c>
      <c r="AE1526" t="s">
        <v>319</v>
      </c>
      <c r="AF1526" t="s">
        <v>247</v>
      </c>
      <c r="AG1526" s="2"/>
      <c r="AH1526" s="35">
        <f>1-COS(RADIANS(TA[[#This Row],[Avg. Target Angle during Fault Time (Radians)]]-TA[[#This Row],[Angle of affected equipment ]]))</f>
        <v>0.11705240714107301</v>
      </c>
      <c r="AI1526" s="27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43">
        <f t="shared" si="188"/>
        <v>2026</v>
      </c>
      <c r="C1527" s="116">
        <f t="shared" si="189"/>
        <v>2025</v>
      </c>
      <c r="D1527" s="2" t="s">
        <v>155</v>
      </c>
      <c r="E1527" s="2" t="s">
        <v>155</v>
      </c>
      <c r="F1527" s="30">
        <v>45839</v>
      </c>
      <c r="G1527" s="2">
        <f>DAY(EOMONTH(TA[[#This Row],[Month Year]],0))</f>
        <v>31</v>
      </c>
      <c r="H1527" s="21">
        <v>45854</v>
      </c>
      <c r="I1527" s="32">
        <f>IFERROR(VLOOKUP(TA[[#This Row],[Date]],Raw_Data[[Date]:[Sunset Time (POA&lt;20 W/m2)]],3,0),"")</f>
        <v>0.25347222222222221</v>
      </c>
      <c r="J1527" s="32">
        <f>IFERROR(VLOOKUP(TA[[#This Row],[Date]],Raw_Data[[Date]:[Sunset Time (POA&lt;20 W/m2)]],4,0),"")</f>
        <v>0.76666666666666672</v>
      </c>
      <c r="K1527" s="27">
        <f>IFERROR((TA[[#This Row],[Sunset Time (POA&lt;20 W/m2)]]-TA[[#This Row],[Sunrise Time (POA&gt;20 W/m2)]])*24,"")</f>
        <v>12.316666666666668</v>
      </c>
      <c r="L1527" s="2" t="s">
        <v>287</v>
      </c>
      <c r="M1527" s="33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14" t="s">
        <v>309</v>
      </c>
      <c r="Q1527" s="2" t="s">
        <v>312</v>
      </c>
      <c r="R1527">
        <v>133</v>
      </c>
      <c r="S1527" s="2">
        <v>26</v>
      </c>
      <c r="T1527" t="s">
        <v>288</v>
      </c>
      <c r="U1527" t="s">
        <v>291</v>
      </c>
      <c r="V1527" t="s">
        <v>305</v>
      </c>
      <c r="W1527" s="32">
        <f>IFERROR(VLOOKUP(TA[[#This Row],[Date]],Raw_Data[[Date]:[Sunset Time (POA&lt;20 W/m2)]],3,0),"")</f>
        <v>0.25347222222222221</v>
      </c>
      <c r="X1527" s="32">
        <f>IFERROR(VLOOKUP(TA[[#This Row],[Date]],Raw_Data[[Date]:[Sunset Time (POA&lt;20 W/m2)]],3,0),"")</f>
        <v>0.25347222222222221</v>
      </c>
      <c r="Y1527" s="26"/>
      <c r="Z1527" s="26">
        <v>0.76041666666666663</v>
      </c>
      <c r="AA1527" s="27">
        <f>IF(TA[[#This Row],[Work Start time on Fault]]="NA","",(TA[[#This Row],[Fault Acknowledgement Time ]]-TA[[#This Row],[Fault Time]])*24)</f>
        <v>0</v>
      </c>
      <c r="AB1527" s="27">
        <f>(TA[[#This Row],[Work Start time on Fault]]-TA[[#This Row],[Fault Time]])*24</f>
        <v>-6.083333333333333</v>
      </c>
      <c r="AC1527" s="26">
        <f>(TA[[#This Row],[Work Completion time on fault]]-TA[[#This Row],[Fault Time]])*24</f>
        <v>12.166666666666666</v>
      </c>
      <c r="AD1527" s="27">
        <f>IFERROR((TA[[#This Row],[Work Completion time on fault]]-TA[[#This Row],[Fault Time]])*24,"")</f>
        <v>12.166666666666666</v>
      </c>
      <c r="AE1527" t="s">
        <v>319</v>
      </c>
      <c r="AF1527" t="s">
        <v>247</v>
      </c>
      <c r="AG1527" s="2"/>
      <c r="AH1527" s="35">
        <f>1-COS(RADIANS(TA[[#This Row],[Avg. Target Angle during Fault Time (Radians)]]-TA[[#This Row],[Angle of affected equipment ]]))</f>
        <v>0.11705240714107301</v>
      </c>
      <c r="AI1527" s="27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43">
        <f t="shared" si="188"/>
        <v>2026</v>
      </c>
      <c r="C1528" s="116">
        <f t="shared" si="189"/>
        <v>2025</v>
      </c>
      <c r="D1528" s="2" t="s">
        <v>155</v>
      </c>
      <c r="E1528" s="2" t="s">
        <v>155</v>
      </c>
      <c r="F1528" s="30">
        <v>45839</v>
      </c>
      <c r="G1528" s="2">
        <f>DAY(EOMONTH(TA[[#This Row],[Month Year]],0))</f>
        <v>31</v>
      </c>
      <c r="H1528" s="21">
        <v>45854</v>
      </c>
      <c r="I1528" s="32">
        <f>IFERROR(VLOOKUP(TA[[#This Row],[Date]],Raw_Data[[Date]:[Sunset Time (POA&lt;20 W/m2)]],3,0),"")</f>
        <v>0.25347222222222221</v>
      </c>
      <c r="J1528" s="32">
        <f>IFERROR(VLOOKUP(TA[[#This Row],[Date]],Raw_Data[[Date]:[Sunset Time (POA&lt;20 W/m2)]],4,0),"")</f>
        <v>0.76666666666666672</v>
      </c>
      <c r="K1528" s="27">
        <f>IFERROR((TA[[#This Row],[Sunset Time (POA&lt;20 W/m2)]]-TA[[#This Row],[Sunrise Time (POA&gt;20 W/m2)]])*24,"")</f>
        <v>12.316666666666668</v>
      </c>
      <c r="L1528" s="2" t="s">
        <v>285</v>
      </c>
      <c r="M1528" s="33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14" t="s">
        <v>307</v>
      </c>
      <c r="Q1528" s="113" t="s">
        <v>308</v>
      </c>
      <c r="R1528">
        <v>7</v>
      </c>
      <c r="S1528" s="2">
        <v>32</v>
      </c>
      <c r="T1528" t="s">
        <v>286</v>
      </c>
      <c r="U1528" t="s">
        <v>291</v>
      </c>
      <c r="V1528" t="s">
        <v>289</v>
      </c>
      <c r="W1528" s="32"/>
      <c r="X1528" s="32"/>
      <c r="Y1528" s="26"/>
      <c r="Z1528" s="26"/>
      <c r="AA1528" s="27">
        <f>IF(TA[[#This Row],[Work Start time on Fault]]="NA","",(TA[[#This Row],[Fault Acknowledgement Time ]]-TA[[#This Row],[Fault Time]])*24)</f>
        <v>0</v>
      </c>
      <c r="AB1528" s="27">
        <f>(TA[[#This Row],[Work Start time on Fault]]-TA[[#This Row],[Fault Time]])*24</f>
        <v>0</v>
      </c>
      <c r="AC1528" s="26">
        <f>(TA[[#This Row],[Work Completion time on fault]]-TA[[#This Row],[Fault Time]])*24</f>
        <v>0</v>
      </c>
      <c r="AD1528" s="27">
        <f>IFERROR((TA[[#This Row],[Work Completion time on fault]]-TA[[#This Row],[Fault Time]])*24,"")</f>
        <v>0</v>
      </c>
      <c r="AE1528" t="s">
        <v>319</v>
      </c>
      <c r="AF1528" t="s">
        <v>247</v>
      </c>
      <c r="AG1528" s="2"/>
      <c r="AH1528" s="35">
        <f>1-COS(RADIANS(TA[[#This Row],[Avg. Target Angle during Fault Time (Radians)]]-TA[[#This Row],[Angle of affected equipment ]]))</f>
        <v>0.11705240714107301</v>
      </c>
      <c r="AI1528" s="27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43">
        <f t="shared" si="188"/>
        <v>2026</v>
      </c>
      <c r="C1529" s="116">
        <f t="shared" si="189"/>
        <v>2025</v>
      </c>
      <c r="D1529" s="2" t="s">
        <v>155</v>
      </c>
      <c r="E1529" s="2" t="s">
        <v>155</v>
      </c>
      <c r="F1529" s="30">
        <v>45839</v>
      </c>
      <c r="G1529" s="2">
        <f>DAY(EOMONTH(TA[[#This Row],[Month Year]],0))</f>
        <v>31</v>
      </c>
      <c r="H1529" s="21">
        <v>45854</v>
      </c>
      <c r="I1529" s="32">
        <f>IFERROR(VLOOKUP(TA[[#This Row],[Date]],Raw_Data[[Date]:[Sunset Time (POA&lt;20 W/m2)]],3,0),"")</f>
        <v>0.25347222222222221</v>
      </c>
      <c r="J1529" s="32">
        <f>IFERROR(VLOOKUP(TA[[#This Row],[Date]],Raw_Data[[Date]:[Sunset Time (POA&lt;20 W/m2)]],4,0),"")</f>
        <v>0.76666666666666672</v>
      </c>
      <c r="K1529" s="27">
        <f>IFERROR((TA[[#This Row],[Sunset Time (POA&lt;20 W/m2)]]-TA[[#This Row],[Sunrise Time (POA&gt;20 W/m2)]])*24,"")</f>
        <v>12.316666666666668</v>
      </c>
      <c r="L1529" s="2" t="s">
        <v>285</v>
      </c>
      <c r="M1529" s="33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14" t="s">
        <v>306</v>
      </c>
      <c r="Q1529" s="113" t="s">
        <v>310</v>
      </c>
      <c r="R1529">
        <v>166</v>
      </c>
      <c r="S1529" s="2">
        <v>91</v>
      </c>
      <c r="T1529" t="s">
        <v>286</v>
      </c>
      <c r="U1529" t="s">
        <v>291</v>
      </c>
      <c r="V1529" t="s">
        <v>289</v>
      </c>
      <c r="W1529" s="32"/>
      <c r="X1529" s="32"/>
      <c r="Y1529" s="26"/>
      <c r="Z1529" s="26"/>
      <c r="AA1529" s="27">
        <f>IF(TA[[#This Row],[Work Start time on Fault]]="NA","",(TA[[#This Row],[Fault Acknowledgement Time ]]-TA[[#This Row],[Fault Time]])*24)</f>
        <v>0</v>
      </c>
      <c r="AB1529" s="27">
        <f>(TA[[#This Row],[Work Start time on Fault]]-TA[[#This Row],[Fault Time]])*24</f>
        <v>0</v>
      </c>
      <c r="AC1529" s="26">
        <f>(TA[[#This Row],[Work Completion time on fault]]-TA[[#This Row],[Fault Time]])*24</f>
        <v>0</v>
      </c>
      <c r="AD1529" s="27">
        <f>IFERROR((TA[[#This Row],[Work Completion time on fault]]-TA[[#This Row],[Fault Time]])*24,"")</f>
        <v>0</v>
      </c>
      <c r="AE1529" t="s">
        <v>319</v>
      </c>
      <c r="AF1529" t="s">
        <v>247</v>
      </c>
      <c r="AG1529" s="2"/>
      <c r="AH1529" s="35">
        <f>1-COS(RADIANS(TA[[#This Row],[Avg. Target Angle during Fault Time (Radians)]]-TA[[#This Row],[Angle of affected equipment ]]))</f>
        <v>0.11705240714107301</v>
      </c>
      <c r="AI1529" s="27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43">
        <f t="shared" si="188"/>
        <v>2026</v>
      </c>
      <c r="C1530" s="116">
        <f t="shared" si="189"/>
        <v>2025</v>
      </c>
      <c r="D1530" s="2" t="s">
        <v>155</v>
      </c>
      <c r="E1530" s="2" t="s">
        <v>155</v>
      </c>
      <c r="F1530" s="30">
        <v>45839</v>
      </c>
      <c r="G1530" s="2">
        <f>DAY(EOMONTH(TA[[#This Row],[Month Year]],0))</f>
        <v>31</v>
      </c>
      <c r="H1530" s="21">
        <v>45854</v>
      </c>
      <c r="I1530" s="32">
        <f>IFERROR(VLOOKUP(TA[[#This Row],[Date]],Raw_Data[[Date]:[Sunset Time (POA&lt;20 W/m2)]],3,0),"")</f>
        <v>0.25347222222222221</v>
      </c>
      <c r="J1530" s="32">
        <f>IFERROR(VLOOKUP(TA[[#This Row],[Date]],Raw_Data[[Date]:[Sunset Time (POA&lt;20 W/m2)]],4,0),"")</f>
        <v>0.76666666666666672</v>
      </c>
      <c r="K1530" s="27">
        <f>IFERROR((TA[[#This Row],[Sunset Time (POA&lt;20 W/m2)]]-TA[[#This Row],[Sunrise Time (POA&gt;20 W/m2)]])*24,"")</f>
        <v>12.316666666666668</v>
      </c>
      <c r="L1530" s="2" t="s">
        <v>285</v>
      </c>
      <c r="M1530" s="33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14" t="s">
        <v>307</v>
      </c>
      <c r="Q1530" s="113" t="s">
        <v>307</v>
      </c>
      <c r="R1530">
        <v>117</v>
      </c>
      <c r="S1530" s="2">
        <v>20</v>
      </c>
      <c r="T1530" t="s">
        <v>286</v>
      </c>
      <c r="U1530" t="s">
        <v>291</v>
      </c>
      <c r="V1530" t="s">
        <v>289</v>
      </c>
      <c r="W1530" s="32"/>
      <c r="X1530" s="32"/>
      <c r="Y1530" s="26"/>
      <c r="Z1530" s="26"/>
      <c r="AA1530" s="27">
        <f>IF(TA[[#This Row],[Work Start time on Fault]]="NA","",(TA[[#This Row],[Fault Acknowledgement Time ]]-TA[[#This Row],[Fault Time]])*24)</f>
        <v>0</v>
      </c>
      <c r="AB1530" s="27">
        <f>(TA[[#This Row],[Work Start time on Fault]]-TA[[#This Row],[Fault Time]])*24</f>
        <v>0</v>
      </c>
      <c r="AC1530" s="26">
        <f>(TA[[#This Row],[Work Completion time on fault]]-TA[[#This Row],[Fault Time]])*24</f>
        <v>0</v>
      </c>
      <c r="AD1530" s="27">
        <f>IFERROR((TA[[#This Row],[Work Completion time on fault]]-TA[[#This Row],[Fault Time]])*24,"")</f>
        <v>0</v>
      </c>
      <c r="AE1530" t="s">
        <v>319</v>
      </c>
      <c r="AF1530" t="s">
        <v>247</v>
      </c>
      <c r="AG1530" s="2"/>
      <c r="AH1530" s="35">
        <f>1-COS(RADIANS(TA[[#This Row],[Avg. Target Angle during Fault Time (Radians)]]-TA[[#This Row],[Angle of affected equipment ]]))</f>
        <v>0.11705240714107301</v>
      </c>
      <c r="AI1530" s="27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43">
        <f t="shared" si="188"/>
        <v>2026</v>
      </c>
      <c r="C1531" s="116">
        <f t="shared" si="189"/>
        <v>2025</v>
      </c>
      <c r="D1531" s="2" t="s">
        <v>155</v>
      </c>
      <c r="E1531" s="2" t="s">
        <v>155</v>
      </c>
      <c r="F1531" s="30">
        <v>45839</v>
      </c>
      <c r="G1531" s="2">
        <f>DAY(EOMONTH(TA[[#This Row],[Month Year]],0))</f>
        <v>31</v>
      </c>
      <c r="H1531" s="21">
        <v>45854</v>
      </c>
      <c r="I1531" s="32">
        <f>IFERROR(VLOOKUP(TA[[#This Row],[Date]],Raw_Data[[Date]:[Sunset Time (POA&lt;20 W/m2)]],3,0),"")</f>
        <v>0.25347222222222221</v>
      </c>
      <c r="J1531" s="32">
        <f>IFERROR(VLOOKUP(TA[[#This Row],[Date]],Raw_Data[[Date]:[Sunset Time (POA&lt;20 W/m2)]],4,0),"")</f>
        <v>0.76666666666666672</v>
      </c>
      <c r="K1531" s="27">
        <f>IFERROR((TA[[#This Row],[Sunset Time (POA&lt;20 W/m2)]]-TA[[#This Row],[Sunrise Time (POA&gt;20 W/m2)]])*24,"")</f>
        <v>12.316666666666668</v>
      </c>
      <c r="L1531" s="2" t="s">
        <v>285</v>
      </c>
      <c r="M1531" s="33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14" t="s">
        <v>307</v>
      </c>
      <c r="Q1531" s="113" t="s">
        <v>307</v>
      </c>
      <c r="R1531">
        <v>118</v>
      </c>
      <c r="S1531" s="2">
        <v>22</v>
      </c>
      <c r="T1531" t="s">
        <v>286</v>
      </c>
      <c r="U1531" t="s">
        <v>291</v>
      </c>
      <c r="V1531" t="s">
        <v>289</v>
      </c>
      <c r="W1531" s="32"/>
      <c r="X1531" s="32"/>
      <c r="Y1531" s="26"/>
      <c r="Z1531" s="26"/>
      <c r="AA1531" s="27">
        <f>IF(TA[[#This Row],[Work Start time on Fault]]="NA","",(TA[[#This Row],[Fault Acknowledgement Time ]]-TA[[#This Row],[Fault Time]])*24)</f>
        <v>0</v>
      </c>
      <c r="AB1531" s="27">
        <f>(TA[[#This Row],[Work Start time on Fault]]-TA[[#This Row],[Fault Time]])*24</f>
        <v>0</v>
      </c>
      <c r="AC1531" s="26">
        <f>(TA[[#This Row],[Work Completion time on fault]]-TA[[#This Row],[Fault Time]])*24</f>
        <v>0</v>
      </c>
      <c r="AD1531" s="27">
        <f>IFERROR((TA[[#This Row],[Work Completion time on fault]]-TA[[#This Row],[Fault Time]])*24,"")</f>
        <v>0</v>
      </c>
      <c r="AE1531" t="s">
        <v>319</v>
      </c>
      <c r="AF1531" t="s">
        <v>247</v>
      </c>
      <c r="AG1531" s="2"/>
      <c r="AH1531" s="35">
        <f>1-COS(RADIANS(TA[[#This Row],[Avg. Target Angle during Fault Time (Radians)]]-TA[[#This Row],[Angle of affected equipment ]]))</f>
        <v>0.11705240714107301</v>
      </c>
      <c r="AI1531" s="27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43">
        <f t="shared" si="188"/>
        <v>2026</v>
      </c>
      <c r="C1532" s="116">
        <f t="shared" si="189"/>
        <v>2025</v>
      </c>
      <c r="D1532" s="2" t="s">
        <v>155</v>
      </c>
      <c r="E1532" s="2" t="s">
        <v>155</v>
      </c>
      <c r="F1532" s="30">
        <v>45839</v>
      </c>
      <c r="G1532" s="2">
        <f>DAY(EOMONTH(TA[[#This Row],[Month Year]],0))</f>
        <v>31</v>
      </c>
      <c r="H1532" s="21">
        <v>45854</v>
      </c>
      <c r="I1532" s="32">
        <f>IFERROR(VLOOKUP(TA[[#This Row],[Date]],Raw_Data[[Date]:[Sunset Time (POA&lt;20 W/m2)]],3,0),"")</f>
        <v>0.25347222222222221</v>
      </c>
      <c r="J1532" s="32">
        <f>IFERROR(VLOOKUP(TA[[#This Row],[Date]],Raw_Data[[Date]:[Sunset Time (POA&lt;20 W/m2)]],4,0),"")</f>
        <v>0.76666666666666672</v>
      </c>
      <c r="K1532" s="27">
        <f>IFERROR((TA[[#This Row],[Sunset Time (POA&lt;20 W/m2)]]-TA[[#This Row],[Sunrise Time (POA&gt;20 W/m2)]])*24,"")</f>
        <v>12.316666666666668</v>
      </c>
      <c r="L1532" s="2" t="s">
        <v>287</v>
      </c>
      <c r="M1532" s="33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314</v>
      </c>
      <c r="Q1532" s="2" t="s">
        <v>320</v>
      </c>
      <c r="R1532">
        <v>45</v>
      </c>
      <c r="S1532" s="2">
        <v>8</v>
      </c>
      <c r="T1532" t="s">
        <v>288</v>
      </c>
      <c r="U1532" t="s">
        <v>291</v>
      </c>
      <c r="V1532" t="s">
        <v>292</v>
      </c>
      <c r="W1532" s="32"/>
      <c r="X1532" s="32"/>
      <c r="Y1532" s="26"/>
      <c r="Z1532" s="26"/>
      <c r="AA1532" s="27">
        <f>IF(TA[[#This Row],[Work Start time on Fault]]="NA","",(TA[[#This Row],[Fault Acknowledgement Time ]]-TA[[#This Row],[Fault Time]])*24)</f>
        <v>0</v>
      </c>
      <c r="AB1532" s="27">
        <f>(TA[[#This Row],[Work Start time on Fault]]-TA[[#This Row],[Fault Time]])*24</f>
        <v>0</v>
      </c>
      <c r="AC1532" s="26">
        <f>(TA[[#This Row],[Work Completion time on fault]]-TA[[#This Row],[Fault Time]])*24</f>
        <v>0</v>
      </c>
      <c r="AD1532" s="27">
        <f>IFERROR((TA[[#This Row],[Work Completion time on fault]]-TA[[#This Row],[Fault Time]])*24,"")</f>
        <v>0</v>
      </c>
      <c r="AE1532" t="s">
        <v>319</v>
      </c>
      <c r="AF1532" t="s">
        <v>247</v>
      </c>
      <c r="AG1532" s="2"/>
      <c r="AH1532" s="35">
        <f>1-COS(RADIANS(TA[[#This Row],[Avg. Target Angle during Fault Time (Radians)]]-TA[[#This Row],[Angle of affected equipment ]]))</f>
        <v>0.11705240714107301</v>
      </c>
      <c r="AI1532" s="27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43">
        <f t="shared" si="188"/>
        <v>2026</v>
      </c>
      <c r="C1533" s="116">
        <f t="shared" si="189"/>
        <v>2025</v>
      </c>
      <c r="D1533" s="2" t="s">
        <v>155</v>
      </c>
      <c r="E1533" s="2" t="s">
        <v>155</v>
      </c>
      <c r="F1533" s="30">
        <v>45839</v>
      </c>
      <c r="G1533" s="2">
        <f>DAY(EOMONTH(TA[[#This Row],[Month Year]],0))</f>
        <v>31</v>
      </c>
      <c r="H1533" s="21">
        <v>45854</v>
      </c>
      <c r="I1533" s="32">
        <f>IFERROR(VLOOKUP(TA[[#This Row],[Date]],Raw_Data[[Date]:[Sunset Time (POA&lt;20 W/m2)]],3,0),"")</f>
        <v>0.25347222222222221</v>
      </c>
      <c r="J1533" s="32">
        <f>IFERROR(VLOOKUP(TA[[#This Row],[Date]],Raw_Data[[Date]:[Sunset Time (POA&lt;20 W/m2)]],4,0),"")</f>
        <v>0.76666666666666672</v>
      </c>
      <c r="K1533" s="27">
        <f>IFERROR((TA[[#This Row],[Sunset Time (POA&lt;20 W/m2)]]-TA[[#This Row],[Sunrise Time (POA&gt;20 W/m2)]])*24,"")</f>
        <v>12.316666666666668</v>
      </c>
      <c r="L1533" s="2" t="s">
        <v>287</v>
      </c>
      <c r="M1533" s="33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314</v>
      </c>
      <c r="Q1533" s="2" t="s">
        <v>320</v>
      </c>
      <c r="R1533">
        <v>47</v>
      </c>
      <c r="S1533" s="2">
        <v>18</v>
      </c>
      <c r="T1533" t="s">
        <v>288</v>
      </c>
      <c r="U1533" t="s">
        <v>291</v>
      </c>
      <c r="V1533" t="s">
        <v>292</v>
      </c>
      <c r="W1533" s="32"/>
      <c r="X1533" s="32"/>
      <c r="Y1533" s="26"/>
      <c r="Z1533" s="26"/>
      <c r="AA1533" s="27">
        <f>IF(TA[[#This Row],[Work Start time on Fault]]="NA","",(TA[[#This Row],[Fault Acknowledgement Time ]]-TA[[#This Row],[Fault Time]])*24)</f>
        <v>0</v>
      </c>
      <c r="AB1533" s="27">
        <f>(TA[[#This Row],[Work Start time on Fault]]-TA[[#This Row],[Fault Time]])*24</f>
        <v>0</v>
      </c>
      <c r="AC1533" s="26">
        <f>(TA[[#This Row],[Work Completion time on fault]]-TA[[#This Row],[Fault Time]])*24</f>
        <v>0</v>
      </c>
      <c r="AD1533" s="27">
        <f>IFERROR((TA[[#This Row],[Work Completion time on fault]]-TA[[#This Row],[Fault Time]])*24,"")</f>
        <v>0</v>
      </c>
      <c r="AE1533" t="s">
        <v>319</v>
      </c>
      <c r="AF1533" t="s">
        <v>247</v>
      </c>
      <c r="AG1533" s="2"/>
      <c r="AH1533" s="35">
        <f>1-COS(RADIANS(TA[[#This Row],[Avg. Target Angle during Fault Time (Radians)]]-TA[[#This Row],[Angle of affected equipment ]]))</f>
        <v>0.11705240714107301</v>
      </c>
      <c r="AI1533" s="27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43">
        <f t="shared" si="188"/>
        <v>2026</v>
      </c>
      <c r="C1534" s="116">
        <f t="shared" si="189"/>
        <v>2025</v>
      </c>
      <c r="D1534" s="2" t="s">
        <v>155</v>
      </c>
      <c r="E1534" s="2" t="s">
        <v>155</v>
      </c>
      <c r="F1534" s="30">
        <v>45839</v>
      </c>
      <c r="G1534" s="2">
        <f>DAY(EOMONTH(TA[[#This Row],[Month Year]],0))</f>
        <v>31</v>
      </c>
      <c r="H1534" s="21">
        <v>45854</v>
      </c>
      <c r="I1534" s="32">
        <f>IFERROR(VLOOKUP(TA[[#This Row],[Date]],Raw_Data[[Date]:[Sunset Time (POA&lt;20 W/m2)]],3,0),"")</f>
        <v>0.25347222222222221</v>
      </c>
      <c r="J1534" s="32">
        <f>IFERROR(VLOOKUP(TA[[#This Row],[Date]],Raw_Data[[Date]:[Sunset Time (POA&lt;20 W/m2)]],4,0),"")</f>
        <v>0.76666666666666672</v>
      </c>
      <c r="K1534" s="27">
        <f>IFERROR((TA[[#This Row],[Sunset Time (POA&lt;20 W/m2)]]-TA[[#This Row],[Sunrise Time (POA&gt;20 W/m2)]])*24,"")</f>
        <v>12.316666666666668</v>
      </c>
      <c r="L1534" s="2" t="s">
        <v>287</v>
      </c>
      <c r="M1534" s="33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321</v>
      </c>
      <c r="Q1534" s="2" t="s">
        <v>314</v>
      </c>
      <c r="R1534">
        <v>30</v>
      </c>
      <c r="S1534" s="2">
        <v>57</v>
      </c>
      <c r="T1534" t="s">
        <v>288</v>
      </c>
      <c r="U1534" t="s">
        <v>291</v>
      </c>
      <c r="V1534" t="s">
        <v>292</v>
      </c>
      <c r="W1534" s="32"/>
      <c r="X1534" s="32"/>
      <c r="Y1534" s="26"/>
      <c r="Z1534" s="26"/>
      <c r="AA1534" s="27">
        <f>IF(TA[[#This Row],[Work Start time on Fault]]="NA","",(TA[[#This Row],[Fault Acknowledgement Time ]]-TA[[#This Row],[Fault Time]])*24)</f>
        <v>0</v>
      </c>
      <c r="AB1534" s="27">
        <f>(TA[[#This Row],[Work Start time on Fault]]-TA[[#This Row],[Fault Time]])*24</f>
        <v>0</v>
      </c>
      <c r="AC1534" s="26">
        <f>(TA[[#This Row],[Work Completion time on fault]]-TA[[#This Row],[Fault Time]])*24</f>
        <v>0</v>
      </c>
      <c r="AD1534" s="27">
        <f>IFERROR((TA[[#This Row],[Work Completion time on fault]]-TA[[#This Row],[Fault Time]])*24,"")</f>
        <v>0</v>
      </c>
      <c r="AE1534" t="s">
        <v>319</v>
      </c>
      <c r="AF1534" t="s">
        <v>247</v>
      </c>
      <c r="AG1534" s="2"/>
      <c r="AH1534" s="35">
        <f>1-COS(RADIANS(TA[[#This Row],[Avg. Target Angle during Fault Time (Radians)]]-TA[[#This Row],[Angle of affected equipment ]]))</f>
        <v>0.11705240714107301</v>
      </c>
      <c r="AI1534" s="27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43">
        <f t="shared" si="188"/>
        <v>2026</v>
      </c>
      <c r="C1535" s="116">
        <f t="shared" si="189"/>
        <v>2025</v>
      </c>
      <c r="D1535" s="2" t="s">
        <v>155</v>
      </c>
      <c r="E1535" s="2" t="s">
        <v>155</v>
      </c>
      <c r="F1535" s="30">
        <v>45839</v>
      </c>
      <c r="G1535" s="2">
        <f>DAY(EOMONTH(TA[[#This Row],[Month Year]],0))</f>
        <v>31</v>
      </c>
      <c r="H1535" s="21">
        <v>45854</v>
      </c>
      <c r="I1535" s="32">
        <f>IFERROR(VLOOKUP(TA[[#This Row],[Date]],Raw_Data[[Date]:[Sunset Time (POA&lt;20 W/m2)]],3,0),"")</f>
        <v>0.25347222222222221</v>
      </c>
      <c r="J1535" s="32">
        <f>IFERROR(VLOOKUP(TA[[#This Row],[Date]],Raw_Data[[Date]:[Sunset Time (POA&lt;20 W/m2)]],4,0),"")</f>
        <v>0.76666666666666672</v>
      </c>
      <c r="K1535" s="27">
        <f>IFERROR((TA[[#This Row],[Sunset Time (POA&lt;20 W/m2)]]-TA[[#This Row],[Sunrise Time (POA&gt;20 W/m2)]])*24,"")</f>
        <v>12.316666666666668</v>
      </c>
      <c r="L1535" s="2" t="s">
        <v>287</v>
      </c>
      <c r="M1535" s="33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321</v>
      </c>
      <c r="Q1535" s="2" t="s">
        <v>314</v>
      </c>
      <c r="R1535">
        <v>31</v>
      </c>
      <c r="S1535" s="2">
        <v>61</v>
      </c>
      <c r="T1535" t="s">
        <v>288</v>
      </c>
      <c r="U1535" t="s">
        <v>291</v>
      </c>
      <c r="V1535" t="s">
        <v>292</v>
      </c>
      <c r="W1535" s="32"/>
      <c r="X1535" s="32"/>
      <c r="Y1535" s="26"/>
      <c r="Z1535" s="26"/>
      <c r="AA1535" s="27">
        <f>IF(TA[[#This Row],[Work Start time on Fault]]="NA","",(TA[[#This Row],[Fault Acknowledgement Time ]]-TA[[#This Row],[Fault Time]])*24)</f>
        <v>0</v>
      </c>
      <c r="AB1535" s="27">
        <f>(TA[[#This Row],[Work Start time on Fault]]-TA[[#This Row],[Fault Time]])*24</f>
        <v>0</v>
      </c>
      <c r="AC1535" s="26">
        <f>(TA[[#This Row],[Work Completion time on fault]]-TA[[#This Row],[Fault Time]])*24</f>
        <v>0</v>
      </c>
      <c r="AD1535" s="27">
        <f>IFERROR((TA[[#This Row],[Work Completion time on fault]]-TA[[#This Row],[Fault Time]])*24,"")</f>
        <v>0</v>
      </c>
      <c r="AE1535" t="s">
        <v>319</v>
      </c>
      <c r="AF1535" t="s">
        <v>247</v>
      </c>
      <c r="AG1535" s="2"/>
      <c r="AH1535" s="35">
        <f>1-COS(RADIANS(TA[[#This Row],[Avg. Target Angle during Fault Time (Radians)]]-TA[[#This Row],[Angle of affected equipment ]]))</f>
        <v>0.11705240714107301</v>
      </c>
      <c r="AI1535" s="27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43">
        <f t="shared" si="188"/>
        <v>2026</v>
      </c>
      <c r="C1536" s="116">
        <f t="shared" si="189"/>
        <v>2025</v>
      </c>
      <c r="D1536" s="2" t="s">
        <v>155</v>
      </c>
      <c r="E1536" s="2" t="s">
        <v>155</v>
      </c>
      <c r="F1536" s="30">
        <v>45839</v>
      </c>
      <c r="G1536" s="2">
        <f>DAY(EOMONTH(TA[[#This Row],[Month Year]],0))</f>
        <v>31</v>
      </c>
      <c r="H1536" s="21">
        <v>45854</v>
      </c>
      <c r="I1536" s="32">
        <f>IFERROR(VLOOKUP(TA[[#This Row],[Date]],Raw_Data[[Date]:[Sunset Time (POA&lt;20 W/m2)]],3,0),"")</f>
        <v>0.25347222222222221</v>
      </c>
      <c r="J1536" s="32">
        <f>IFERROR(VLOOKUP(TA[[#This Row],[Date]],Raw_Data[[Date]:[Sunset Time (POA&lt;20 W/m2)]],4,0),"")</f>
        <v>0.76666666666666672</v>
      </c>
      <c r="K1536" s="27">
        <f>IFERROR((TA[[#This Row],[Sunset Time (POA&lt;20 W/m2)]]-TA[[#This Row],[Sunrise Time (POA&gt;20 W/m2)]])*24,"")</f>
        <v>12.316666666666668</v>
      </c>
      <c r="L1536" s="2" t="s">
        <v>303</v>
      </c>
      <c r="M1536" s="33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321</v>
      </c>
      <c r="Q1536" s="2" t="s">
        <v>314</v>
      </c>
      <c r="R1536">
        <v>26</v>
      </c>
      <c r="S1536" s="2">
        <v>37</v>
      </c>
      <c r="T1536" t="s">
        <v>288</v>
      </c>
      <c r="U1536" t="s">
        <v>291</v>
      </c>
      <c r="V1536" t="s">
        <v>292</v>
      </c>
      <c r="W1536" s="32"/>
      <c r="X1536" s="32"/>
      <c r="Y1536" s="26"/>
      <c r="Z1536" s="26"/>
      <c r="AA1536" s="27">
        <f>IF(TA[[#This Row],[Work Start time on Fault]]="NA","",(TA[[#This Row],[Fault Acknowledgement Time ]]-TA[[#This Row],[Fault Time]])*24)</f>
        <v>0</v>
      </c>
      <c r="AB1536" s="27">
        <f>(TA[[#This Row],[Work Start time on Fault]]-TA[[#This Row],[Fault Time]])*24</f>
        <v>0</v>
      </c>
      <c r="AC1536" s="26">
        <f>(TA[[#This Row],[Work Completion time on fault]]-TA[[#This Row],[Fault Time]])*24</f>
        <v>0</v>
      </c>
      <c r="AD1536" s="27">
        <f>IFERROR((TA[[#This Row],[Work Completion time on fault]]-TA[[#This Row],[Fault Time]])*24,"")</f>
        <v>0</v>
      </c>
      <c r="AE1536" t="s">
        <v>319</v>
      </c>
      <c r="AF1536" t="s">
        <v>247</v>
      </c>
      <c r="AG1536" s="2"/>
      <c r="AH1536" s="35">
        <f>1-COS(RADIANS(TA[[#This Row],[Avg. Target Angle during Fault Time (Radians)]]-TA[[#This Row],[Angle of affected equipment ]]))</f>
        <v>0.11705240714107301</v>
      </c>
      <c r="AI1536" s="27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43">
        <f t="shared" si="188"/>
        <v>2026</v>
      </c>
      <c r="C1537" s="116">
        <f t="shared" si="189"/>
        <v>2025</v>
      </c>
      <c r="D1537" s="2" t="s">
        <v>155</v>
      </c>
      <c r="E1537" s="2" t="s">
        <v>155</v>
      </c>
      <c r="F1537" s="30">
        <v>45839</v>
      </c>
      <c r="G1537" s="2">
        <f>DAY(EOMONTH(TA[[#This Row],[Month Year]],0))</f>
        <v>31</v>
      </c>
      <c r="H1537" s="21">
        <v>45854</v>
      </c>
      <c r="I1537" s="32">
        <f>IFERROR(VLOOKUP(TA[[#This Row],[Date]],Raw_Data[[Date]:[Sunset Time (POA&lt;20 W/m2)]],3,0),"")</f>
        <v>0.25347222222222221</v>
      </c>
      <c r="J1537" s="32">
        <f>IFERROR(VLOOKUP(TA[[#This Row],[Date]],Raw_Data[[Date]:[Sunset Time (POA&lt;20 W/m2)]],4,0),"")</f>
        <v>0.76666666666666672</v>
      </c>
      <c r="K1537" s="27">
        <f>IFERROR((TA[[#This Row],[Sunset Time (POA&lt;20 W/m2)]]-TA[[#This Row],[Sunrise Time (POA&gt;20 W/m2)]])*24,"")</f>
        <v>12.316666666666668</v>
      </c>
      <c r="L1537" s="2" t="s">
        <v>303</v>
      </c>
      <c r="M1537" s="33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321</v>
      </c>
      <c r="Q1537" s="2" t="s">
        <v>314</v>
      </c>
      <c r="R1537">
        <v>27</v>
      </c>
      <c r="S1537" s="2">
        <v>42</v>
      </c>
      <c r="T1537" t="s">
        <v>288</v>
      </c>
      <c r="U1537" t="s">
        <v>291</v>
      </c>
      <c r="V1537" t="s">
        <v>292</v>
      </c>
      <c r="W1537" s="32">
        <f>IFERROR(VLOOKUP(TA[[#This Row],[Date]],Raw_Data[[Date]:[Sunset Time (POA&lt;20 W/m2)]],3,0),"")</f>
        <v>0.25347222222222221</v>
      </c>
      <c r="X1537" s="32">
        <f>IFERROR(VLOOKUP(TA[[#This Row],[Date]],Raw_Data[[Date]:[Sunset Time (POA&lt;20 W/m2)]],3,0),"")</f>
        <v>0.25347222222222221</v>
      </c>
      <c r="Y1537" s="26"/>
      <c r="Z1537" s="26">
        <v>0.76041666666666663</v>
      </c>
      <c r="AA1537" s="27">
        <f>IF(TA[[#This Row],[Work Start time on Fault]]="NA","",(TA[[#This Row],[Fault Acknowledgement Time ]]-TA[[#This Row],[Fault Time]])*24)</f>
        <v>0</v>
      </c>
      <c r="AB1537" s="27">
        <f>(TA[[#This Row],[Work Start time on Fault]]-TA[[#This Row],[Fault Time]])*24</f>
        <v>-6.083333333333333</v>
      </c>
      <c r="AC1537" s="26">
        <f>(TA[[#This Row],[Work Completion time on fault]]-TA[[#This Row],[Fault Time]])*24</f>
        <v>12.166666666666666</v>
      </c>
      <c r="AD1537" s="27">
        <f>IFERROR((TA[[#This Row],[Work Completion time on fault]]-TA[[#This Row],[Fault Time]])*24,"")</f>
        <v>12.166666666666666</v>
      </c>
      <c r="AE1537" t="s">
        <v>300</v>
      </c>
      <c r="AF1537" t="s">
        <v>247</v>
      </c>
      <c r="AG1537" s="2"/>
      <c r="AH1537" s="35">
        <f>1-COS(RADIANS(TA[[#This Row],[Avg. Target Angle during Fault Time (Radians)]]-TA[[#This Row],[Angle of affected equipment ]]))</f>
        <v>0.11705240714107301</v>
      </c>
      <c r="AI1537" s="27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43">
        <f t="shared" ref="B1538:B1550" si="190">YEAR(H1538)+IF(MONTH(H1538)&gt;=4,1,0)</f>
        <v>2026</v>
      </c>
      <c r="C1538" s="116">
        <f t="shared" ref="C1538:C1550" si="191">YEAR(H1538)</f>
        <v>2025</v>
      </c>
      <c r="D1538" s="2" t="s">
        <v>155</v>
      </c>
      <c r="E1538" s="2" t="s">
        <v>155</v>
      </c>
      <c r="F1538" s="30">
        <v>45839</v>
      </c>
      <c r="G1538" s="2">
        <f>DAY(EOMONTH(TA[[#This Row],[Month Year]],0))</f>
        <v>31</v>
      </c>
      <c r="H1538" s="21">
        <v>45855</v>
      </c>
      <c r="I1538" s="32">
        <f>IFERROR(VLOOKUP(TA[[#This Row],[Date]],Raw_Data[[Date]:[Sunset Time (POA&lt;20 W/m2)]],3,0),"")</f>
        <v>0.25833333333333336</v>
      </c>
      <c r="J1538" s="32">
        <f>IFERROR(VLOOKUP(TA[[#This Row],[Date]],Raw_Data[[Date]:[Sunset Time (POA&lt;20 W/m2)]],4,0),"")</f>
        <v>0.77916666666666667</v>
      </c>
      <c r="K1538" s="27">
        <f>IFERROR((TA[[#This Row],[Sunset Time (POA&lt;20 W/m2)]]-TA[[#This Row],[Sunrise Time (POA&gt;20 W/m2)]])*24,"")</f>
        <v>12.499999999999998</v>
      </c>
      <c r="L1538" s="2" t="s">
        <v>285</v>
      </c>
      <c r="M1538" s="33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14" t="s">
        <v>309</v>
      </c>
      <c r="Q1538" s="113" t="s">
        <v>309</v>
      </c>
      <c r="R1538">
        <v>131</v>
      </c>
      <c r="S1538" s="2">
        <v>38</v>
      </c>
      <c r="T1538" t="s">
        <v>286</v>
      </c>
      <c r="U1538" t="s">
        <v>291</v>
      </c>
      <c r="V1538" t="s">
        <v>289</v>
      </c>
      <c r="W1538" s="32"/>
      <c r="X1538" s="32"/>
      <c r="Y1538" s="26"/>
      <c r="Z1538" s="26"/>
      <c r="AA1538" s="27">
        <f>IF(TA[[#This Row],[Work Start time on Fault]]="NA","",(TA[[#This Row],[Fault Acknowledgement Time ]]-TA[[#This Row],[Fault Time]])*24)</f>
        <v>0</v>
      </c>
      <c r="AB1538" s="27">
        <f>(TA[[#This Row],[Work Start time on Fault]]-TA[[#This Row],[Fault Time]])*24</f>
        <v>0</v>
      </c>
      <c r="AC1538" s="26">
        <f>(TA[[#This Row],[Work Completion time on fault]]-TA[[#This Row],[Fault Time]])*24</f>
        <v>0</v>
      </c>
      <c r="AD1538" s="27">
        <f>IFERROR((TA[[#This Row],[Work Completion time on fault]]-TA[[#This Row],[Fault Time]])*24,"")</f>
        <v>0</v>
      </c>
      <c r="AE1538" t="s">
        <v>319</v>
      </c>
      <c r="AF1538" t="s">
        <v>247</v>
      </c>
      <c r="AG1538" s="2"/>
      <c r="AH1538" s="35">
        <f>1-COS(RADIANS(TA[[#This Row],[Avg. Target Angle during Fault Time (Radians)]]-TA[[#This Row],[Angle of affected equipment ]]))</f>
        <v>0.11705240714107301</v>
      </c>
      <c r="AI1538" s="27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43">
        <f t="shared" si="190"/>
        <v>2026</v>
      </c>
      <c r="C1539" s="116">
        <f t="shared" si="191"/>
        <v>2025</v>
      </c>
      <c r="D1539" s="2" t="s">
        <v>155</v>
      </c>
      <c r="E1539" s="2" t="s">
        <v>155</v>
      </c>
      <c r="F1539" s="30">
        <v>45839</v>
      </c>
      <c r="G1539" s="2">
        <f>DAY(EOMONTH(TA[[#This Row],[Month Year]],0))</f>
        <v>31</v>
      </c>
      <c r="H1539" s="21">
        <v>45855</v>
      </c>
      <c r="I1539" s="32">
        <f>IFERROR(VLOOKUP(TA[[#This Row],[Date]],Raw_Data[[Date]:[Sunset Time (POA&lt;20 W/m2)]],3,0),"")</f>
        <v>0.25833333333333336</v>
      </c>
      <c r="J1539" s="32">
        <f>IFERROR(VLOOKUP(TA[[#This Row],[Date]],Raw_Data[[Date]:[Sunset Time (POA&lt;20 W/m2)]],4,0),"")</f>
        <v>0.77916666666666667</v>
      </c>
      <c r="K1539" s="27">
        <f>IFERROR((TA[[#This Row],[Sunset Time (POA&lt;20 W/m2)]]-TA[[#This Row],[Sunrise Time (POA&gt;20 W/m2)]])*24,"")</f>
        <v>12.499999999999998</v>
      </c>
      <c r="L1539" s="2" t="s">
        <v>285</v>
      </c>
      <c r="M1539" s="33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14" t="s">
        <v>309</v>
      </c>
      <c r="Q1539" s="113" t="s">
        <v>309</v>
      </c>
      <c r="R1539">
        <v>131</v>
      </c>
      <c r="S1539" s="2">
        <v>39</v>
      </c>
      <c r="T1539" t="s">
        <v>286</v>
      </c>
      <c r="U1539" t="s">
        <v>291</v>
      </c>
      <c r="V1539" t="s">
        <v>289</v>
      </c>
      <c r="W1539" s="32"/>
      <c r="X1539" s="32"/>
      <c r="Y1539" s="26"/>
      <c r="Z1539" s="26"/>
      <c r="AA1539" s="27">
        <f>IF(TA[[#This Row],[Work Start time on Fault]]="NA","",(TA[[#This Row],[Fault Acknowledgement Time ]]-TA[[#This Row],[Fault Time]])*24)</f>
        <v>0</v>
      </c>
      <c r="AB1539" s="27">
        <f>(TA[[#This Row],[Work Start time on Fault]]-TA[[#This Row],[Fault Time]])*24</f>
        <v>0</v>
      </c>
      <c r="AC1539" s="26">
        <f>(TA[[#This Row],[Work Completion time on fault]]-TA[[#This Row],[Fault Time]])*24</f>
        <v>0</v>
      </c>
      <c r="AD1539" s="27">
        <f>IFERROR((TA[[#This Row],[Work Completion time on fault]]-TA[[#This Row],[Fault Time]])*24,"")</f>
        <v>0</v>
      </c>
      <c r="AE1539" t="s">
        <v>319</v>
      </c>
      <c r="AF1539" t="s">
        <v>247</v>
      </c>
      <c r="AG1539" s="2"/>
      <c r="AH1539" s="35">
        <f>1-COS(RADIANS(TA[[#This Row],[Avg. Target Angle during Fault Time (Radians)]]-TA[[#This Row],[Angle of affected equipment ]]))</f>
        <v>0.11705240714107301</v>
      </c>
      <c r="AI1539" s="27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43">
        <f t="shared" si="190"/>
        <v>2026</v>
      </c>
      <c r="C1540" s="116">
        <f t="shared" si="191"/>
        <v>2025</v>
      </c>
      <c r="D1540" s="2" t="s">
        <v>155</v>
      </c>
      <c r="E1540" s="2" t="s">
        <v>155</v>
      </c>
      <c r="F1540" s="30">
        <v>45839</v>
      </c>
      <c r="G1540" s="2">
        <f>DAY(EOMONTH(TA[[#This Row],[Month Year]],0))</f>
        <v>31</v>
      </c>
      <c r="H1540" s="21">
        <v>45855</v>
      </c>
      <c r="I1540" s="32">
        <f>IFERROR(VLOOKUP(TA[[#This Row],[Date]],Raw_Data[[Date]:[Sunset Time (POA&lt;20 W/m2)]],3,0),"")</f>
        <v>0.25833333333333336</v>
      </c>
      <c r="J1540" s="32">
        <f>IFERROR(VLOOKUP(TA[[#This Row],[Date]],Raw_Data[[Date]:[Sunset Time (POA&lt;20 W/m2)]],4,0),"")</f>
        <v>0.77916666666666667</v>
      </c>
      <c r="K1540" s="27">
        <f>IFERROR((TA[[#This Row],[Sunset Time (POA&lt;20 W/m2)]]-TA[[#This Row],[Sunrise Time (POA&gt;20 W/m2)]])*24,"")</f>
        <v>12.499999999999998</v>
      </c>
      <c r="L1540" s="2" t="s">
        <v>287</v>
      </c>
      <c r="M1540" s="33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14" t="s">
        <v>309</v>
      </c>
      <c r="Q1540" s="2" t="s">
        <v>312</v>
      </c>
      <c r="R1540">
        <v>133</v>
      </c>
      <c r="S1540" s="2">
        <v>26</v>
      </c>
      <c r="T1540" t="s">
        <v>288</v>
      </c>
      <c r="U1540" t="s">
        <v>291</v>
      </c>
      <c r="V1540" t="s">
        <v>305</v>
      </c>
      <c r="W1540" s="32">
        <f>IFERROR(VLOOKUP(TA[[#This Row],[Date]],Raw_Data[[Date]:[Sunset Time (POA&lt;20 W/m2)]],3,0),"")</f>
        <v>0.25833333333333336</v>
      </c>
      <c r="X1540" s="32">
        <f>IFERROR(VLOOKUP(TA[[#This Row],[Date]],Raw_Data[[Date]:[Sunset Time (POA&lt;20 W/m2)]],3,0),"")</f>
        <v>0.25833333333333336</v>
      </c>
      <c r="Y1540" s="26"/>
      <c r="Z1540" s="26">
        <v>0.76041666666666663</v>
      </c>
      <c r="AA1540" s="27">
        <f>IF(TA[[#This Row],[Work Start time on Fault]]="NA","",(TA[[#This Row],[Fault Acknowledgement Time ]]-TA[[#This Row],[Fault Time]])*24)</f>
        <v>0</v>
      </c>
      <c r="AB1540" s="27">
        <f>(TA[[#This Row],[Work Start time on Fault]]-TA[[#This Row],[Fault Time]])*24</f>
        <v>-6.2000000000000011</v>
      </c>
      <c r="AC1540" s="26">
        <f>(TA[[#This Row],[Work Completion time on fault]]-TA[[#This Row],[Fault Time]])*24</f>
        <v>12.049999999999997</v>
      </c>
      <c r="AD1540" s="27">
        <f>IFERROR((TA[[#This Row],[Work Completion time on fault]]-TA[[#This Row],[Fault Time]])*24,"")</f>
        <v>12.049999999999997</v>
      </c>
      <c r="AE1540" t="s">
        <v>319</v>
      </c>
      <c r="AF1540" t="s">
        <v>247</v>
      </c>
      <c r="AG1540" s="2"/>
      <c r="AH1540" s="35">
        <f>1-COS(RADIANS(TA[[#This Row],[Avg. Target Angle during Fault Time (Radians)]]-TA[[#This Row],[Angle of affected equipment ]]))</f>
        <v>0.11705240714107301</v>
      </c>
      <c r="AI1540" s="27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43">
        <f t="shared" si="190"/>
        <v>2026</v>
      </c>
      <c r="C1541" s="116">
        <f t="shared" si="191"/>
        <v>2025</v>
      </c>
      <c r="D1541" s="2" t="s">
        <v>155</v>
      </c>
      <c r="E1541" s="2" t="s">
        <v>155</v>
      </c>
      <c r="F1541" s="30">
        <v>45839</v>
      </c>
      <c r="G1541" s="2">
        <f>DAY(EOMONTH(TA[[#This Row],[Month Year]],0))</f>
        <v>31</v>
      </c>
      <c r="H1541" s="21">
        <v>45855</v>
      </c>
      <c r="I1541" s="32">
        <f>IFERROR(VLOOKUP(TA[[#This Row],[Date]],Raw_Data[[Date]:[Sunset Time (POA&lt;20 W/m2)]],3,0),"")</f>
        <v>0.25833333333333336</v>
      </c>
      <c r="J1541" s="32">
        <f>IFERROR(VLOOKUP(TA[[#This Row],[Date]],Raw_Data[[Date]:[Sunset Time (POA&lt;20 W/m2)]],4,0),"")</f>
        <v>0.77916666666666667</v>
      </c>
      <c r="K1541" s="27">
        <f>IFERROR((TA[[#This Row],[Sunset Time (POA&lt;20 W/m2)]]-TA[[#This Row],[Sunrise Time (POA&gt;20 W/m2)]])*24,"")</f>
        <v>12.499999999999998</v>
      </c>
      <c r="L1541" s="2" t="s">
        <v>285</v>
      </c>
      <c r="M1541" s="33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14" t="s">
        <v>307</v>
      </c>
      <c r="Q1541" s="113" t="s">
        <v>308</v>
      </c>
      <c r="R1541">
        <v>7</v>
      </c>
      <c r="S1541" s="2">
        <v>32</v>
      </c>
      <c r="T1541" t="s">
        <v>286</v>
      </c>
      <c r="U1541" t="s">
        <v>291</v>
      </c>
      <c r="V1541" t="s">
        <v>289</v>
      </c>
      <c r="W1541" s="32"/>
      <c r="X1541" s="32"/>
      <c r="Y1541" s="26"/>
      <c r="Z1541" s="26"/>
      <c r="AA1541" s="27">
        <f>IF(TA[[#This Row],[Work Start time on Fault]]="NA","",(TA[[#This Row],[Fault Acknowledgement Time ]]-TA[[#This Row],[Fault Time]])*24)</f>
        <v>0</v>
      </c>
      <c r="AB1541" s="27">
        <f>(TA[[#This Row],[Work Start time on Fault]]-TA[[#This Row],[Fault Time]])*24</f>
        <v>0</v>
      </c>
      <c r="AC1541" s="26">
        <f>(TA[[#This Row],[Work Completion time on fault]]-TA[[#This Row],[Fault Time]])*24</f>
        <v>0</v>
      </c>
      <c r="AD1541" s="27">
        <f>IFERROR((TA[[#This Row],[Work Completion time on fault]]-TA[[#This Row],[Fault Time]])*24,"")</f>
        <v>0</v>
      </c>
      <c r="AE1541" t="s">
        <v>319</v>
      </c>
      <c r="AF1541" t="s">
        <v>247</v>
      </c>
      <c r="AG1541" s="2"/>
      <c r="AH1541" s="35">
        <f>1-COS(RADIANS(TA[[#This Row],[Avg. Target Angle during Fault Time (Radians)]]-TA[[#This Row],[Angle of affected equipment ]]))</f>
        <v>0.11705240714107301</v>
      </c>
      <c r="AI1541" s="27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43">
        <f t="shared" si="190"/>
        <v>2026</v>
      </c>
      <c r="C1542" s="116">
        <f t="shared" si="191"/>
        <v>2025</v>
      </c>
      <c r="D1542" s="2" t="s">
        <v>155</v>
      </c>
      <c r="E1542" s="2" t="s">
        <v>155</v>
      </c>
      <c r="F1542" s="30">
        <v>45839</v>
      </c>
      <c r="G1542" s="2">
        <f>DAY(EOMONTH(TA[[#This Row],[Month Year]],0))</f>
        <v>31</v>
      </c>
      <c r="H1542" s="21">
        <v>45855</v>
      </c>
      <c r="I1542" s="32">
        <f>IFERROR(VLOOKUP(TA[[#This Row],[Date]],Raw_Data[[Date]:[Sunset Time (POA&lt;20 W/m2)]],3,0),"")</f>
        <v>0.25833333333333336</v>
      </c>
      <c r="J1542" s="32">
        <f>IFERROR(VLOOKUP(TA[[#This Row],[Date]],Raw_Data[[Date]:[Sunset Time (POA&lt;20 W/m2)]],4,0),"")</f>
        <v>0.77916666666666667</v>
      </c>
      <c r="K1542" s="27">
        <f>IFERROR((TA[[#This Row],[Sunset Time (POA&lt;20 W/m2)]]-TA[[#This Row],[Sunrise Time (POA&gt;20 W/m2)]])*24,"")</f>
        <v>12.499999999999998</v>
      </c>
      <c r="L1542" s="2" t="s">
        <v>285</v>
      </c>
      <c r="M1542" s="33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14" t="s">
        <v>306</v>
      </c>
      <c r="Q1542" s="113" t="s">
        <v>310</v>
      </c>
      <c r="R1542">
        <v>166</v>
      </c>
      <c r="S1542" s="2">
        <v>91</v>
      </c>
      <c r="T1542" t="s">
        <v>286</v>
      </c>
      <c r="U1542" t="s">
        <v>291</v>
      </c>
      <c r="V1542" t="s">
        <v>289</v>
      </c>
      <c r="W1542" s="32"/>
      <c r="X1542" s="32"/>
      <c r="Y1542" s="26"/>
      <c r="Z1542" s="26"/>
      <c r="AA1542" s="27">
        <f>IF(TA[[#This Row],[Work Start time on Fault]]="NA","",(TA[[#This Row],[Fault Acknowledgement Time ]]-TA[[#This Row],[Fault Time]])*24)</f>
        <v>0</v>
      </c>
      <c r="AB1542" s="27">
        <f>(TA[[#This Row],[Work Start time on Fault]]-TA[[#This Row],[Fault Time]])*24</f>
        <v>0</v>
      </c>
      <c r="AC1542" s="26">
        <f>(TA[[#This Row],[Work Completion time on fault]]-TA[[#This Row],[Fault Time]])*24</f>
        <v>0</v>
      </c>
      <c r="AD1542" s="27">
        <f>IFERROR((TA[[#This Row],[Work Completion time on fault]]-TA[[#This Row],[Fault Time]])*24,"")</f>
        <v>0</v>
      </c>
      <c r="AE1542" t="s">
        <v>319</v>
      </c>
      <c r="AF1542" t="s">
        <v>247</v>
      </c>
      <c r="AG1542" s="2"/>
      <c r="AH1542" s="35">
        <f>1-COS(RADIANS(TA[[#This Row],[Avg. Target Angle during Fault Time (Radians)]]-TA[[#This Row],[Angle of affected equipment ]]))</f>
        <v>0.11705240714107301</v>
      </c>
      <c r="AI1542" s="27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43">
        <f t="shared" si="190"/>
        <v>2026</v>
      </c>
      <c r="C1543" s="116">
        <f t="shared" si="191"/>
        <v>2025</v>
      </c>
      <c r="D1543" s="2" t="s">
        <v>155</v>
      </c>
      <c r="E1543" s="2" t="s">
        <v>155</v>
      </c>
      <c r="F1543" s="30">
        <v>45839</v>
      </c>
      <c r="G1543" s="2">
        <f>DAY(EOMONTH(TA[[#This Row],[Month Year]],0))</f>
        <v>31</v>
      </c>
      <c r="H1543" s="21">
        <v>45855</v>
      </c>
      <c r="I1543" s="32">
        <f>IFERROR(VLOOKUP(TA[[#This Row],[Date]],Raw_Data[[Date]:[Sunset Time (POA&lt;20 W/m2)]],3,0),"")</f>
        <v>0.25833333333333336</v>
      </c>
      <c r="J1543" s="32">
        <f>IFERROR(VLOOKUP(TA[[#This Row],[Date]],Raw_Data[[Date]:[Sunset Time (POA&lt;20 W/m2)]],4,0),"")</f>
        <v>0.77916666666666667</v>
      </c>
      <c r="K1543" s="27">
        <f>IFERROR((TA[[#This Row],[Sunset Time (POA&lt;20 W/m2)]]-TA[[#This Row],[Sunrise Time (POA&gt;20 W/m2)]])*24,"")</f>
        <v>12.499999999999998</v>
      </c>
      <c r="L1543" s="2" t="s">
        <v>285</v>
      </c>
      <c r="M1543" s="33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14" t="s">
        <v>307</v>
      </c>
      <c r="Q1543" s="113" t="s">
        <v>307</v>
      </c>
      <c r="R1543">
        <v>117</v>
      </c>
      <c r="S1543" s="2">
        <v>20</v>
      </c>
      <c r="T1543" t="s">
        <v>286</v>
      </c>
      <c r="U1543" t="s">
        <v>291</v>
      </c>
      <c r="V1543" t="s">
        <v>289</v>
      </c>
      <c r="W1543" s="32"/>
      <c r="X1543" s="32"/>
      <c r="Y1543" s="26"/>
      <c r="Z1543" s="26"/>
      <c r="AA1543" s="27">
        <f>IF(TA[[#This Row],[Work Start time on Fault]]="NA","",(TA[[#This Row],[Fault Acknowledgement Time ]]-TA[[#This Row],[Fault Time]])*24)</f>
        <v>0</v>
      </c>
      <c r="AB1543" s="27">
        <f>(TA[[#This Row],[Work Start time on Fault]]-TA[[#This Row],[Fault Time]])*24</f>
        <v>0</v>
      </c>
      <c r="AC1543" s="26">
        <f>(TA[[#This Row],[Work Completion time on fault]]-TA[[#This Row],[Fault Time]])*24</f>
        <v>0</v>
      </c>
      <c r="AD1543" s="27">
        <f>IFERROR((TA[[#This Row],[Work Completion time on fault]]-TA[[#This Row],[Fault Time]])*24,"")</f>
        <v>0</v>
      </c>
      <c r="AE1543" t="s">
        <v>319</v>
      </c>
      <c r="AF1543" t="s">
        <v>247</v>
      </c>
      <c r="AG1543" s="2"/>
      <c r="AH1543" s="35">
        <f>1-COS(RADIANS(TA[[#This Row],[Avg. Target Angle during Fault Time (Radians)]]-TA[[#This Row],[Angle of affected equipment ]]))</f>
        <v>0.11705240714107301</v>
      </c>
      <c r="AI1543" s="27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43">
        <f t="shared" si="190"/>
        <v>2026</v>
      </c>
      <c r="C1544" s="116">
        <f t="shared" si="191"/>
        <v>2025</v>
      </c>
      <c r="D1544" s="2" t="s">
        <v>155</v>
      </c>
      <c r="E1544" s="2" t="s">
        <v>155</v>
      </c>
      <c r="F1544" s="30">
        <v>45839</v>
      </c>
      <c r="G1544" s="2">
        <f>DAY(EOMONTH(TA[[#This Row],[Month Year]],0))</f>
        <v>31</v>
      </c>
      <c r="H1544" s="21">
        <v>45855</v>
      </c>
      <c r="I1544" s="32">
        <f>IFERROR(VLOOKUP(TA[[#This Row],[Date]],Raw_Data[[Date]:[Sunset Time (POA&lt;20 W/m2)]],3,0),"")</f>
        <v>0.25833333333333336</v>
      </c>
      <c r="J1544" s="32">
        <f>IFERROR(VLOOKUP(TA[[#This Row],[Date]],Raw_Data[[Date]:[Sunset Time (POA&lt;20 W/m2)]],4,0),"")</f>
        <v>0.77916666666666667</v>
      </c>
      <c r="K1544" s="27">
        <f>IFERROR((TA[[#This Row],[Sunset Time (POA&lt;20 W/m2)]]-TA[[#This Row],[Sunrise Time (POA&gt;20 W/m2)]])*24,"")</f>
        <v>12.499999999999998</v>
      </c>
      <c r="L1544" s="2" t="s">
        <v>285</v>
      </c>
      <c r="M1544" s="33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14" t="s">
        <v>307</v>
      </c>
      <c r="Q1544" s="113" t="s">
        <v>307</v>
      </c>
      <c r="R1544">
        <v>118</v>
      </c>
      <c r="S1544" s="2">
        <v>22</v>
      </c>
      <c r="T1544" t="s">
        <v>286</v>
      </c>
      <c r="U1544" t="s">
        <v>291</v>
      </c>
      <c r="V1544" t="s">
        <v>289</v>
      </c>
      <c r="W1544" s="32"/>
      <c r="X1544" s="32"/>
      <c r="Y1544" s="26"/>
      <c r="Z1544" s="26"/>
      <c r="AA1544" s="27">
        <f>IF(TA[[#This Row],[Work Start time on Fault]]="NA","",(TA[[#This Row],[Fault Acknowledgement Time ]]-TA[[#This Row],[Fault Time]])*24)</f>
        <v>0</v>
      </c>
      <c r="AB1544" s="27">
        <f>(TA[[#This Row],[Work Start time on Fault]]-TA[[#This Row],[Fault Time]])*24</f>
        <v>0</v>
      </c>
      <c r="AC1544" s="26">
        <f>(TA[[#This Row],[Work Completion time on fault]]-TA[[#This Row],[Fault Time]])*24</f>
        <v>0</v>
      </c>
      <c r="AD1544" s="27">
        <f>IFERROR((TA[[#This Row],[Work Completion time on fault]]-TA[[#This Row],[Fault Time]])*24,"")</f>
        <v>0</v>
      </c>
      <c r="AE1544" t="s">
        <v>319</v>
      </c>
      <c r="AF1544" t="s">
        <v>247</v>
      </c>
      <c r="AG1544" s="2"/>
      <c r="AH1544" s="35">
        <f>1-COS(RADIANS(TA[[#This Row],[Avg. Target Angle during Fault Time (Radians)]]-TA[[#This Row],[Angle of affected equipment ]]))</f>
        <v>0.11705240714107301</v>
      </c>
      <c r="AI1544" s="27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43">
        <f t="shared" si="190"/>
        <v>2026</v>
      </c>
      <c r="C1545" s="116">
        <f t="shared" si="191"/>
        <v>2025</v>
      </c>
      <c r="D1545" s="2" t="s">
        <v>155</v>
      </c>
      <c r="E1545" s="2" t="s">
        <v>155</v>
      </c>
      <c r="F1545" s="30">
        <v>45839</v>
      </c>
      <c r="G1545" s="2">
        <f>DAY(EOMONTH(TA[[#This Row],[Month Year]],0))</f>
        <v>31</v>
      </c>
      <c r="H1545" s="21">
        <v>45855</v>
      </c>
      <c r="I1545" s="32">
        <f>IFERROR(VLOOKUP(TA[[#This Row],[Date]],Raw_Data[[Date]:[Sunset Time (POA&lt;20 W/m2)]],3,0),"")</f>
        <v>0.25833333333333336</v>
      </c>
      <c r="J1545" s="32">
        <f>IFERROR(VLOOKUP(TA[[#This Row],[Date]],Raw_Data[[Date]:[Sunset Time (POA&lt;20 W/m2)]],4,0),"")</f>
        <v>0.77916666666666667</v>
      </c>
      <c r="K1545" s="27">
        <f>IFERROR((TA[[#This Row],[Sunset Time (POA&lt;20 W/m2)]]-TA[[#This Row],[Sunrise Time (POA&gt;20 W/m2)]])*24,"")</f>
        <v>12.499999999999998</v>
      </c>
      <c r="L1545" s="2" t="s">
        <v>287</v>
      </c>
      <c r="M1545" s="33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314</v>
      </c>
      <c r="Q1545" s="2" t="s">
        <v>320</v>
      </c>
      <c r="R1545">
        <v>45</v>
      </c>
      <c r="S1545" s="2">
        <v>8</v>
      </c>
      <c r="T1545" t="s">
        <v>288</v>
      </c>
      <c r="U1545" t="s">
        <v>291</v>
      </c>
      <c r="V1545" t="s">
        <v>292</v>
      </c>
      <c r="W1545" s="32"/>
      <c r="X1545" s="32"/>
      <c r="Y1545" s="26"/>
      <c r="Z1545" s="26"/>
      <c r="AA1545" s="27">
        <f>IF(TA[[#This Row],[Work Start time on Fault]]="NA","",(TA[[#This Row],[Fault Acknowledgement Time ]]-TA[[#This Row],[Fault Time]])*24)</f>
        <v>0</v>
      </c>
      <c r="AB1545" s="27">
        <f>(TA[[#This Row],[Work Start time on Fault]]-TA[[#This Row],[Fault Time]])*24</f>
        <v>0</v>
      </c>
      <c r="AC1545" s="26">
        <f>(TA[[#This Row],[Work Completion time on fault]]-TA[[#This Row],[Fault Time]])*24</f>
        <v>0</v>
      </c>
      <c r="AD1545" s="27">
        <f>IFERROR((TA[[#This Row],[Work Completion time on fault]]-TA[[#This Row],[Fault Time]])*24,"")</f>
        <v>0</v>
      </c>
      <c r="AE1545" t="s">
        <v>319</v>
      </c>
      <c r="AF1545" t="s">
        <v>247</v>
      </c>
      <c r="AG1545" s="2"/>
      <c r="AH1545" s="35">
        <f>1-COS(RADIANS(TA[[#This Row],[Avg. Target Angle during Fault Time (Radians)]]-TA[[#This Row],[Angle of affected equipment ]]))</f>
        <v>0.11705240714107301</v>
      </c>
      <c r="AI1545" s="27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43">
        <f t="shared" si="190"/>
        <v>2026</v>
      </c>
      <c r="C1546" s="116">
        <f t="shared" si="191"/>
        <v>2025</v>
      </c>
      <c r="D1546" s="2" t="s">
        <v>155</v>
      </c>
      <c r="E1546" s="2" t="s">
        <v>155</v>
      </c>
      <c r="F1546" s="30">
        <v>45839</v>
      </c>
      <c r="G1546" s="2">
        <f>DAY(EOMONTH(TA[[#This Row],[Month Year]],0))</f>
        <v>31</v>
      </c>
      <c r="H1546" s="21">
        <v>45855</v>
      </c>
      <c r="I1546" s="32">
        <f>IFERROR(VLOOKUP(TA[[#This Row],[Date]],Raw_Data[[Date]:[Sunset Time (POA&lt;20 W/m2)]],3,0),"")</f>
        <v>0.25833333333333336</v>
      </c>
      <c r="J1546" s="32">
        <f>IFERROR(VLOOKUP(TA[[#This Row],[Date]],Raw_Data[[Date]:[Sunset Time (POA&lt;20 W/m2)]],4,0),"")</f>
        <v>0.77916666666666667</v>
      </c>
      <c r="K1546" s="27">
        <f>IFERROR((TA[[#This Row],[Sunset Time (POA&lt;20 W/m2)]]-TA[[#This Row],[Sunrise Time (POA&gt;20 W/m2)]])*24,"")</f>
        <v>12.499999999999998</v>
      </c>
      <c r="L1546" s="2" t="s">
        <v>287</v>
      </c>
      <c r="M1546" s="33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314</v>
      </c>
      <c r="Q1546" s="2" t="s">
        <v>320</v>
      </c>
      <c r="R1546">
        <v>47</v>
      </c>
      <c r="S1546" s="2">
        <v>18</v>
      </c>
      <c r="T1546" t="s">
        <v>288</v>
      </c>
      <c r="U1546" t="s">
        <v>291</v>
      </c>
      <c r="V1546" t="s">
        <v>292</v>
      </c>
      <c r="W1546" s="32"/>
      <c r="X1546" s="32"/>
      <c r="Y1546" s="26"/>
      <c r="Z1546" s="26"/>
      <c r="AA1546" s="27">
        <f>IF(TA[[#This Row],[Work Start time on Fault]]="NA","",(TA[[#This Row],[Fault Acknowledgement Time ]]-TA[[#This Row],[Fault Time]])*24)</f>
        <v>0</v>
      </c>
      <c r="AB1546" s="27">
        <f>(TA[[#This Row],[Work Start time on Fault]]-TA[[#This Row],[Fault Time]])*24</f>
        <v>0</v>
      </c>
      <c r="AC1546" s="26">
        <f>(TA[[#This Row],[Work Completion time on fault]]-TA[[#This Row],[Fault Time]])*24</f>
        <v>0</v>
      </c>
      <c r="AD1546" s="27">
        <f>IFERROR((TA[[#This Row],[Work Completion time on fault]]-TA[[#This Row],[Fault Time]])*24,"")</f>
        <v>0</v>
      </c>
      <c r="AE1546" t="s">
        <v>319</v>
      </c>
      <c r="AF1546" t="s">
        <v>247</v>
      </c>
      <c r="AG1546" s="2"/>
      <c r="AH1546" s="35">
        <f>1-COS(RADIANS(TA[[#This Row],[Avg. Target Angle during Fault Time (Radians)]]-TA[[#This Row],[Angle of affected equipment ]]))</f>
        <v>0.11705240714107301</v>
      </c>
      <c r="AI1546" s="27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43">
        <f t="shared" si="190"/>
        <v>2026</v>
      </c>
      <c r="C1547" s="116">
        <f t="shared" si="191"/>
        <v>2025</v>
      </c>
      <c r="D1547" s="2" t="s">
        <v>155</v>
      </c>
      <c r="E1547" s="2" t="s">
        <v>155</v>
      </c>
      <c r="F1547" s="30">
        <v>45839</v>
      </c>
      <c r="G1547" s="2">
        <f>DAY(EOMONTH(TA[[#This Row],[Month Year]],0))</f>
        <v>31</v>
      </c>
      <c r="H1547" s="21">
        <v>45855</v>
      </c>
      <c r="I1547" s="32">
        <f>IFERROR(VLOOKUP(TA[[#This Row],[Date]],Raw_Data[[Date]:[Sunset Time (POA&lt;20 W/m2)]],3,0),"")</f>
        <v>0.25833333333333336</v>
      </c>
      <c r="J1547" s="32">
        <f>IFERROR(VLOOKUP(TA[[#This Row],[Date]],Raw_Data[[Date]:[Sunset Time (POA&lt;20 W/m2)]],4,0),"")</f>
        <v>0.77916666666666667</v>
      </c>
      <c r="K1547" s="27">
        <f>IFERROR((TA[[#This Row],[Sunset Time (POA&lt;20 W/m2)]]-TA[[#This Row],[Sunrise Time (POA&gt;20 W/m2)]])*24,"")</f>
        <v>12.499999999999998</v>
      </c>
      <c r="L1547" s="2" t="s">
        <v>287</v>
      </c>
      <c r="M1547" s="33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321</v>
      </c>
      <c r="Q1547" s="2" t="s">
        <v>314</v>
      </c>
      <c r="R1547">
        <v>30</v>
      </c>
      <c r="S1547" s="2">
        <v>57</v>
      </c>
      <c r="T1547" t="s">
        <v>288</v>
      </c>
      <c r="U1547" t="s">
        <v>291</v>
      </c>
      <c r="V1547" t="s">
        <v>292</v>
      </c>
      <c r="W1547" s="32"/>
      <c r="X1547" s="32"/>
      <c r="Y1547" s="26"/>
      <c r="Z1547" s="26"/>
      <c r="AA1547" s="27">
        <f>IF(TA[[#This Row],[Work Start time on Fault]]="NA","",(TA[[#This Row],[Fault Acknowledgement Time ]]-TA[[#This Row],[Fault Time]])*24)</f>
        <v>0</v>
      </c>
      <c r="AB1547" s="27">
        <f>(TA[[#This Row],[Work Start time on Fault]]-TA[[#This Row],[Fault Time]])*24</f>
        <v>0</v>
      </c>
      <c r="AC1547" s="26">
        <f>(TA[[#This Row],[Work Completion time on fault]]-TA[[#This Row],[Fault Time]])*24</f>
        <v>0</v>
      </c>
      <c r="AD1547" s="27">
        <f>IFERROR((TA[[#This Row],[Work Completion time on fault]]-TA[[#This Row],[Fault Time]])*24,"")</f>
        <v>0</v>
      </c>
      <c r="AE1547" t="s">
        <v>319</v>
      </c>
      <c r="AF1547" t="s">
        <v>247</v>
      </c>
      <c r="AG1547" s="2"/>
      <c r="AH1547" s="35">
        <f>1-COS(RADIANS(TA[[#This Row],[Avg. Target Angle during Fault Time (Radians)]]-TA[[#This Row],[Angle of affected equipment ]]))</f>
        <v>0.11705240714107301</v>
      </c>
      <c r="AI1547" s="27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43">
        <f t="shared" si="190"/>
        <v>2026</v>
      </c>
      <c r="C1548" s="116">
        <f t="shared" si="191"/>
        <v>2025</v>
      </c>
      <c r="D1548" s="2" t="s">
        <v>155</v>
      </c>
      <c r="E1548" s="2" t="s">
        <v>155</v>
      </c>
      <c r="F1548" s="30">
        <v>45839</v>
      </c>
      <c r="G1548" s="2">
        <f>DAY(EOMONTH(TA[[#This Row],[Month Year]],0))</f>
        <v>31</v>
      </c>
      <c r="H1548" s="21">
        <v>45855</v>
      </c>
      <c r="I1548" s="32">
        <f>IFERROR(VLOOKUP(TA[[#This Row],[Date]],Raw_Data[[Date]:[Sunset Time (POA&lt;20 W/m2)]],3,0),"")</f>
        <v>0.25833333333333336</v>
      </c>
      <c r="J1548" s="32">
        <f>IFERROR(VLOOKUP(TA[[#This Row],[Date]],Raw_Data[[Date]:[Sunset Time (POA&lt;20 W/m2)]],4,0),"")</f>
        <v>0.77916666666666667</v>
      </c>
      <c r="K1548" s="27">
        <f>IFERROR((TA[[#This Row],[Sunset Time (POA&lt;20 W/m2)]]-TA[[#This Row],[Sunrise Time (POA&gt;20 W/m2)]])*24,"")</f>
        <v>12.499999999999998</v>
      </c>
      <c r="L1548" s="2" t="s">
        <v>287</v>
      </c>
      <c r="M1548" s="33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321</v>
      </c>
      <c r="Q1548" s="2" t="s">
        <v>314</v>
      </c>
      <c r="R1548">
        <v>31</v>
      </c>
      <c r="S1548" s="2">
        <v>61</v>
      </c>
      <c r="T1548" t="s">
        <v>288</v>
      </c>
      <c r="U1548" t="s">
        <v>291</v>
      </c>
      <c r="V1548" t="s">
        <v>292</v>
      </c>
      <c r="W1548" s="32"/>
      <c r="X1548" s="32"/>
      <c r="Y1548" s="26"/>
      <c r="Z1548" s="26"/>
      <c r="AA1548" s="27">
        <f>IF(TA[[#This Row],[Work Start time on Fault]]="NA","",(TA[[#This Row],[Fault Acknowledgement Time ]]-TA[[#This Row],[Fault Time]])*24)</f>
        <v>0</v>
      </c>
      <c r="AB1548" s="27">
        <f>(TA[[#This Row],[Work Start time on Fault]]-TA[[#This Row],[Fault Time]])*24</f>
        <v>0</v>
      </c>
      <c r="AC1548" s="26">
        <f>(TA[[#This Row],[Work Completion time on fault]]-TA[[#This Row],[Fault Time]])*24</f>
        <v>0</v>
      </c>
      <c r="AD1548" s="27">
        <f>IFERROR((TA[[#This Row],[Work Completion time on fault]]-TA[[#This Row],[Fault Time]])*24,"")</f>
        <v>0</v>
      </c>
      <c r="AE1548" t="s">
        <v>319</v>
      </c>
      <c r="AF1548" t="s">
        <v>247</v>
      </c>
      <c r="AG1548" s="2"/>
      <c r="AH1548" s="35">
        <f>1-COS(RADIANS(TA[[#This Row],[Avg. Target Angle during Fault Time (Radians)]]-TA[[#This Row],[Angle of affected equipment ]]))</f>
        <v>0.11705240714107301</v>
      </c>
      <c r="AI1548" s="27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43">
        <f t="shared" si="190"/>
        <v>2026</v>
      </c>
      <c r="C1549" s="116">
        <f t="shared" si="191"/>
        <v>2025</v>
      </c>
      <c r="D1549" s="2" t="s">
        <v>155</v>
      </c>
      <c r="E1549" s="2" t="s">
        <v>155</v>
      </c>
      <c r="F1549" s="30">
        <v>45839</v>
      </c>
      <c r="G1549" s="2">
        <f>DAY(EOMONTH(TA[[#This Row],[Month Year]],0))</f>
        <v>31</v>
      </c>
      <c r="H1549" s="21">
        <v>45855</v>
      </c>
      <c r="I1549" s="32">
        <f>IFERROR(VLOOKUP(TA[[#This Row],[Date]],Raw_Data[[Date]:[Sunset Time (POA&lt;20 W/m2)]],3,0),"")</f>
        <v>0.25833333333333336</v>
      </c>
      <c r="J1549" s="32">
        <f>IFERROR(VLOOKUP(TA[[#This Row],[Date]],Raw_Data[[Date]:[Sunset Time (POA&lt;20 W/m2)]],4,0),"")</f>
        <v>0.77916666666666667</v>
      </c>
      <c r="K1549" s="27">
        <f>IFERROR((TA[[#This Row],[Sunset Time (POA&lt;20 W/m2)]]-TA[[#This Row],[Sunrise Time (POA&gt;20 W/m2)]])*24,"")</f>
        <v>12.499999999999998</v>
      </c>
      <c r="L1549" s="2" t="s">
        <v>303</v>
      </c>
      <c r="M1549" s="33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321</v>
      </c>
      <c r="Q1549" s="2" t="s">
        <v>314</v>
      </c>
      <c r="R1549">
        <v>26</v>
      </c>
      <c r="S1549" s="2">
        <v>37</v>
      </c>
      <c r="T1549" t="s">
        <v>288</v>
      </c>
      <c r="U1549" t="s">
        <v>291</v>
      </c>
      <c r="V1549" t="s">
        <v>292</v>
      </c>
      <c r="W1549" s="32"/>
      <c r="X1549" s="32"/>
      <c r="Y1549" s="26"/>
      <c r="Z1549" s="26"/>
      <c r="AA1549" s="27">
        <f>IF(TA[[#This Row],[Work Start time on Fault]]="NA","",(TA[[#This Row],[Fault Acknowledgement Time ]]-TA[[#This Row],[Fault Time]])*24)</f>
        <v>0</v>
      </c>
      <c r="AB1549" s="27">
        <f>(TA[[#This Row],[Work Start time on Fault]]-TA[[#This Row],[Fault Time]])*24</f>
        <v>0</v>
      </c>
      <c r="AC1549" s="26">
        <f>(TA[[#This Row],[Work Completion time on fault]]-TA[[#This Row],[Fault Time]])*24</f>
        <v>0</v>
      </c>
      <c r="AD1549" s="27">
        <f>IFERROR((TA[[#This Row],[Work Completion time on fault]]-TA[[#This Row],[Fault Time]])*24,"")</f>
        <v>0</v>
      </c>
      <c r="AE1549" t="s">
        <v>319</v>
      </c>
      <c r="AF1549" t="s">
        <v>247</v>
      </c>
      <c r="AG1549" s="2"/>
      <c r="AH1549" s="35">
        <f>1-COS(RADIANS(TA[[#This Row],[Avg. Target Angle during Fault Time (Radians)]]-TA[[#This Row],[Angle of affected equipment ]]))</f>
        <v>0.11705240714107301</v>
      </c>
      <c r="AI1549" s="27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43">
        <f t="shared" si="190"/>
        <v>2026</v>
      </c>
      <c r="C1550" s="116">
        <f t="shared" si="191"/>
        <v>2025</v>
      </c>
      <c r="D1550" s="2" t="s">
        <v>155</v>
      </c>
      <c r="E1550" s="2" t="s">
        <v>155</v>
      </c>
      <c r="F1550" s="30">
        <v>45839</v>
      </c>
      <c r="G1550" s="2">
        <f>DAY(EOMONTH(TA[[#This Row],[Month Year]],0))</f>
        <v>31</v>
      </c>
      <c r="H1550" s="21">
        <v>45855</v>
      </c>
      <c r="I1550" s="32">
        <f>IFERROR(VLOOKUP(TA[[#This Row],[Date]],Raw_Data[[Date]:[Sunset Time (POA&lt;20 W/m2)]],3,0),"")</f>
        <v>0.25833333333333336</v>
      </c>
      <c r="J1550" s="32">
        <f>IFERROR(VLOOKUP(TA[[#This Row],[Date]],Raw_Data[[Date]:[Sunset Time (POA&lt;20 W/m2)]],4,0),"")</f>
        <v>0.77916666666666667</v>
      </c>
      <c r="K1550" s="27">
        <f>IFERROR((TA[[#This Row],[Sunset Time (POA&lt;20 W/m2)]]-TA[[#This Row],[Sunrise Time (POA&gt;20 W/m2)]])*24,"")</f>
        <v>12.499999999999998</v>
      </c>
      <c r="L1550" s="2" t="s">
        <v>303</v>
      </c>
      <c r="M1550" s="33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321</v>
      </c>
      <c r="Q1550" s="2" t="s">
        <v>314</v>
      </c>
      <c r="R1550">
        <v>27</v>
      </c>
      <c r="S1550" s="2">
        <v>42</v>
      </c>
      <c r="T1550" t="s">
        <v>288</v>
      </c>
      <c r="U1550" t="s">
        <v>291</v>
      </c>
      <c r="V1550" t="s">
        <v>292</v>
      </c>
      <c r="W1550" s="32">
        <f>IFERROR(VLOOKUP(TA[[#This Row],[Date]],Raw_Data[[Date]:[Sunset Time (POA&lt;20 W/m2)]],3,0),"")</f>
        <v>0.25833333333333336</v>
      </c>
      <c r="X1550" s="32">
        <f>IFERROR(VLOOKUP(TA[[#This Row],[Date]],Raw_Data[[Date]:[Sunset Time (POA&lt;20 W/m2)]],3,0),"")</f>
        <v>0.25833333333333336</v>
      </c>
      <c r="Y1550" s="26"/>
      <c r="Z1550" s="26">
        <v>0.76041666666666663</v>
      </c>
      <c r="AA1550" s="27">
        <f>IF(TA[[#This Row],[Work Start time on Fault]]="NA","",(TA[[#This Row],[Fault Acknowledgement Time ]]-TA[[#This Row],[Fault Time]])*24)</f>
        <v>0</v>
      </c>
      <c r="AB1550" s="27">
        <f>(TA[[#This Row],[Work Start time on Fault]]-TA[[#This Row],[Fault Time]])*24</f>
        <v>-6.2000000000000011</v>
      </c>
      <c r="AC1550" s="26">
        <f>(TA[[#This Row],[Work Completion time on fault]]-TA[[#This Row],[Fault Time]])*24</f>
        <v>12.049999999999997</v>
      </c>
      <c r="AD1550" s="27">
        <f>IFERROR((TA[[#This Row],[Work Completion time on fault]]-TA[[#This Row],[Fault Time]])*24,"")</f>
        <v>12.049999999999997</v>
      </c>
      <c r="AE1550" t="s">
        <v>300</v>
      </c>
      <c r="AF1550" t="s">
        <v>247</v>
      </c>
      <c r="AG1550" s="2"/>
      <c r="AH1550" s="35">
        <f>1-COS(RADIANS(TA[[#This Row],[Avg. Target Angle during Fault Time (Radians)]]-TA[[#This Row],[Angle of affected equipment ]]))</f>
        <v>0.11705240714107301</v>
      </c>
      <c r="AI1550" s="27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43">
        <f t="shared" ref="B1551:B1563" si="192">YEAR(H1551)+IF(MONTH(H1551)&gt;=4,1,0)</f>
        <v>2026</v>
      </c>
      <c r="C1551" s="116">
        <f t="shared" ref="C1551:C1563" si="193">YEAR(H1551)</f>
        <v>2025</v>
      </c>
      <c r="D1551" s="2" t="s">
        <v>155</v>
      </c>
      <c r="E1551" s="2" t="s">
        <v>155</v>
      </c>
      <c r="F1551" s="30">
        <v>45839</v>
      </c>
      <c r="G1551" s="2">
        <f>DAY(EOMONTH(TA[[#This Row],[Month Year]],0))</f>
        <v>31</v>
      </c>
      <c r="H1551" s="21">
        <v>45856</v>
      </c>
      <c r="I1551" s="32">
        <f>IFERROR(VLOOKUP(TA[[#This Row],[Date]],Raw_Data[[Date]:[Sunset Time (POA&lt;20 W/m2)]],3,0),"")</f>
        <v>0.25694444444444442</v>
      </c>
      <c r="J1551" s="32">
        <f>IFERROR(VLOOKUP(TA[[#This Row],[Date]],Raw_Data[[Date]:[Sunset Time (POA&lt;20 W/m2)]],4,0),"")</f>
        <v>0.71597222222222223</v>
      </c>
      <c r="K1551" s="27">
        <f>IFERROR((TA[[#This Row],[Sunset Time (POA&lt;20 W/m2)]]-TA[[#This Row],[Sunrise Time (POA&gt;20 W/m2)]])*24,"")</f>
        <v>11.016666666666667</v>
      </c>
      <c r="L1551" s="2" t="s">
        <v>285</v>
      </c>
      <c r="M1551" s="33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14" t="s">
        <v>309</v>
      </c>
      <c r="Q1551" s="113" t="s">
        <v>309</v>
      </c>
      <c r="R1551">
        <v>131</v>
      </c>
      <c r="S1551" s="2">
        <v>38</v>
      </c>
      <c r="T1551" t="s">
        <v>286</v>
      </c>
      <c r="U1551" t="s">
        <v>291</v>
      </c>
      <c r="V1551" t="s">
        <v>289</v>
      </c>
      <c r="W1551" s="32"/>
      <c r="X1551" s="32"/>
      <c r="Y1551" s="26"/>
      <c r="Z1551" s="26"/>
      <c r="AA1551" s="27">
        <f>IF(TA[[#This Row],[Work Start time on Fault]]="NA","",(TA[[#This Row],[Fault Acknowledgement Time ]]-TA[[#This Row],[Fault Time]])*24)</f>
        <v>0</v>
      </c>
      <c r="AB1551" s="27">
        <f>(TA[[#This Row],[Work Start time on Fault]]-TA[[#This Row],[Fault Time]])*24</f>
        <v>0</v>
      </c>
      <c r="AC1551" s="26">
        <f>(TA[[#This Row],[Work Completion time on fault]]-TA[[#This Row],[Fault Time]])*24</f>
        <v>0</v>
      </c>
      <c r="AD1551" s="27">
        <f>IFERROR((TA[[#This Row],[Work Completion time on fault]]-TA[[#This Row],[Fault Time]])*24,"")</f>
        <v>0</v>
      </c>
      <c r="AE1551" t="s">
        <v>319</v>
      </c>
      <c r="AF1551" t="s">
        <v>247</v>
      </c>
      <c r="AG1551" s="2"/>
      <c r="AH1551" s="35">
        <f>1-COS(RADIANS(TA[[#This Row],[Avg. Target Angle during Fault Time (Radians)]]-TA[[#This Row],[Angle of affected equipment ]]))</f>
        <v>0.11705240714107301</v>
      </c>
      <c r="AI1551" s="27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43">
        <f t="shared" si="192"/>
        <v>2026</v>
      </c>
      <c r="C1552" s="116">
        <f t="shared" si="193"/>
        <v>2025</v>
      </c>
      <c r="D1552" s="2" t="s">
        <v>155</v>
      </c>
      <c r="E1552" s="2" t="s">
        <v>155</v>
      </c>
      <c r="F1552" s="30">
        <v>45839</v>
      </c>
      <c r="G1552" s="2">
        <f>DAY(EOMONTH(TA[[#This Row],[Month Year]],0))</f>
        <v>31</v>
      </c>
      <c r="H1552" s="21">
        <v>45856</v>
      </c>
      <c r="I1552" s="32">
        <f>IFERROR(VLOOKUP(TA[[#This Row],[Date]],Raw_Data[[Date]:[Sunset Time (POA&lt;20 W/m2)]],3,0),"")</f>
        <v>0.25694444444444442</v>
      </c>
      <c r="J1552" s="32">
        <f>IFERROR(VLOOKUP(TA[[#This Row],[Date]],Raw_Data[[Date]:[Sunset Time (POA&lt;20 W/m2)]],4,0),"")</f>
        <v>0.71597222222222223</v>
      </c>
      <c r="K1552" s="27">
        <f>IFERROR((TA[[#This Row],[Sunset Time (POA&lt;20 W/m2)]]-TA[[#This Row],[Sunrise Time (POA&gt;20 W/m2)]])*24,"")</f>
        <v>11.016666666666667</v>
      </c>
      <c r="L1552" s="2" t="s">
        <v>285</v>
      </c>
      <c r="M1552" s="33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14" t="s">
        <v>309</v>
      </c>
      <c r="Q1552" s="113" t="s">
        <v>309</v>
      </c>
      <c r="R1552">
        <v>131</v>
      </c>
      <c r="S1552" s="2">
        <v>39</v>
      </c>
      <c r="T1552" t="s">
        <v>286</v>
      </c>
      <c r="U1552" t="s">
        <v>291</v>
      </c>
      <c r="V1552" t="s">
        <v>289</v>
      </c>
      <c r="W1552" s="32"/>
      <c r="X1552" s="32"/>
      <c r="Y1552" s="26"/>
      <c r="Z1552" s="26"/>
      <c r="AA1552" s="27">
        <f>IF(TA[[#This Row],[Work Start time on Fault]]="NA","",(TA[[#This Row],[Fault Acknowledgement Time ]]-TA[[#This Row],[Fault Time]])*24)</f>
        <v>0</v>
      </c>
      <c r="AB1552" s="27">
        <f>(TA[[#This Row],[Work Start time on Fault]]-TA[[#This Row],[Fault Time]])*24</f>
        <v>0</v>
      </c>
      <c r="AC1552" s="26">
        <f>(TA[[#This Row],[Work Completion time on fault]]-TA[[#This Row],[Fault Time]])*24</f>
        <v>0</v>
      </c>
      <c r="AD1552" s="27">
        <f>IFERROR((TA[[#This Row],[Work Completion time on fault]]-TA[[#This Row],[Fault Time]])*24,"")</f>
        <v>0</v>
      </c>
      <c r="AE1552" t="s">
        <v>319</v>
      </c>
      <c r="AF1552" t="s">
        <v>247</v>
      </c>
      <c r="AG1552" s="2"/>
      <c r="AH1552" s="35">
        <f>1-COS(RADIANS(TA[[#This Row],[Avg. Target Angle during Fault Time (Radians)]]-TA[[#This Row],[Angle of affected equipment ]]))</f>
        <v>0.11705240714107301</v>
      </c>
      <c r="AI1552" s="27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43">
        <f t="shared" si="192"/>
        <v>2026</v>
      </c>
      <c r="C1553" s="116">
        <f t="shared" si="193"/>
        <v>2025</v>
      </c>
      <c r="D1553" s="2" t="s">
        <v>155</v>
      </c>
      <c r="E1553" s="2" t="s">
        <v>155</v>
      </c>
      <c r="F1553" s="30">
        <v>45839</v>
      </c>
      <c r="G1553" s="2">
        <f>DAY(EOMONTH(TA[[#This Row],[Month Year]],0))</f>
        <v>31</v>
      </c>
      <c r="H1553" s="21">
        <v>45856</v>
      </c>
      <c r="I1553" s="32">
        <f>IFERROR(VLOOKUP(TA[[#This Row],[Date]],Raw_Data[[Date]:[Sunset Time (POA&lt;20 W/m2)]],3,0),"")</f>
        <v>0.25694444444444442</v>
      </c>
      <c r="J1553" s="32">
        <f>IFERROR(VLOOKUP(TA[[#This Row],[Date]],Raw_Data[[Date]:[Sunset Time (POA&lt;20 W/m2)]],4,0),"")</f>
        <v>0.71597222222222223</v>
      </c>
      <c r="K1553" s="27">
        <f>IFERROR((TA[[#This Row],[Sunset Time (POA&lt;20 W/m2)]]-TA[[#This Row],[Sunrise Time (POA&gt;20 W/m2)]])*24,"")</f>
        <v>11.016666666666667</v>
      </c>
      <c r="L1553" s="2" t="s">
        <v>287</v>
      </c>
      <c r="M1553" s="33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14" t="s">
        <v>309</v>
      </c>
      <c r="Q1553" s="2" t="s">
        <v>312</v>
      </c>
      <c r="R1553">
        <v>133</v>
      </c>
      <c r="S1553" s="2">
        <v>26</v>
      </c>
      <c r="T1553" t="s">
        <v>288</v>
      </c>
      <c r="U1553" t="s">
        <v>291</v>
      </c>
      <c r="V1553" t="s">
        <v>305</v>
      </c>
      <c r="W1553" s="32">
        <f>IFERROR(VLOOKUP(TA[[#This Row],[Date]],Raw_Data[[Date]:[Sunset Time (POA&lt;20 W/m2)]],3,0),"")</f>
        <v>0.25694444444444442</v>
      </c>
      <c r="X1553" s="32">
        <f>IFERROR(VLOOKUP(TA[[#This Row],[Date]],Raw_Data[[Date]:[Sunset Time (POA&lt;20 W/m2)]],3,0),"")</f>
        <v>0.25694444444444442</v>
      </c>
      <c r="Y1553" s="26"/>
      <c r="Z1553" s="26">
        <v>0.76041666666666663</v>
      </c>
      <c r="AA1553" s="27">
        <f>IF(TA[[#This Row],[Work Start time on Fault]]="NA","",(TA[[#This Row],[Fault Acknowledgement Time ]]-TA[[#This Row],[Fault Time]])*24)</f>
        <v>0</v>
      </c>
      <c r="AB1553" s="27">
        <f>(TA[[#This Row],[Work Start time on Fault]]-TA[[#This Row],[Fault Time]])*24</f>
        <v>-6.1666666666666661</v>
      </c>
      <c r="AC1553" s="26">
        <f>(TA[[#This Row],[Work Completion time on fault]]-TA[[#This Row],[Fault Time]])*24</f>
        <v>12.083333333333332</v>
      </c>
      <c r="AD1553" s="27">
        <f>IFERROR((TA[[#This Row],[Work Completion time on fault]]-TA[[#This Row],[Fault Time]])*24,"")</f>
        <v>12.083333333333332</v>
      </c>
      <c r="AE1553" t="s">
        <v>319</v>
      </c>
      <c r="AF1553" t="s">
        <v>247</v>
      </c>
      <c r="AG1553" s="2"/>
      <c r="AH1553" s="35">
        <f>1-COS(RADIANS(TA[[#This Row],[Avg. Target Angle during Fault Time (Radians)]]-TA[[#This Row],[Angle of affected equipment ]]))</f>
        <v>0.11705240714107301</v>
      </c>
      <c r="AI1553" s="27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43">
        <f t="shared" si="192"/>
        <v>2026</v>
      </c>
      <c r="C1554" s="116">
        <f t="shared" si="193"/>
        <v>2025</v>
      </c>
      <c r="D1554" s="2" t="s">
        <v>155</v>
      </c>
      <c r="E1554" s="2" t="s">
        <v>155</v>
      </c>
      <c r="F1554" s="30">
        <v>45839</v>
      </c>
      <c r="G1554" s="2">
        <f>DAY(EOMONTH(TA[[#This Row],[Month Year]],0))</f>
        <v>31</v>
      </c>
      <c r="H1554" s="21">
        <v>45856</v>
      </c>
      <c r="I1554" s="32">
        <f>IFERROR(VLOOKUP(TA[[#This Row],[Date]],Raw_Data[[Date]:[Sunset Time (POA&lt;20 W/m2)]],3,0),"")</f>
        <v>0.25694444444444442</v>
      </c>
      <c r="J1554" s="32">
        <f>IFERROR(VLOOKUP(TA[[#This Row],[Date]],Raw_Data[[Date]:[Sunset Time (POA&lt;20 W/m2)]],4,0),"")</f>
        <v>0.71597222222222223</v>
      </c>
      <c r="K1554" s="27">
        <f>IFERROR((TA[[#This Row],[Sunset Time (POA&lt;20 W/m2)]]-TA[[#This Row],[Sunrise Time (POA&gt;20 W/m2)]])*24,"")</f>
        <v>11.016666666666667</v>
      </c>
      <c r="L1554" s="2" t="s">
        <v>285</v>
      </c>
      <c r="M1554" s="33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14" t="s">
        <v>307</v>
      </c>
      <c r="Q1554" s="113" t="s">
        <v>308</v>
      </c>
      <c r="R1554">
        <v>7</v>
      </c>
      <c r="S1554" s="2">
        <v>32</v>
      </c>
      <c r="T1554" t="s">
        <v>286</v>
      </c>
      <c r="U1554" t="s">
        <v>291</v>
      </c>
      <c r="V1554" t="s">
        <v>289</v>
      </c>
      <c r="W1554" s="32"/>
      <c r="X1554" s="32"/>
      <c r="Y1554" s="26"/>
      <c r="Z1554" s="26"/>
      <c r="AA1554" s="27">
        <f>IF(TA[[#This Row],[Work Start time on Fault]]="NA","",(TA[[#This Row],[Fault Acknowledgement Time ]]-TA[[#This Row],[Fault Time]])*24)</f>
        <v>0</v>
      </c>
      <c r="AB1554" s="27">
        <f>(TA[[#This Row],[Work Start time on Fault]]-TA[[#This Row],[Fault Time]])*24</f>
        <v>0</v>
      </c>
      <c r="AC1554" s="26">
        <f>(TA[[#This Row],[Work Completion time on fault]]-TA[[#This Row],[Fault Time]])*24</f>
        <v>0</v>
      </c>
      <c r="AD1554" s="27">
        <f>IFERROR((TA[[#This Row],[Work Completion time on fault]]-TA[[#This Row],[Fault Time]])*24,"")</f>
        <v>0</v>
      </c>
      <c r="AE1554" t="s">
        <v>319</v>
      </c>
      <c r="AF1554" t="s">
        <v>247</v>
      </c>
      <c r="AG1554" s="2"/>
      <c r="AH1554" s="35">
        <f>1-COS(RADIANS(TA[[#This Row],[Avg. Target Angle during Fault Time (Radians)]]-TA[[#This Row],[Angle of affected equipment ]]))</f>
        <v>0.11705240714107301</v>
      </c>
      <c r="AI1554" s="27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43">
        <f t="shared" si="192"/>
        <v>2026</v>
      </c>
      <c r="C1555" s="116">
        <f t="shared" si="193"/>
        <v>2025</v>
      </c>
      <c r="D1555" s="2" t="s">
        <v>155</v>
      </c>
      <c r="E1555" s="2" t="s">
        <v>155</v>
      </c>
      <c r="F1555" s="30">
        <v>45839</v>
      </c>
      <c r="G1555" s="2">
        <f>DAY(EOMONTH(TA[[#This Row],[Month Year]],0))</f>
        <v>31</v>
      </c>
      <c r="H1555" s="21">
        <v>45856</v>
      </c>
      <c r="I1555" s="32">
        <f>IFERROR(VLOOKUP(TA[[#This Row],[Date]],Raw_Data[[Date]:[Sunset Time (POA&lt;20 W/m2)]],3,0),"")</f>
        <v>0.25694444444444442</v>
      </c>
      <c r="J1555" s="32">
        <f>IFERROR(VLOOKUP(TA[[#This Row],[Date]],Raw_Data[[Date]:[Sunset Time (POA&lt;20 W/m2)]],4,0),"")</f>
        <v>0.71597222222222223</v>
      </c>
      <c r="K1555" s="27">
        <f>IFERROR((TA[[#This Row],[Sunset Time (POA&lt;20 W/m2)]]-TA[[#This Row],[Sunrise Time (POA&gt;20 W/m2)]])*24,"")</f>
        <v>11.016666666666667</v>
      </c>
      <c r="L1555" s="2" t="s">
        <v>285</v>
      </c>
      <c r="M1555" s="33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14" t="s">
        <v>306</v>
      </c>
      <c r="Q1555" s="113" t="s">
        <v>310</v>
      </c>
      <c r="R1555">
        <v>166</v>
      </c>
      <c r="S1555" s="2">
        <v>91</v>
      </c>
      <c r="T1555" t="s">
        <v>286</v>
      </c>
      <c r="U1555" t="s">
        <v>291</v>
      </c>
      <c r="V1555" t="s">
        <v>289</v>
      </c>
      <c r="W1555" s="32"/>
      <c r="X1555" s="32"/>
      <c r="Y1555" s="26"/>
      <c r="Z1555" s="26"/>
      <c r="AA1555" s="27">
        <f>IF(TA[[#This Row],[Work Start time on Fault]]="NA","",(TA[[#This Row],[Fault Acknowledgement Time ]]-TA[[#This Row],[Fault Time]])*24)</f>
        <v>0</v>
      </c>
      <c r="AB1555" s="27">
        <f>(TA[[#This Row],[Work Start time on Fault]]-TA[[#This Row],[Fault Time]])*24</f>
        <v>0</v>
      </c>
      <c r="AC1555" s="26">
        <f>(TA[[#This Row],[Work Completion time on fault]]-TA[[#This Row],[Fault Time]])*24</f>
        <v>0</v>
      </c>
      <c r="AD1555" s="27">
        <f>IFERROR((TA[[#This Row],[Work Completion time on fault]]-TA[[#This Row],[Fault Time]])*24,"")</f>
        <v>0</v>
      </c>
      <c r="AE1555" t="s">
        <v>319</v>
      </c>
      <c r="AF1555" t="s">
        <v>247</v>
      </c>
      <c r="AG1555" s="2"/>
      <c r="AH1555" s="35">
        <f>1-COS(RADIANS(TA[[#This Row],[Avg. Target Angle during Fault Time (Radians)]]-TA[[#This Row],[Angle of affected equipment ]]))</f>
        <v>0.11705240714107301</v>
      </c>
      <c r="AI1555" s="27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43">
        <f t="shared" si="192"/>
        <v>2026</v>
      </c>
      <c r="C1556" s="116">
        <f t="shared" si="193"/>
        <v>2025</v>
      </c>
      <c r="D1556" s="2" t="s">
        <v>155</v>
      </c>
      <c r="E1556" s="2" t="s">
        <v>155</v>
      </c>
      <c r="F1556" s="30">
        <v>45839</v>
      </c>
      <c r="G1556" s="2">
        <f>DAY(EOMONTH(TA[[#This Row],[Month Year]],0))</f>
        <v>31</v>
      </c>
      <c r="H1556" s="21">
        <v>45856</v>
      </c>
      <c r="I1556" s="32">
        <f>IFERROR(VLOOKUP(TA[[#This Row],[Date]],Raw_Data[[Date]:[Sunset Time (POA&lt;20 W/m2)]],3,0),"")</f>
        <v>0.25694444444444442</v>
      </c>
      <c r="J1556" s="32">
        <f>IFERROR(VLOOKUP(TA[[#This Row],[Date]],Raw_Data[[Date]:[Sunset Time (POA&lt;20 W/m2)]],4,0),"")</f>
        <v>0.71597222222222223</v>
      </c>
      <c r="K1556" s="27">
        <f>IFERROR((TA[[#This Row],[Sunset Time (POA&lt;20 W/m2)]]-TA[[#This Row],[Sunrise Time (POA&gt;20 W/m2)]])*24,"")</f>
        <v>11.016666666666667</v>
      </c>
      <c r="L1556" s="2" t="s">
        <v>285</v>
      </c>
      <c r="M1556" s="33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14" t="s">
        <v>307</v>
      </c>
      <c r="Q1556" s="113" t="s">
        <v>307</v>
      </c>
      <c r="R1556">
        <v>117</v>
      </c>
      <c r="S1556" s="2">
        <v>20</v>
      </c>
      <c r="T1556" t="s">
        <v>286</v>
      </c>
      <c r="U1556" t="s">
        <v>291</v>
      </c>
      <c r="V1556" t="s">
        <v>289</v>
      </c>
      <c r="W1556" s="32"/>
      <c r="X1556" s="32"/>
      <c r="Y1556" s="26"/>
      <c r="Z1556" s="26"/>
      <c r="AA1556" s="27">
        <f>IF(TA[[#This Row],[Work Start time on Fault]]="NA","",(TA[[#This Row],[Fault Acknowledgement Time ]]-TA[[#This Row],[Fault Time]])*24)</f>
        <v>0</v>
      </c>
      <c r="AB1556" s="27">
        <f>(TA[[#This Row],[Work Start time on Fault]]-TA[[#This Row],[Fault Time]])*24</f>
        <v>0</v>
      </c>
      <c r="AC1556" s="26">
        <f>(TA[[#This Row],[Work Completion time on fault]]-TA[[#This Row],[Fault Time]])*24</f>
        <v>0</v>
      </c>
      <c r="AD1556" s="27">
        <f>IFERROR((TA[[#This Row],[Work Completion time on fault]]-TA[[#This Row],[Fault Time]])*24,"")</f>
        <v>0</v>
      </c>
      <c r="AE1556" t="s">
        <v>319</v>
      </c>
      <c r="AF1556" t="s">
        <v>247</v>
      </c>
      <c r="AG1556" s="2"/>
      <c r="AH1556" s="35">
        <f>1-COS(RADIANS(TA[[#This Row],[Avg. Target Angle during Fault Time (Radians)]]-TA[[#This Row],[Angle of affected equipment ]]))</f>
        <v>0.11705240714107301</v>
      </c>
      <c r="AI1556" s="27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43">
        <f t="shared" si="192"/>
        <v>2026</v>
      </c>
      <c r="C1557" s="116">
        <f t="shared" si="193"/>
        <v>2025</v>
      </c>
      <c r="D1557" s="2" t="s">
        <v>155</v>
      </c>
      <c r="E1557" s="2" t="s">
        <v>155</v>
      </c>
      <c r="F1557" s="30">
        <v>45839</v>
      </c>
      <c r="G1557" s="2">
        <f>DAY(EOMONTH(TA[[#This Row],[Month Year]],0))</f>
        <v>31</v>
      </c>
      <c r="H1557" s="21">
        <v>45856</v>
      </c>
      <c r="I1557" s="32">
        <f>IFERROR(VLOOKUP(TA[[#This Row],[Date]],Raw_Data[[Date]:[Sunset Time (POA&lt;20 W/m2)]],3,0),"")</f>
        <v>0.25694444444444442</v>
      </c>
      <c r="J1557" s="32">
        <f>IFERROR(VLOOKUP(TA[[#This Row],[Date]],Raw_Data[[Date]:[Sunset Time (POA&lt;20 W/m2)]],4,0),"")</f>
        <v>0.71597222222222223</v>
      </c>
      <c r="K1557" s="27">
        <f>IFERROR((TA[[#This Row],[Sunset Time (POA&lt;20 W/m2)]]-TA[[#This Row],[Sunrise Time (POA&gt;20 W/m2)]])*24,"")</f>
        <v>11.016666666666667</v>
      </c>
      <c r="L1557" s="2" t="s">
        <v>285</v>
      </c>
      <c r="M1557" s="33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14" t="s">
        <v>307</v>
      </c>
      <c r="Q1557" s="113" t="s">
        <v>307</v>
      </c>
      <c r="R1557">
        <v>118</v>
      </c>
      <c r="S1557" s="2">
        <v>22</v>
      </c>
      <c r="T1557" t="s">
        <v>286</v>
      </c>
      <c r="U1557" t="s">
        <v>291</v>
      </c>
      <c r="V1557" t="s">
        <v>289</v>
      </c>
      <c r="W1557" s="32"/>
      <c r="X1557" s="32"/>
      <c r="Y1557" s="26"/>
      <c r="Z1557" s="26"/>
      <c r="AA1557" s="27">
        <f>IF(TA[[#This Row],[Work Start time on Fault]]="NA","",(TA[[#This Row],[Fault Acknowledgement Time ]]-TA[[#This Row],[Fault Time]])*24)</f>
        <v>0</v>
      </c>
      <c r="AB1557" s="27">
        <f>(TA[[#This Row],[Work Start time on Fault]]-TA[[#This Row],[Fault Time]])*24</f>
        <v>0</v>
      </c>
      <c r="AC1557" s="26">
        <f>(TA[[#This Row],[Work Completion time on fault]]-TA[[#This Row],[Fault Time]])*24</f>
        <v>0</v>
      </c>
      <c r="AD1557" s="27">
        <f>IFERROR((TA[[#This Row],[Work Completion time on fault]]-TA[[#This Row],[Fault Time]])*24,"")</f>
        <v>0</v>
      </c>
      <c r="AE1557" t="s">
        <v>319</v>
      </c>
      <c r="AF1557" t="s">
        <v>247</v>
      </c>
      <c r="AG1557" s="2"/>
      <c r="AH1557" s="35">
        <f>1-COS(RADIANS(TA[[#This Row],[Avg. Target Angle during Fault Time (Radians)]]-TA[[#This Row],[Angle of affected equipment ]]))</f>
        <v>0.11705240714107301</v>
      </c>
      <c r="AI1557" s="27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43">
        <f t="shared" si="192"/>
        <v>2026</v>
      </c>
      <c r="C1558" s="116">
        <f t="shared" si="193"/>
        <v>2025</v>
      </c>
      <c r="D1558" s="2" t="s">
        <v>155</v>
      </c>
      <c r="E1558" s="2" t="s">
        <v>155</v>
      </c>
      <c r="F1558" s="30">
        <v>45839</v>
      </c>
      <c r="G1558" s="2">
        <f>DAY(EOMONTH(TA[[#This Row],[Month Year]],0))</f>
        <v>31</v>
      </c>
      <c r="H1558" s="21">
        <v>45856</v>
      </c>
      <c r="I1558" s="32">
        <f>IFERROR(VLOOKUP(TA[[#This Row],[Date]],Raw_Data[[Date]:[Sunset Time (POA&lt;20 W/m2)]],3,0),"")</f>
        <v>0.25694444444444442</v>
      </c>
      <c r="J1558" s="32">
        <f>IFERROR(VLOOKUP(TA[[#This Row],[Date]],Raw_Data[[Date]:[Sunset Time (POA&lt;20 W/m2)]],4,0),"")</f>
        <v>0.71597222222222223</v>
      </c>
      <c r="K1558" s="27">
        <f>IFERROR((TA[[#This Row],[Sunset Time (POA&lt;20 W/m2)]]-TA[[#This Row],[Sunrise Time (POA&gt;20 W/m2)]])*24,"")</f>
        <v>11.016666666666667</v>
      </c>
      <c r="L1558" s="2" t="s">
        <v>287</v>
      </c>
      <c r="M1558" s="33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314</v>
      </c>
      <c r="Q1558" s="2" t="s">
        <v>320</v>
      </c>
      <c r="R1558">
        <v>45</v>
      </c>
      <c r="S1558" s="2">
        <v>8</v>
      </c>
      <c r="T1558" t="s">
        <v>288</v>
      </c>
      <c r="U1558" t="s">
        <v>291</v>
      </c>
      <c r="V1558" t="s">
        <v>292</v>
      </c>
      <c r="W1558" s="32"/>
      <c r="X1558" s="32"/>
      <c r="Y1558" s="26"/>
      <c r="Z1558" s="26"/>
      <c r="AA1558" s="27">
        <f>IF(TA[[#This Row],[Work Start time on Fault]]="NA","",(TA[[#This Row],[Fault Acknowledgement Time ]]-TA[[#This Row],[Fault Time]])*24)</f>
        <v>0</v>
      </c>
      <c r="AB1558" s="27">
        <f>(TA[[#This Row],[Work Start time on Fault]]-TA[[#This Row],[Fault Time]])*24</f>
        <v>0</v>
      </c>
      <c r="AC1558" s="26">
        <f>(TA[[#This Row],[Work Completion time on fault]]-TA[[#This Row],[Fault Time]])*24</f>
        <v>0</v>
      </c>
      <c r="AD1558" s="27">
        <f>IFERROR((TA[[#This Row],[Work Completion time on fault]]-TA[[#This Row],[Fault Time]])*24,"")</f>
        <v>0</v>
      </c>
      <c r="AE1558" t="s">
        <v>319</v>
      </c>
      <c r="AF1558" t="s">
        <v>247</v>
      </c>
      <c r="AG1558" s="2"/>
      <c r="AH1558" s="35">
        <f>1-COS(RADIANS(TA[[#This Row],[Avg. Target Angle during Fault Time (Radians)]]-TA[[#This Row],[Angle of affected equipment ]]))</f>
        <v>0.11705240714107301</v>
      </c>
      <c r="AI1558" s="27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43">
        <f t="shared" si="192"/>
        <v>2026</v>
      </c>
      <c r="C1559" s="116">
        <f t="shared" si="193"/>
        <v>2025</v>
      </c>
      <c r="D1559" s="2" t="s">
        <v>155</v>
      </c>
      <c r="E1559" s="2" t="s">
        <v>155</v>
      </c>
      <c r="F1559" s="30">
        <v>45839</v>
      </c>
      <c r="G1559" s="2">
        <f>DAY(EOMONTH(TA[[#This Row],[Month Year]],0))</f>
        <v>31</v>
      </c>
      <c r="H1559" s="21">
        <v>45856</v>
      </c>
      <c r="I1559" s="32">
        <f>IFERROR(VLOOKUP(TA[[#This Row],[Date]],Raw_Data[[Date]:[Sunset Time (POA&lt;20 W/m2)]],3,0),"")</f>
        <v>0.25694444444444442</v>
      </c>
      <c r="J1559" s="32">
        <f>IFERROR(VLOOKUP(TA[[#This Row],[Date]],Raw_Data[[Date]:[Sunset Time (POA&lt;20 W/m2)]],4,0),"")</f>
        <v>0.71597222222222223</v>
      </c>
      <c r="K1559" s="27">
        <f>IFERROR((TA[[#This Row],[Sunset Time (POA&lt;20 W/m2)]]-TA[[#This Row],[Sunrise Time (POA&gt;20 W/m2)]])*24,"")</f>
        <v>11.016666666666667</v>
      </c>
      <c r="L1559" s="2" t="s">
        <v>287</v>
      </c>
      <c r="M1559" s="33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314</v>
      </c>
      <c r="Q1559" s="2" t="s">
        <v>320</v>
      </c>
      <c r="R1559">
        <v>47</v>
      </c>
      <c r="S1559" s="2">
        <v>18</v>
      </c>
      <c r="T1559" t="s">
        <v>288</v>
      </c>
      <c r="U1559" t="s">
        <v>291</v>
      </c>
      <c r="V1559" t="s">
        <v>292</v>
      </c>
      <c r="W1559" s="32"/>
      <c r="X1559" s="32"/>
      <c r="Y1559" s="26"/>
      <c r="Z1559" s="26"/>
      <c r="AA1559" s="27">
        <f>IF(TA[[#This Row],[Work Start time on Fault]]="NA","",(TA[[#This Row],[Fault Acknowledgement Time ]]-TA[[#This Row],[Fault Time]])*24)</f>
        <v>0</v>
      </c>
      <c r="AB1559" s="27">
        <f>(TA[[#This Row],[Work Start time on Fault]]-TA[[#This Row],[Fault Time]])*24</f>
        <v>0</v>
      </c>
      <c r="AC1559" s="26">
        <f>(TA[[#This Row],[Work Completion time on fault]]-TA[[#This Row],[Fault Time]])*24</f>
        <v>0</v>
      </c>
      <c r="AD1559" s="27">
        <f>IFERROR((TA[[#This Row],[Work Completion time on fault]]-TA[[#This Row],[Fault Time]])*24,"")</f>
        <v>0</v>
      </c>
      <c r="AE1559" t="s">
        <v>319</v>
      </c>
      <c r="AF1559" t="s">
        <v>247</v>
      </c>
      <c r="AG1559" s="2"/>
      <c r="AH1559" s="35">
        <f>1-COS(RADIANS(TA[[#This Row],[Avg. Target Angle during Fault Time (Radians)]]-TA[[#This Row],[Angle of affected equipment ]]))</f>
        <v>0.11705240714107301</v>
      </c>
      <c r="AI1559" s="27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43">
        <f t="shared" si="192"/>
        <v>2026</v>
      </c>
      <c r="C1560" s="116">
        <f t="shared" si="193"/>
        <v>2025</v>
      </c>
      <c r="D1560" s="2" t="s">
        <v>155</v>
      </c>
      <c r="E1560" s="2" t="s">
        <v>155</v>
      </c>
      <c r="F1560" s="30">
        <v>45839</v>
      </c>
      <c r="G1560" s="2">
        <f>DAY(EOMONTH(TA[[#This Row],[Month Year]],0))</f>
        <v>31</v>
      </c>
      <c r="H1560" s="21">
        <v>45856</v>
      </c>
      <c r="I1560" s="32">
        <f>IFERROR(VLOOKUP(TA[[#This Row],[Date]],Raw_Data[[Date]:[Sunset Time (POA&lt;20 W/m2)]],3,0),"")</f>
        <v>0.25694444444444442</v>
      </c>
      <c r="J1560" s="32">
        <f>IFERROR(VLOOKUP(TA[[#This Row],[Date]],Raw_Data[[Date]:[Sunset Time (POA&lt;20 W/m2)]],4,0),"")</f>
        <v>0.71597222222222223</v>
      </c>
      <c r="K1560" s="27">
        <f>IFERROR((TA[[#This Row],[Sunset Time (POA&lt;20 W/m2)]]-TA[[#This Row],[Sunrise Time (POA&gt;20 W/m2)]])*24,"")</f>
        <v>11.016666666666667</v>
      </c>
      <c r="L1560" s="2" t="s">
        <v>287</v>
      </c>
      <c r="M1560" s="33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321</v>
      </c>
      <c r="Q1560" s="2" t="s">
        <v>314</v>
      </c>
      <c r="R1560">
        <v>30</v>
      </c>
      <c r="S1560" s="2">
        <v>57</v>
      </c>
      <c r="T1560" t="s">
        <v>288</v>
      </c>
      <c r="U1560" t="s">
        <v>291</v>
      </c>
      <c r="V1560" t="s">
        <v>292</v>
      </c>
      <c r="W1560" s="32"/>
      <c r="X1560" s="32"/>
      <c r="Y1560" s="26"/>
      <c r="Z1560" s="26"/>
      <c r="AA1560" s="27">
        <f>IF(TA[[#This Row],[Work Start time on Fault]]="NA","",(TA[[#This Row],[Fault Acknowledgement Time ]]-TA[[#This Row],[Fault Time]])*24)</f>
        <v>0</v>
      </c>
      <c r="AB1560" s="27">
        <f>(TA[[#This Row],[Work Start time on Fault]]-TA[[#This Row],[Fault Time]])*24</f>
        <v>0</v>
      </c>
      <c r="AC1560" s="26">
        <f>(TA[[#This Row],[Work Completion time on fault]]-TA[[#This Row],[Fault Time]])*24</f>
        <v>0</v>
      </c>
      <c r="AD1560" s="27">
        <f>IFERROR((TA[[#This Row],[Work Completion time on fault]]-TA[[#This Row],[Fault Time]])*24,"")</f>
        <v>0</v>
      </c>
      <c r="AE1560" t="s">
        <v>319</v>
      </c>
      <c r="AF1560" t="s">
        <v>247</v>
      </c>
      <c r="AG1560" s="2"/>
      <c r="AH1560" s="35">
        <f>1-COS(RADIANS(TA[[#This Row],[Avg. Target Angle during Fault Time (Radians)]]-TA[[#This Row],[Angle of affected equipment ]]))</f>
        <v>0.11705240714107301</v>
      </c>
      <c r="AI1560" s="27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43">
        <f t="shared" si="192"/>
        <v>2026</v>
      </c>
      <c r="C1561" s="116">
        <f t="shared" si="193"/>
        <v>2025</v>
      </c>
      <c r="D1561" s="2" t="s">
        <v>155</v>
      </c>
      <c r="E1561" s="2" t="s">
        <v>155</v>
      </c>
      <c r="F1561" s="30">
        <v>45839</v>
      </c>
      <c r="G1561" s="2">
        <f>DAY(EOMONTH(TA[[#This Row],[Month Year]],0))</f>
        <v>31</v>
      </c>
      <c r="H1561" s="21">
        <v>45856</v>
      </c>
      <c r="I1561" s="32">
        <f>IFERROR(VLOOKUP(TA[[#This Row],[Date]],Raw_Data[[Date]:[Sunset Time (POA&lt;20 W/m2)]],3,0),"")</f>
        <v>0.25694444444444442</v>
      </c>
      <c r="J1561" s="32">
        <f>IFERROR(VLOOKUP(TA[[#This Row],[Date]],Raw_Data[[Date]:[Sunset Time (POA&lt;20 W/m2)]],4,0),"")</f>
        <v>0.71597222222222223</v>
      </c>
      <c r="K1561" s="27">
        <f>IFERROR((TA[[#This Row],[Sunset Time (POA&lt;20 W/m2)]]-TA[[#This Row],[Sunrise Time (POA&gt;20 W/m2)]])*24,"")</f>
        <v>11.016666666666667</v>
      </c>
      <c r="L1561" s="2" t="s">
        <v>287</v>
      </c>
      <c r="M1561" s="33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321</v>
      </c>
      <c r="Q1561" s="2" t="s">
        <v>314</v>
      </c>
      <c r="R1561">
        <v>31</v>
      </c>
      <c r="S1561" s="2">
        <v>61</v>
      </c>
      <c r="T1561" t="s">
        <v>288</v>
      </c>
      <c r="U1561" t="s">
        <v>291</v>
      </c>
      <c r="V1561" t="s">
        <v>292</v>
      </c>
      <c r="W1561" s="32"/>
      <c r="X1561" s="32"/>
      <c r="Y1561" s="26"/>
      <c r="Z1561" s="26"/>
      <c r="AA1561" s="27">
        <f>IF(TA[[#This Row],[Work Start time on Fault]]="NA","",(TA[[#This Row],[Fault Acknowledgement Time ]]-TA[[#This Row],[Fault Time]])*24)</f>
        <v>0</v>
      </c>
      <c r="AB1561" s="27">
        <f>(TA[[#This Row],[Work Start time on Fault]]-TA[[#This Row],[Fault Time]])*24</f>
        <v>0</v>
      </c>
      <c r="AC1561" s="26">
        <f>(TA[[#This Row],[Work Completion time on fault]]-TA[[#This Row],[Fault Time]])*24</f>
        <v>0</v>
      </c>
      <c r="AD1561" s="27">
        <f>IFERROR((TA[[#This Row],[Work Completion time on fault]]-TA[[#This Row],[Fault Time]])*24,"")</f>
        <v>0</v>
      </c>
      <c r="AE1561" t="s">
        <v>319</v>
      </c>
      <c r="AF1561" t="s">
        <v>247</v>
      </c>
      <c r="AG1561" s="2"/>
      <c r="AH1561" s="35">
        <f>1-COS(RADIANS(TA[[#This Row],[Avg. Target Angle during Fault Time (Radians)]]-TA[[#This Row],[Angle of affected equipment ]]))</f>
        <v>0.11705240714107301</v>
      </c>
      <c r="AI1561" s="27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43">
        <f t="shared" si="192"/>
        <v>2026</v>
      </c>
      <c r="C1562" s="116">
        <f t="shared" si="193"/>
        <v>2025</v>
      </c>
      <c r="D1562" s="2" t="s">
        <v>155</v>
      </c>
      <c r="E1562" s="2" t="s">
        <v>155</v>
      </c>
      <c r="F1562" s="30">
        <v>45839</v>
      </c>
      <c r="G1562" s="2">
        <f>DAY(EOMONTH(TA[[#This Row],[Month Year]],0))</f>
        <v>31</v>
      </c>
      <c r="H1562" s="21">
        <v>45856</v>
      </c>
      <c r="I1562" s="32">
        <f>IFERROR(VLOOKUP(TA[[#This Row],[Date]],Raw_Data[[Date]:[Sunset Time (POA&lt;20 W/m2)]],3,0),"")</f>
        <v>0.25694444444444442</v>
      </c>
      <c r="J1562" s="32">
        <f>IFERROR(VLOOKUP(TA[[#This Row],[Date]],Raw_Data[[Date]:[Sunset Time (POA&lt;20 W/m2)]],4,0),"")</f>
        <v>0.71597222222222223</v>
      </c>
      <c r="K1562" s="27">
        <f>IFERROR((TA[[#This Row],[Sunset Time (POA&lt;20 W/m2)]]-TA[[#This Row],[Sunrise Time (POA&gt;20 W/m2)]])*24,"")</f>
        <v>11.016666666666667</v>
      </c>
      <c r="L1562" s="2" t="s">
        <v>303</v>
      </c>
      <c r="M1562" s="33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321</v>
      </c>
      <c r="Q1562" s="2" t="s">
        <v>314</v>
      </c>
      <c r="R1562">
        <v>26</v>
      </c>
      <c r="S1562" s="2">
        <v>37</v>
      </c>
      <c r="T1562" t="s">
        <v>288</v>
      </c>
      <c r="U1562" t="s">
        <v>291</v>
      </c>
      <c r="V1562" t="s">
        <v>292</v>
      </c>
      <c r="W1562" s="32"/>
      <c r="X1562" s="32"/>
      <c r="Y1562" s="26"/>
      <c r="Z1562" s="26"/>
      <c r="AA1562" s="27">
        <f>IF(TA[[#This Row],[Work Start time on Fault]]="NA","",(TA[[#This Row],[Fault Acknowledgement Time ]]-TA[[#This Row],[Fault Time]])*24)</f>
        <v>0</v>
      </c>
      <c r="AB1562" s="27">
        <f>(TA[[#This Row],[Work Start time on Fault]]-TA[[#This Row],[Fault Time]])*24</f>
        <v>0</v>
      </c>
      <c r="AC1562" s="26">
        <f>(TA[[#This Row],[Work Completion time on fault]]-TA[[#This Row],[Fault Time]])*24</f>
        <v>0</v>
      </c>
      <c r="AD1562" s="27">
        <f>IFERROR((TA[[#This Row],[Work Completion time on fault]]-TA[[#This Row],[Fault Time]])*24,"")</f>
        <v>0</v>
      </c>
      <c r="AE1562" t="s">
        <v>319</v>
      </c>
      <c r="AF1562" t="s">
        <v>247</v>
      </c>
      <c r="AG1562" s="2"/>
      <c r="AH1562" s="35">
        <f>1-COS(RADIANS(TA[[#This Row],[Avg. Target Angle during Fault Time (Radians)]]-TA[[#This Row],[Angle of affected equipment ]]))</f>
        <v>0.11705240714107301</v>
      </c>
      <c r="AI1562" s="27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43">
        <f t="shared" si="192"/>
        <v>2026</v>
      </c>
      <c r="C1563" s="116">
        <f t="shared" si="193"/>
        <v>2025</v>
      </c>
      <c r="D1563" s="2" t="s">
        <v>155</v>
      </c>
      <c r="E1563" s="2" t="s">
        <v>155</v>
      </c>
      <c r="F1563" s="30">
        <v>45839</v>
      </c>
      <c r="G1563" s="2">
        <f>DAY(EOMONTH(TA[[#This Row],[Month Year]],0))</f>
        <v>31</v>
      </c>
      <c r="H1563" s="21">
        <v>45856</v>
      </c>
      <c r="I1563" s="32">
        <f>IFERROR(VLOOKUP(TA[[#This Row],[Date]],Raw_Data[[Date]:[Sunset Time (POA&lt;20 W/m2)]],3,0),"")</f>
        <v>0.25694444444444442</v>
      </c>
      <c r="J1563" s="32">
        <f>IFERROR(VLOOKUP(TA[[#This Row],[Date]],Raw_Data[[Date]:[Sunset Time (POA&lt;20 W/m2)]],4,0),"")</f>
        <v>0.71597222222222223</v>
      </c>
      <c r="K1563" s="27">
        <f>IFERROR((TA[[#This Row],[Sunset Time (POA&lt;20 W/m2)]]-TA[[#This Row],[Sunrise Time (POA&gt;20 W/m2)]])*24,"")</f>
        <v>11.016666666666667</v>
      </c>
      <c r="L1563" s="2" t="s">
        <v>303</v>
      </c>
      <c r="M1563" s="33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321</v>
      </c>
      <c r="Q1563" s="2" t="s">
        <v>314</v>
      </c>
      <c r="R1563">
        <v>27</v>
      </c>
      <c r="S1563" s="2">
        <v>42</v>
      </c>
      <c r="T1563" t="s">
        <v>288</v>
      </c>
      <c r="U1563" t="s">
        <v>291</v>
      </c>
      <c r="V1563" t="s">
        <v>292</v>
      </c>
      <c r="W1563" s="32">
        <f>IFERROR(VLOOKUP(TA[[#This Row],[Date]],Raw_Data[[Date]:[Sunset Time (POA&lt;20 W/m2)]],3,0),"")</f>
        <v>0.25694444444444442</v>
      </c>
      <c r="X1563" s="32">
        <f>IFERROR(VLOOKUP(TA[[#This Row],[Date]],Raw_Data[[Date]:[Sunset Time (POA&lt;20 W/m2)]],3,0),"")</f>
        <v>0.25694444444444442</v>
      </c>
      <c r="Y1563" s="26"/>
      <c r="Z1563" s="26">
        <v>0.76041666666666663</v>
      </c>
      <c r="AA1563" s="27">
        <f>IF(TA[[#This Row],[Work Start time on Fault]]="NA","",(TA[[#This Row],[Fault Acknowledgement Time ]]-TA[[#This Row],[Fault Time]])*24)</f>
        <v>0</v>
      </c>
      <c r="AB1563" s="27">
        <f>(TA[[#This Row],[Work Start time on Fault]]-TA[[#This Row],[Fault Time]])*24</f>
        <v>-6.1666666666666661</v>
      </c>
      <c r="AC1563" s="26">
        <f>(TA[[#This Row],[Work Completion time on fault]]-TA[[#This Row],[Fault Time]])*24</f>
        <v>12.083333333333332</v>
      </c>
      <c r="AD1563" s="27">
        <f>IFERROR((TA[[#This Row],[Work Completion time on fault]]-TA[[#This Row],[Fault Time]])*24,"")</f>
        <v>12.083333333333332</v>
      </c>
      <c r="AE1563" t="s">
        <v>300</v>
      </c>
      <c r="AF1563" t="s">
        <v>247</v>
      </c>
      <c r="AG1563" s="2"/>
      <c r="AH1563" s="35">
        <f>1-COS(RADIANS(TA[[#This Row],[Avg. Target Angle during Fault Time (Radians)]]-TA[[#This Row],[Angle of affected equipment ]]))</f>
        <v>0.11705240714107301</v>
      </c>
      <c r="AI1563" s="27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43">
        <f t="shared" ref="B1564:B1576" si="194">YEAR(H1564)+IF(MONTH(H1564)&gt;=4,1,0)</f>
        <v>2026</v>
      </c>
      <c r="C1564" s="116">
        <f t="shared" ref="C1564:C1576" si="195">YEAR(H1564)</f>
        <v>2025</v>
      </c>
      <c r="D1564" s="2" t="s">
        <v>155</v>
      </c>
      <c r="E1564" s="2" t="s">
        <v>155</v>
      </c>
      <c r="F1564" s="30">
        <v>45839</v>
      </c>
      <c r="G1564" s="2">
        <f>DAY(EOMONTH(TA[[#This Row],[Month Year]],0))</f>
        <v>31</v>
      </c>
      <c r="H1564" s="21">
        <v>45857</v>
      </c>
      <c r="I1564" s="32">
        <f>IFERROR(VLOOKUP(TA[[#This Row],[Date]],Raw_Data[[Date]:[Sunset Time (POA&lt;20 W/m2)]],3,0),"")</f>
        <v>0.25694444444444442</v>
      </c>
      <c r="J1564" s="32">
        <f>IFERROR(VLOOKUP(TA[[#This Row],[Date]],Raw_Data[[Date]:[Sunset Time (POA&lt;20 W/m2)]],4,0),"")</f>
        <v>0.77777777777777779</v>
      </c>
      <c r="K1564" s="27">
        <f>IFERROR((TA[[#This Row],[Sunset Time (POA&lt;20 W/m2)]]-TA[[#This Row],[Sunrise Time (POA&gt;20 W/m2)]])*24,"")</f>
        <v>12.5</v>
      </c>
      <c r="L1564" s="2" t="s">
        <v>285</v>
      </c>
      <c r="M1564" s="33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14" t="s">
        <v>309</v>
      </c>
      <c r="Q1564" s="113" t="s">
        <v>309</v>
      </c>
      <c r="R1564">
        <v>131</v>
      </c>
      <c r="S1564" s="2">
        <v>38</v>
      </c>
      <c r="T1564" t="s">
        <v>286</v>
      </c>
      <c r="U1564" t="s">
        <v>291</v>
      </c>
      <c r="V1564" t="s">
        <v>289</v>
      </c>
      <c r="W1564" s="32"/>
      <c r="X1564" s="32"/>
      <c r="Y1564" s="26"/>
      <c r="Z1564" s="26"/>
      <c r="AA1564" s="27">
        <f>IF(TA[[#This Row],[Work Start time on Fault]]="NA","",(TA[[#This Row],[Fault Acknowledgement Time ]]-TA[[#This Row],[Fault Time]])*24)</f>
        <v>0</v>
      </c>
      <c r="AB1564" s="27">
        <f>(TA[[#This Row],[Work Start time on Fault]]-TA[[#This Row],[Fault Time]])*24</f>
        <v>0</v>
      </c>
      <c r="AC1564" s="26">
        <f>(TA[[#This Row],[Work Completion time on fault]]-TA[[#This Row],[Fault Time]])*24</f>
        <v>0</v>
      </c>
      <c r="AD1564" s="27">
        <f>IFERROR((TA[[#This Row],[Work Completion time on fault]]-TA[[#This Row],[Fault Time]])*24,"")</f>
        <v>0</v>
      </c>
      <c r="AE1564" t="s">
        <v>319</v>
      </c>
      <c r="AF1564" t="s">
        <v>247</v>
      </c>
      <c r="AG1564" s="2"/>
      <c r="AH1564" s="35">
        <f>1-COS(RADIANS(TA[[#This Row],[Avg. Target Angle during Fault Time (Radians)]]-TA[[#This Row],[Angle of affected equipment ]]))</f>
        <v>0.11705240714107301</v>
      </c>
      <c r="AI1564" s="27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43">
        <f t="shared" si="194"/>
        <v>2026</v>
      </c>
      <c r="C1565" s="116">
        <f t="shared" si="195"/>
        <v>2025</v>
      </c>
      <c r="D1565" s="2" t="s">
        <v>155</v>
      </c>
      <c r="E1565" s="2" t="s">
        <v>155</v>
      </c>
      <c r="F1565" s="30">
        <v>45839</v>
      </c>
      <c r="G1565" s="2">
        <f>DAY(EOMONTH(TA[[#This Row],[Month Year]],0))</f>
        <v>31</v>
      </c>
      <c r="H1565" s="21">
        <v>45857</v>
      </c>
      <c r="I1565" s="32">
        <f>IFERROR(VLOOKUP(TA[[#This Row],[Date]],Raw_Data[[Date]:[Sunset Time (POA&lt;20 W/m2)]],3,0),"")</f>
        <v>0.25694444444444442</v>
      </c>
      <c r="J1565" s="32">
        <f>IFERROR(VLOOKUP(TA[[#This Row],[Date]],Raw_Data[[Date]:[Sunset Time (POA&lt;20 W/m2)]],4,0),"")</f>
        <v>0.77777777777777779</v>
      </c>
      <c r="K1565" s="27">
        <f>IFERROR((TA[[#This Row],[Sunset Time (POA&lt;20 W/m2)]]-TA[[#This Row],[Sunrise Time (POA&gt;20 W/m2)]])*24,"")</f>
        <v>12.5</v>
      </c>
      <c r="L1565" s="2" t="s">
        <v>285</v>
      </c>
      <c r="M1565" s="33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14" t="s">
        <v>309</v>
      </c>
      <c r="Q1565" s="113" t="s">
        <v>309</v>
      </c>
      <c r="R1565">
        <v>131</v>
      </c>
      <c r="S1565" s="2">
        <v>39</v>
      </c>
      <c r="T1565" t="s">
        <v>286</v>
      </c>
      <c r="U1565" t="s">
        <v>291</v>
      </c>
      <c r="V1565" t="s">
        <v>289</v>
      </c>
      <c r="W1565" s="32"/>
      <c r="X1565" s="32"/>
      <c r="Y1565" s="26"/>
      <c r="Z1565" s="26"/>
      <c r="AA1565" s="27">
        <f>IF(TA[[#This Row],[Work Start time on Fault]]="NA","",(TA[[#This Row],[Fault Acknowledgement Time ]]-TA[[#This Row],[Fault Time]])*24)</f>
        <v>0</v>
      </c>
      <c r="AB1565" s="27">
        <f>(TA[[#This Row],[Work Start time on Fault]]-TA[[#This Row],[Fault Time]])*24</f>
        <v>0</v>
      </c>
      <c r="AC1565" s="26">
        <f>(TA[[#This Row],[Work Completion time on fault]]-TA[[#This Row],[Fault Time]])*24</f>
        <v>0</v>
      </c>
      <c r="AD1565" s="27">
        <f>IFERROR((TA[[#This Row],[Work Completion time on fault]]-TA[[#This Row],[Fault Time]])*24,"")</f>
        <v>0</v>
      </c>
      <c r="AE1565" t="s">
        <v>319</v>
      </c>
      <c r="AF1565" t="s">
        <v>247</v>
      </c>
      <c r="AG1565" s="2"/>
      <c r="AH1565" s="35">
        <f>1-COS(RADIANS(TA[[#This Row],[Avg. Target Angle during Fault Time (Radians)]]-TA[[#This Row],[Angle of affected equipment ]]))</f>
        <v>0.11705240714107301</v>
      </c>
      <c r="AI1565" s="27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43">
        <f t="shared" si="194"/>
        <v>2026</v>
      </c>
      <c r="C1566" s="116">
        <f t="shared" si="195"/>
        <v>2025</v>
      </c>
      <c r="D1566" s="2" t="s">
        <v>155</v>
      </c>
      <c r="E1566" s="2" t="s">
        <v>155</v>
      </c>
      <c r="F1566" s="30">
        <v>45839</v>
      </c>
      <c r="G1566" s="2">
        <f>DAY(EOMONTH(TA[[#This Row],[Month Year]],0))</f>
        <v>31</v>
      </c>
      <c r="H1566" s="21">
        <v>45857</v>
      </c>
      <c r="I1566" s="32">
        <f>IFERROR(VLOOKUP(TA[[#This Row],[Date]],Raw_Data[[Date]:[Sunset Time (POA&lt;20 W/m2)]],3,0),"")</f>
        <v>0.25694444444444442</v>
      </c>
      <c r="J1566" s="32">
        <f>IFERROR(VLOOKUP(TA[[#This Row],[Date]],Raw_Data[[Date]:[Sunset Time (POA&lt;20 W/m2)]],4,0),"")</f>
        <v>0.77777777777777779</v>
      </c>
      <c r="K1566" s="27">
        <f>IFERROR((TA[[#This Row],[Sunset Time (POA&lt;20 W/m2)]]-TA[[#This Row],[Sunrise Time (POA&gt;20 W/m2)]])*24,"")</f>
        <v>12.5</v>
      </c>
      <c r="L1566" s="2" t="s">
        <v>287</v>
      </c>
      <c r="M1566" s="33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14" t="s">
        <v>309</v>
      </c>
      <c r="Q1566" s="2" t="s">
        <v>312</v>
      </c>
      <c r="R1566">
        <v>133</v>
      </c>
      <c r="S1566" s="2">
        <v>26</v>
      </c>
      <c r="T1566" t="s">
        <v>288</v>
      </c>
      <c r="U1566" t="s">
        <v>291</v>
      </c>
      <c r="V1566" t="s">
        <v>305</v>
      </c>
      <c r="W1566" s="32">
        <f>IFERROR(VLOOKUP(TA[[#This Row],[Date]],Raw_Data[[Date]:[Sunset Time (POA&lt;20 W/m2)]],3,0),"")</f>
        <v>0.25694444444444442</v>
      </c>
      <c r="X1566" s="32">
        <f>IFERROR(VLOOKUP(TA[[#This Row],[Date]],Raw_Data[[Date]:[Sunset Time (POA&lt;20 W/m2)]],3,0),"")</f>
        <v>0.25694444444444442</v>
      </c>
      <c r="Y1566" s="26"/>
      <c r="Z1566" s="26">
        <v>0.76041666666666663</v>
      </c>
      <c r="AA1566" s="27">
        <f>IF(TA[[#This Row],[Work Start time on Fault]]="NA","",(TA[[#This Row],[Fault Acknowledgement Time ]]-TA[[#This Row],[Fault Time]])*24)</f>
        <v>0</v>
      </c>
      <c r="AB1566" s="27">
        <f>(TA[[#This Row],[Work Start time on Fault]]-TA[[#This Row],[Fault Time]])*24</f>
        <v>-6.1666666666666661</v>
      </c>
      <c r="AC1566" s="26">
        <f>(TA[[#This Row],[Work Completion time on fault]]-TA[[#This Row],[Fault Time]])*24</f>
        <v>12.083333333333332</v>
      </c>
      <c r="AD1566" s="27">
        <f>IFERROR((TA[[#This Row],[Work Completion time on fault]]-TA[[#This Row],[Fault Time]])*24,"")</f>
        <v>12.083333333333332</v>
      </c>
      <c r="AE1566" t="s">
        <v>319</v>
      </c>
      <c r="AF1566" t="s">
        <v>247</v>
      </c>
      <c r="AG1566" s="2"/>
      <c r="AH1566" s="35">
        <f>1-COS(RADIANS(TA[[#This Row],[Avg. Target Angle during Fault Time (Radians)]]-TA[[#This Row],[Angle of affected equipment ]]))</f>
        <v>0.11705240714107301</v>
      </c>
      <c r="AI1566" s="27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43">
        <f t="shared" si="194"/>
        <v>2026</v>
      </c>
      <c r="C1567" s="116">
        <f t="shared" si="195"/>
        <v>2025</v>
      </c>
      <c r="D1567" s="2" t="s">
        <v>155</v>
      </c>
      <c r="E1567" s="2" t="s">
        <v>155</v>
      </c>
      <c r="F1567" s="30">
        <v>45839</v>
      </c>
      <c r="G1567" s="2">
        <f>DAY(EOMONTH(TA[[#This Row],[Month Year]],0))</f>
        <v>31</v>
      </c>
      <c r="H1567" s="21">
        <v>45857</v>
      </c>
      <c r="I1567" s="32">
        <f>IFERROR(VLOOKUP(TA[[#This Row],[Date]],Raw_Data[[Date]:[Sunset Time (POA&lt;20 W/m2)]],3,0),"")</f>
        <v>0.25694444444444442</v>
      </c>
      <c r="J1567" s="32">
        <f>IFERROR(VLOOKUP(TA[[#This Row],[Date]],Raw_Data[[Date]:[Sunset Time (POA&lt;20 W/m2)]],4,0),"")</f>
        <v>0.77777777777777779</v>
      </c>
      <c r="K1567" s="27">
        <f>IFERROR((TA[[#This Row],[Sunset Time (POA&lt;20 W/m2)]]-TA[[#This Row],[Sunrise Time (POA&gt;20 W/m2)]])*24,"")</f>
        <v>12.5</v>
      </c>
      <c r="L1567" s="2" t="s">
        <v>285</v>
      </c>
      <c r="M1567" s="33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14" t="s">
        <v>307</v>
      </c>
      <c r="Q1567" s="113" t="s">
        <v>308</v>
      </c>
      <c r="R1567">
        <v>7</v>
      </c>
      <c r="S1567" s="2">
        <v>32</v>
      </c>
      <c r="T1567" t="s">
        <v>286</v>
      </c>
      <c r="U1567" t="s">
        <v>291</v>
      </c>
      <c r="V1567" t="s">
        <v>289</v>
      </c>
      <c r="W1567" s="32"/>
      <c r="X1567" s="32"/>
      <c r="Y1567" s="26"/>
      <c r="Z1567" s="26"/>
      <c r="AA1567" s="27">
        <f>IF(TA[[#This Row],[Work Start time on Fault]]="NA","",(TA[[#This Row],[Fault Acknowledgement Time ]]-TA[[#This Row],[Fault Time]])*24)</f>
        <v>0</v>
      </c>
      <c r="AB1567" s="27">
        <f>(TA[[#This Row],[Work Start time on Fault]]-TA[[#This Row],[Fault Time]])*24</f>
        <v>0</v>
      </c>
      <c r="AC1567" s="26">
        <f>(TA[[#This Row],[Work Completion time on fault]]-TA[[#This Row],[Fault Time]])*24</f>
        <v>0</v>
      </c>
      <c r="AD1567" s="27">
        <f>IFERROR((TA[[#This Row],[Work Completion time on fault]]-TA[[#This Row],[Fault Time]])*24,"")</f>
        <v>0</v>
      </c>
      <c r="AE1567" t="s">
        <v>319</v>
      </c>
      <c r="AF1567" t="s">
        <v>247</v>
      </c>
      <c r="AG1567" s="2"/>
      <c r="AH1567" s="35">
        <f>1-COS(RADIANS(TA[[#This Row],[Avg. Target Angle during Fault Time (Radians)]]-TA[[#This Row],[Angle of affected equipment ]]))</f>
        <v>0.11705240714107301</v>
      </c>
      <c r="AI1567" s="27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43">
        <f t="shared" si="194"/>
        <v>2026</v>
      </c>
      <c r="C1568" s="116">
        <f t="shared" si="195"/>
        <v>2025</v>
      </c>
      <c r="D1568" s="2" t="s">
        <v>155</v>
      </c>
      <c r="E1568" s="2" t="s">
        <v>155</v>
      </c>
      <c r="F1568" s="30">
        <v>45839</v>
      </c>
      <c r="G1568" s="2">
        <f>DAY(EOMONTH(TA[[#This Row],[Month Year]],0))</f>
        <v>31</v>
      </c>
      <c r="H1568" s="21">
        <v>45857</v>
      </c>
      <c r="I1568" s="32">
        <f>IFERROR(VLOOKUP(TA[[#This Row],[Date]],Raw_Data[[Date]:[Sunset Time (POA&lt;20 W/m2)]],3,0),"")</f>
        <v>0.25694444444444442</v>
      </c>
      <c r="J1568" s="32">
        <f>IFERROR(VLOOKUP(TA[[#This Row],[Date]],Raw_Data[[Date]:[Sunset Time (POA&lt;20 W/m2)]],4,0),"")</f>
        <v>0.77777777777777779</v>
      </c>
      <c r="K1568" s="27">
        <f>IFERROR((TA[[#This Row],[Sunset Time (POA&lt;20 W/m2)]]-TA[[#This Row],[Sunrise Time (POA&gt;20 W/m2)]])*24,"")</f>
        <v>12.5</v>
      </c>
      <c r="L1568" s="2" t="s">
        <v>285</v>
      </c>
      <c r="M1568" s="33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14" t="s">
        <v>306</v>
      </c>
      <c r="Q1568" s="113" t="s">
        <v>310</v>
      </c>
      <c r="R1568">
        <v>166</v>
      </c>
      <c r="S1568" s="2">
        <v>91</v>
      </c>
      <c r="T1568" t="s">
        <v>286</v>
      </c>
      <c r="U1568" t="s">
        <v>291</v>
      </c>
      <c r="V1568" t="s">
        <v>289</v>
      </c>
      <c r="W1568" s="32"/>
      <c r="X1568" s="32"/>
      <c r="Y1568" s="26"/>
      <c r="Z1568" s="26"/>
      <c r="AA1568" s="27">
        <f>IF(TA[[#This Row],[Work Start time on Fault]]="NA","",(TA[[#This Row],[Fault Acknowledgement Time ]]-TA[[#This Row],[Fault Time]])*24)</f>
        <v>0</v>
      </c>
      <c r="AB1568" s="27">
        <f>(TA[[#This Row],[Work Start time on Fault]]-TA[[#This Row],[Fault Time]])*24</f>
        <v>0</v>
      </c>
      <c r="AC1568" s="26">
        <f>(TA[[#This Row],[Work Completion time on fault]]-TA[[#This Row],[Fault Time]])*24</f>
        <v>0</v>
      </c>
      <c r="AD1568" s="27">
        <f>IFERROR((TA[[#This Row],[Work Completion time on fault]]-TA[[#This Row],[Fault Time]])*24,"")</f>
        <v>0</v>
      </c>
      <c r="AE1568" t="s">
        <v>319</v>
      </c>
      <c r="AF1568" t="s">
        <v>247</v>
      </c>
      <c r="AG1568" s="2"/>
      <c r="AH1568" s="35">
        <f>1-COS(RADIANS(TA[[#This Row],[Avg. Target Angle during Fault Time (Radians)]]-TA[[#This Row],[Angle of affected equipment ]]))</f>
        <v>0.11705240714107301</v>
      </c>
      <c r="AI1568" s="27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43">
        <f t="shared" si="194"/>
        <v>2026</v>
      </c>
      <c r="C1569" s="116">
        <f t="shared" si="195"/>
        <v>2025</v>
      </c>
      <c r="D1569" s="2" t="s">
        <v>155</v>
      </c>
      <c r="E1569" s="2" t="s">
        <v>155</v>
      </c>
      <c r="F1569" s="30">
        <v>45839</v>
      </c>
      <c r="G1569" s="2">
        <f>DAY(EOMONTH(TA[[#This Row],[Month Year]],0))</f>
        <v>31</v>
      </c>
      <c r="H1569" s="21">
        <v>45857</v>
      </c>
      <c r="I1569" s="32">
        <f>IFERROR(VLOOKUP(TA[[#This Row],[Date]],Raw_Data[[Date]:[Sunset Time (POA&lt;20 W/m2)]],3,0),"")</f>
        <v>0.25694444444444442</v>
      </c>
      <c r="J1569" s="32">
        <f>IFERROR(VLOOKUP(TA[[#This Row],[Date]],Raw_Data[[Date]:[Sunset Time (POA&lt;20 W/m2)]],4,0),"")</f>
        <v>0.77777777777777779</v>
      </c>
      <c r="K1569" s="27">
        <f>IFERROR((TA[[#This Row],[Sunset Time (POA&lt;20 W/m2)]]-TA[[#This Row],[Sunrise Time (POA&gt;20 W/m2)]])*24,"")</f>
        <v>12.5</v>
      </c>
      <c r="L1569" s="2" t="s">
        <v>285</v>
      </c>
      <c r="M1569" s="33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14" t="s">
        <v>307</v>
      </c>
      <c r="Q1569" s="113" t="s">
        <v>307</v>
      </c>
      <c r="R1569">
        <v>117</v>
      </c>
      <c r="S1569" s="2">
        <v>20</v>
      </c>
      <c r="T1569" t="s">
        <v>286</v>
      </c>
      <c r="U1569" t="s">
        <v>291</v>
      </c>
      <c r="V1569" t="s">
        <v>289</v>
      </c>
      <c r="W1569" s="32"/>
      <c r="X1569" s="32"/>
      <c r="Y1569" s="26"/>
      <c r="Z1569" s="26"/>
      <c r="AA1569" s="27">
        <f>IF(TA[[#This Row],[Work Start time on Fault]]="NA","",(TA[[#This Row],[Fault Acknowledgement Time ]]-TA[[#This Row],[Fault Time]])*24)</f>
        <v>0</v>
      </c>
      <c r="AB1569" s="27">
        <f>(TA[[#This Row],[Work Start time on Fault]]-TA[[#This Row],[Fault Time]])*24</f>
        <v>0</v>
      </c>
      <c r="AC1569" s="26">
        <f>(TA[[#This Row],[Work Completion time on fault]]-TA[[#This Row],[Fault Time]])*24</f>
        <v>0</v>
      </c>
      <c r="AD1569" s="27">
        <f>IFERROR((TA[[#This Row],[Work Completion time on fault]]-TA[[#This Row],[Fault Time]])*24,"")</f>
        <v>0</v>
      </c>
      <c r="AE1569" t="s">
        <v>319</v>
      </c>
      <c r="AF1569" t="s">
        <v>247</v>
      </c>
      <c r="AG1569" s="2"/>
      <c r="AH1569" s="35">
        <f>1-COS(RADIANS(TA[[#This Row],[Avg. Target Angle during Fault Time (Radians)]]-TA[[#This Row],[Angle of affected equipment ]]))</f>
        <v>0.11705240714107301</v>
      </c>
      <c r="AI1569" s="27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43">
        <f t="shared" si="194"/>
        <v>2026</v>
      </c>
      <c r="C1570" s="116">
        <f t="shared" si="195"/>
        <v>2025</v>
      </c>
      <c r="D1570" s="2" t="s">
        <v>155</v>
      </c>
      <c r="E1570" s="2" t="s">
        <v>155</v>
      </c>
      <c r="F1570" s="30">
        <v>45839</v>
      </c>
      <c r="G1570" s="2">
        <f>DAY(EOMONTH(TA[[#This Row],[Month Year]],0))</f>
        <v>31</v>
      </c>
      <c r="H1570" s="21">
        <v>45857</v>
      </c>
      <c r="I1570" s="32">
        <f>IFERROR(VLOOKUP(TA[[#This Row],[Date]],Raw_Data[[Date]:[Sunset Time (POA&lt;20 W/m2)]],3,0),"")</f>
        <v>0.25694444444444442</v>
      </c>
      <c r="J1570" s="32">
        <f>IFERROR(VLOOKUP(TA[[#This Row],[Date]],Raw_Data[[Date]:[Sunset Time (POA&lt;20 W/m2)]],4,0),"")</f>
        <v>0.77777777777777779</v>
      </c>
      <c r="K1570" s="27">
        <f>IFERROR((TA[[#This Row],[Sunset Time (POA&lt;20 W/m2)]]-TA[[#This Row],[Sunrise Time (POA&gt;20 W/m2)]])*24,"")</f>
        <v>12.5</v>
      </c>
      <c r="L1570" s="2" t="s">
        <v>285</v>
      </c>
      <c r="M1570" s="33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14" t="s">
        <v>307</v>
      </c>
      <c r="Q1570" s="113" t="s">
        <v>307</v>
      </c>
      <c r="R1570">
        <v>118</v>
      </c>
      <c r="S1570" s="2">
        <v>22</v>
      </c>
      <c r="T1570" t="s">
        <v>286</v>
      </c>
      <c r="U1570" t="s">
        <v>291</v>
      </c>
      <c r="V1570" t="s">
        <v>289</v>
      </c>
      <c r="W1570" s="32"/>
      <c r="X1570" s="32"/>
      <c r="Y1570" s="26"/>
      <c r="Z1570" s="26"/>
      <c r="AA1570" s="27">
        <f>IF(TA[[#This Row],[Work Start time on Fault]]="NA","",(TA[[#This Row],[Fault Acknowledgement Time ]]-TA[[#This Row],[Fault Time]])*24)</f>
        <v>0</v>
      </c>
      <c r="AB1570" s="27">
        <f>(TA[[#This Row],[Work Start time on Fault]]-TA[[#This Row],[Fault Time]])*24</f>
        <v>0</v>
      </c>
      <c r="AC1570" s="26">
        <f>(TA[[#This Row],[Work Completion time on fault]]-TA[[#This Row],[Fault Time]])*24</f>
        <v>0</v>
      </c>
      <c r="AD1570" s="27">
        <f>IFERROR((TA[[#This Row],[Work Completion time on fault]]-TA[[#This Row],[Fault Time]])*24,"")</f>
        <v>0</v>
      </c>
      <c r="AE1570" t="s">
        <v>319</v>
      </c>
      <c r="AF1570" t="s">
        <v>247</v>
      </c>
      <c r="AG1570" s="2"/>
      <c r="AH1570" s="35">
        <f>1-COS(RADIANS(TA[[#This Row],[Avg. Target Angle during Fault Time (Radians)]]-TA[[#This Row],[Angle of affected equipment ]]))</f>
        <v>0.11705240714107301</v>
      </c>
      <c r="AI1570" s="27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43">
        <f t="shared" si="194"/>
        <v>2026</v>
      </c>
      <c r="C1571" s="116">
        <f t="shared" si="195"/>
        <v>2025</v>
      </c>
      <c r="D1571" s="2" t="s">
        <v>155</v>
      </c>
      <c r="E1571" s="2" t="s">
        <v>155</v>
      </c>
      <c r="F1571" s="30">
        <v>45839</v>
      </c>
      <c r="G1571" s="2">
        <f>DAY(EOMONTH(TA[[#This Row],[Month Year]],0))</f>
        <v>31</v>
      </c>
      <c r="H1571" s="21">
        <v>45857</v>
      </c>
      <c r="I1571" s="32">
        <f>IFERROR(VLOOKUP(TA[[#This Row],[Date]],Raw_Data[[Date]:[Sunset Time (POA&lt;20 W/m2)]],3,0),"")</f>
        <v>0.25694444444444442</v>
      </c>
      <c r="J1571" s="32">
        <f>IFERROR(VLOOKUP(TA[[#This Row],[Date]],Raw_Data[[Date]:[Sunset Time (POA&lt;20 W/m2)]],4,0),"")</f>
        <v>0.77777777777777779</v>
      </c>
      <c r="K1571" s="27">
        <f>IFERROR((TA[[#This Row],[Sunset Time (POA&lt;20 W/m2)]]-TA[[#This Row],[Sunrise Time (POA&gt;20 W/m2)]])*24,"")</f>
        <v>12.5</v>
      </c>
      <c r="L1571" s="2" t="s">
        <v>287</v>
      </c>
      <c r="M1571" s="33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314</v>
      </c>
      <c r="Q1571" s="2" t="s">
        <v>320</v>
      </c>
      <c r="R1571">
        <v>45</v>
      </c>
      <c r="S1571" s="2">
        <v>8</v>
      </c>
      <c r="T1571" t="s">
        <v>288</v>
      </c>
      <c r="U1571" t="s">
        <v>291</v>
      </c>
      <c r="V1571" t="s">
        <v>292</v>
      </c>
      <c r="W1571" s="32"/>
      <c r="X1571" s="32"/>
      <c r="Y1571" s="26"/>
      <c r="Z1571" s="26"/>
      <c r="AA1571" s="27">
        <f>IF(TA[[#This Row],[Work Start time on Fault]]="NA","",(TA[[#This Row],[Fault Acknowledgement Time ]]-TA[[#This Row],[Fault Time]])*24)</f>
        <v>0</v>
      </c>
      <c r="AB1571" s="27">
        <f>(TA[[#This Row],[Work Start time on Fault]]-TA[[#This Row],[Fault Time]])*24</f>
        <v>0</v>
      </c>
      <c r="AC1571" s="26">
        <f>(TA[[#This Row],[Work Completion time on fault]]-TA[[#This Row],[Fault Time]])*24</f>
        <v>0</v>
      </c>
      <c r="AD1571" s="27">
        <f>IFERROR((TA[[#This Row],[Work Completion time on fault]]-TA[[#This Row],[Fault Time]])*24,"")</f>
        <v>0</v>
      </c>
      <c r="AE1571" t="s">
        <v>319</v>
      </c>
      <c r="AF1571" t="s">
        <v>247</v>
      </c>
      <c r="AG1571" s="2"/>
      <c r="AH1571" s="35">
        <f>1-COS(RADIANS(TA[[#This Row],[Avg. Target Angle during Fault Time (Radians)]]-TA[[#This Row],[Angle of affected equipment ]]))</f>
        <v>0.11705240714107301</v>
      </c>
      <c r="AI1571" s="27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43">
        <f t="shared" si="194"/>
        <v>2026</v>
      </c>
      <c r="C1572" s="116">
        <f t="shared" si="195"/>
        <v>2025</v>
      </c>
      <c r="D1572" s="2" t="s">
        <v>155</v>
      </c>
      <c r="E1572" s="2" t="s">
        <v>155</v>
      </c>
      <c r="F1572" s="30">
        <v>45839</v>
      </c>
      <c r="G1572" s="2">
        <f>DAY(EOMONTH(TA[[#This Row],[Month Year]],0))</f>
        <v>31</v>
      </c>
      <c r="H1572" s="21">
        <v>45857</v>
      </c>
      <c r="I1572" s="32">
        <f>IFERROR(VLOOKUP(TA[[#This Row],[Date]],Raw_Data[[Date]:[Sunset Time (POA&lt;20 W/m2)]],3,0),"")</f>
        <v>0.25694444444444442</v>
      </c>
      <c r="J1572" s="32">
        <f>IFERROR(VLOOKUP(TA[[#This Row],[Date]],Raw_Data[[Date]:[Sunset Time (POA&lt;20 W/m2)]],4,0),"")</f>
        <v>0.77777777777777779</v>
      </c>
      <c r="K1572" s="27">
        <f>IFERROR((TA[[#This Row],[Sunset Time (POA&lt;20 W/m2)]]-TA[[#This Row],[Sunrise Time (POA&gt;20 W/m2)]])*24,"")</f>
        <v>12.5</v>
      </c>
      <c r="L1572" s="2" t="s">
        <v>287</v>
      </c>
      <c r="M1572" s="33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314</v>
      </c>
      <c r="Q1572" s="2" t="s">
        <v>320</v>
      </c>
      <c r="R1572">
        <v>47</v>
      </c>
      <c r="S1572" s="2">
        <v>18</v>
      </c>
      <c r="T1572" t="s">
        <v>288</v>
      </c>
      <c r="U1572" t="s">
        <v>291</v>
      </c>
      <c r="V1572" t="s">
        <v>292</v>
      </c>
      <c r="W1572" s="32"/>
      <c r="X1572" s="32"/>
      <c r="Y1572" s="26"/>
      <c r="Z1572" s="26"/>
      <c r="AA1572" s="27">
        <f>IF(TA[[#This Row],[Work Start time on Fault]]="NA","",(TA[[#This Row],[Fault Acknowledgement Time ]]-TA[[#This Row],[Fault Time]])*24)</f>
        <v>0</v>
      </c>
      <c r="AB1572" s="27">
        <f>(TA[[#This Row],[Work Start time on Fault]]-TA[[#This Row],[Fault Time]])*24</f>
        <v>0</v>
      </c>
      <c r="AC1572" s="26">
        <f>(TA[[#This Row],[Work Completion time on fault]]-TA[[#This Row],[Fault Time]])*24</f>
        <v>0</v>
      </c>
      <c r="AD1572" s="27">
        <f>IFERROR((TA[[#This Row],[Work Completion time on fault]]-TA[[#This Row],[Fault Time]])*24,"")</f>
        <v>0</v>
      </c>
      <c r="AE1572" t="s">
        <v>319</v>
      </c>
      <c r="AF1572" t="s">
        <v>247</v>
      </c>
      <c r="AG1572" s="2"/>
      <c r="AH1572" s="35">
        <f>1-COS(RADIANS(TA[[#This Row],[Avg. Target Angle during Fault Time (Radians)]]-TA[[#This Row],[Angle of affected equipment ]]))</f>
        <v>0.11705240714107301</v>
      </c>
      <c r="AI1572" s="27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43">
        <f t="shared" si="194"/>
        <v>2026</v>
      </c>
      <c r="C1573" s="116">
        <f t="shared" si="195"/>
        <v>2025</v>
      </c>
      <c r="D1573" s="2" t="s">
        <v>155</v>
      </c>
      <c r="E1573" s="2" t="s">
        <v>155</v>
      </c>
      <c r="F1573" s="30">
        <v>45839</v>
      </c>
      <c r="G1573" s="2">
        <f>DAY(EOMONTH(TA[[#This Row],[Month Year]],0))</f>
        <v>31</v>
      </c>
      <c r="H1573" s="21">
        <v>45857</v>
      </c>
      <c r="I1573" s="32">
        <f>IFERROR(VLOOKUP(TA[[#This Row],[Date]],Raw_Data[[Date]:[Sunset Time (POA&lt;20 W/m2)]],3,0),"")</f>
        <v>0.25694444444444442</v>
      </c>
      <c r="J1573" s="32">
        <f>IFERROR(VLOOKUP(TA[[#This Row],[Date]],Raw_Data[[Date]:[Sunset Time (POA&lt;20 W/m2)]],4,0),"")</f>
        <v>0.77777777777777779</v>
      </c>
      <c r="K1573" s="27">
        <f>IFERROR((TA[[#This Row],[Sunset Time (POA&lt;20 W/m2)]]-TA[[#This Row],[Sunrise Time (POA&gt;20 W/m2)]])*24,"")</f>
        <v>12.5</v>
      </c>
      <c r="L1573" s="2" t="s">
        <v>287</v>
      </c>
      <c r="M1573" s="33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321</v>
      </c>
      <c r="Q1573" s="2" t="s">
        <v>314</v>
      </c>
      <c r="R1573">
        <v>30</v>
      </c>
      <c r="S1573" s="2">
        <v>57</v>
      </c>
      <c r="T1573" t="s">
        <v>288</v>
      </c>
      <c r="U1573" t="s">
        <v>291</v>
      </c>
      <c r="V1573" t="s">
        <v>292</v>
      </c>
      <c r="W1573" s="32"/>
      <c r="X1573" s="32"/>
      <c r="Y1573" s="26"/>
      <c r="Z1573" s="26"/>
      <c r="AA1573" s="27">
        <f>IF(TA[[#This Row],[Work Start time on Fault]]="NA","",(TA[[#This Row],[Fault Acknowledgement Time ]]-TA[[#This Row],[Fault Time]])*24)</f>
        <v>0</v>
      </c>
      <c r="AB1573" s="27">
        <f>(TA[[#This Row],[Work Start time on Fault]]-TA[[#This Row],[Fault Time]])*24</f>
        <v>0</v>
      </c>
      <c r="AC1573" s="26">
        <f>(TA[[#This Row],[Work Completion time on fault]]-TA[[#This Row],[Fault Time]])*24</f>
        <v>0</v>
      </c>
      <c r="AD1573" s="27">
        <f>IFERROR((TA[[#This Row],[Work Completion time on fault]]-TA[[#This Row],[Fault Time]])*24,"")</f>
        <v>0</v>
      </c>
      <c r="AE1573" t="s">
        <v>319</v>
      </c>
      <c r="AF1573" t="s">
        <v>247</v>
      </c>
      <c r="AG1573" s="2"/>
      <c r="AH1573" s="35">
        <f>1-COS(RADIANS(TA[[#This Row],[Avg. Target Angle during Fault Time (Radians)]]-TA[[#This Row],[Angle of affected equipment ]]))</f>
        <v>0.11705240714107301</v>
      </c>
      <c r="AI1573" s="27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43">
        <f t="shared" si="194"/>
        <v>2026</v>
      </c>
      <c r="C1574" s="116">
        <f t="shared" si="195"/>
        <v>2025</v>
      </c>
      <c r="D1574" s="2" t="s">
        <v>155</v>
      </c>
      <c r="E1574" s="2" t="s">
        <v>155</v>
      </c>
      <c r="F1574" s="30">
        <v>45839</v>
      </c>
      <c r="G1574" s="2">
        <f>DAY(EOMONTH(TA[[#This Row],[Month Year]],0))</f>
        <v>31</v>
      </c>
      <c r="H1574" s="21">
        <v>45857</v>
      </c>
      <c r="I1574" s="32">
        <f>IFERROR(VLOOKUP(TA[[#This Row],[Date]],Raw_Data[[Date]:[Sunset Time (POA&lt;20 W/m2)]],3,0),"")</f>
        <v>0.25694444444444442</v>
      </c>
      <c r="J1574" s="32">
        <f>IFERROR(VLOOKUP(TA[[#This Row],[Date]],Raw_Data[[Date]:[Sunset Time (POA&lt;20 W/m2)]],4,0),"")</f>
        <v>0.77777777777777779</v>
      </c>
      <c r="K1574" s="27">
        <f>IFERROR((TA[[#This Row],[Sunset Time (POA&lt;20 W/m2)]]-TA[[#This Row],[Sunrise Time (POA&gt;20 W/m2)]])*24,"")</f>
        <v>12.5</v>
      </c>
      <c r="L1574" s="2" t="s">
        <v>287</v>
      </c>
      <c r="M1574" s="33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321</v>
      </c>
      <c r="Q1574" s="2" t="s">
        <v>314</v>
      </c>
      <c r="R1574">
        <v>31</v>
      </c>
      <c r="S1574" s="2">
        <v>61</v>
      </c>
      <c r="T1574" t="s">
        <v>288</v>
      </c>
      <c r="U1574" t="s">
        <v>291</v>
      </c>
      <c r="V1574" t="s">
        <v>292</v>
      </c>
      <c r="W1574" s="32"/>
      <c r="X1574" s="32"/>
      <c r="Y1574" s="26"/>
      <c r="Z1574" s="26"/>
      <c r="AA1574" s="27">
        <f>IF(TA[[#This Row],[Work Start time on Fault]]="NA","",(TA[[#This Row],[Fault Acknowledgement Time ]]-TA[[#This Row],[Fault Time]])*24)</f>
        <v>0</v>
      </c>
      <c r="AB1574" s="27">
        <f>(TA[[#This Row],[Work Start time on Fault]]-TA[[#This Row],[Fault Time]])*24</f>
        <v>0</v>
      </c>
      <c r="AC1574" s="26">
        <f>(TA[[#This Row],[Work Completion time on fault]]-TA[[#This Row],[Fault Time]])*24</f>
        <v>0</v>
      </c>
      <c r="AD1574" s="27">
        <f>IFERROR((TA[[#This Row],[Work Completion time on fault]]-TA[[#This Row],[Fault Time]])*24,"")</f>
        <v>0</v>
      </c>
      <c r="AE1574" t="s">
        <v>319</v>
      </c>
      <c r="AF1574" t="s">
        <v>247</v>
      </c>
      <c r="AG1574" s="2"/>
      <c r="AH1574" s="35">
        <f>1-COS(RADIANS(TA[[#This Row],[Avg. Target Angle during Fault Time (Radians)]]-TA[[#This Row],[Angle of affected equipment ]]))</f>
        <v>0.11705240714107301</v>
      </c>
      <c r="AI1574" s="27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43">
        <f t="shared" si="194"/>
        <v>2026</v>
      </c>
      <c r="C1575" s="116">
        <f t="shared" si="195"/>
        <v>2025</v>
      </c>
      <c r="D1575" s="2" t="s">
        <v>155</v>
      </c>
      <c r="E1575" s="2" t="s">
        <v>155</v>
      </c>
      <c r="F1575" s="30">
        <v>45839</v>
      </c>
      <c r="G1575" s="2">
        <f>DAY(EOMONTH(TA[[#This Row],[Month Year]],0))</f>
        <v>31</v>
      </c>
      <c r="H1575" s="21">
        <v>45857</v>
      </c>
      <c r="I1575" s="32">
        <f>IFERROR(VLOOKUP(TA[[#This Row],[Date]],Raw_Data[[Date]:[Sunset Time (POA&lt;20 W/m2)]],3,0),"")</f>
        <v>0.25694444444444442</v>
      </c>
      <c r="J1575" s="32">
        <f>IFERROR(VLOOKUP(TA[[#This Row],[Date]],Raw_Data[[Date]:[Sunset Time (POA&lt;20 W/m2)]],4,0),"")</f>
        <v>0.77777777777777779</v>
      </c>
      <c r="K1575" s="27">
        <f>IFERROR((TA[[#This Row],[Sunset Time (POA&lt;20 W/m2)]]-TA[[#This Row],[Sunrise Time (POA&gt;20 W/m2)]])*24,"")</f>
        <v>12.5</v>
      </c>
      <c r="L1575" s="2" t="s">
        <v>303</v>
      </c>
      <c r="M1575" s="33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321</v>
      </c>
      <c r="Q1575" s="2" t="s">
        <v>314</v>
      </c>
      <c r="R1575">
        <v>26</v>
      </c>
      <c r="S1575" s="2">
        <v>37</v>
      </c>
      <c r="T1575" t="s">
        <v>288</v>
      </c>
      <c r="U1575" t="s">
        <v>291</v>
      </c>
      <c r="V1575" t="s">
        <v>292</v>
      </c>
      <c r="W1575" s="32"/>
      <c r="X1575" s="32"/>
      <c r="Y1575" s="26"/>
      <c r="Z1575" s="26"/>
      <c r="AA1575" s="27">
        <f>IF(TA[[#This Row],[Work Start time on Fault]]="NA","",(TA[[#This Row],[Fault Acknowledgement Time ]]-TA[[#This Row],[Fault Time]])*24)</f>
        <v>0</v>
      </c>
      <c r="AB1575" s="27">
        <f>(TA[[#This Row],[Work Start time on Fault]]-TA[[#This Row],[Fault Time]])*24</f>
        <v>0</v>
      </c>
      <c r="AC1575" s="26">
        <f>(TA[[#This Row],[Work Completion time on fault]]-TA[[#This Row],[Fault Time]])*24</f>
        <v>0</v>
      </c>
      <c r="AD1575" s="27">
        <f>IFERROR((TA[[#This Row],[Work Completion time on fault]]-TA[[#This Row],[Fault Time]])*24,"")</f>
        <v>0</v>
      </c>
      <c r="AE1575" t="s">
        <v>319</v>
      </c>
      <c r="AF1575" t="s">
        <v>247</v>
      </c>
      <c r="AG1575" s="2"/>
      <c r="AH1575" s="35">
        <f>1-COS(RADIANS(TA[[#This Row],[Avg. Target Angle during Fault Time (Radians)]]-TA[[#This Row],[Angle of affected equipment ]]))</f>
        <v>0.11705240714107301</v>
      </c>
      <c r="AI1575" s="27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43">
        <f t="shared" si="194"/>
        <v>2026</v>
      </c>
      <c r="C1576" s="116">
        <f t="shared" si="195"/>
        <v>2025</v>
      </c>
      <c r="D1576" s="2" t="s">
        <v>155</v>
      </c>
      <c r="E1576" s="2" t="s">
        <v>155</v>
      </c>
      <c r="F1576" s="30">
        <v>45839</v>
      </c>
      <c r="G1576" s="2">
        <f>DAY(EOMONTH(TA[[#This Row],[Month Year]],0))</f>
        <v>31</v>
      </c>
      <c r="H1576" s="21">
        <v>45857</v>
      </c>
      <c r="I1576" s="32">
        <f>IFERROR(VLOOKUP(TA[[#This Row],[Date]],Raw_Data[[Date]:[Sunset Time (POA&lt;20 W/m2)]],3,0),"")</f>
        <v>0.25694444444444442</v>
      </c>
      <c r="J1576" s="32">
        <f>IFERROR(VLOOKUP(TA[[#This Row],[Date]],Raw_Data[[Date]:[Sunset Time (POA&lt;20 W/m2)]],4,0),"")</f>
        <v>0.77777777777777779</v>
      </c>
      <c r="K1576" s="27">
        <f>IFERROR((TA[[#This Row],[Sunset Time (POA&lt;20 W/m2)]]-TA[[#This Row],[Sunrise Time (POA&gt;20 W/m2)]])*24,"")</f>
        <v>12.5</v>
      </c>
      <c r="L1576" s="2" t="s">
        <v>303</v>
      </c>
      <c r="M1576" s="33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321</v>
      </c>
      <c r="Q1576" s="2" t="s">
        <v>314</v>
      </c>
      <c r="R1576">
        <v>27</v>
      </c>
      <c r="S1576" s="2">
        <v>42</v>
      </c>
      <c r="T1576" t="s">
        <v>288</v>
      </c>
      <c r="U1576" t="s">
        <v>291</v>
      </c>
      <c r="V1576" t="s">
        <v>292</v>
      </c>
      <c r="W1576" s="32">
        <f>IFERROR(VLOOKUP(TA[[#This Row],[Date]],Raw_Data[[Date]:[Sunset Time (POA&lt;20 W/m2)]],3,0),"")</f>
        <v>0.25694444444444442</v>
      </c>
      <c r="X1576" s="32">
        <f>IFERROR(VLOOKUP(TA[[#This Row],[Date]],Raw_Data[[Date]:[Sunset Time (POA&lt;20 W/m2)]],3,0),"")</f>
        <v>0.25694444444444442</v>
      </c>
      <c r="Y1576" s="26"/>
      <c r="Z1576" s="26">
        <v>0.76041666666666663</v>
      </c>
      <c r="AA1576" s="27">
        <f>IF(TA[[#This Row],[Work Start time on Fault]]="NA","",(TA[[#This Row],[Fault Acknowledgement Time ]]-TA[[#This Row],[Fault Time]])*24)</f>
        <v>0</v>
      </c>
      <c r="AB1576" s="27">
        <f>(TA[[#This Row],[Work Start time on Fault]]-TA[[#This Row],[Fault Time]])*24</f>
        <v>-6.1666666666666661</v>
      </c>
      <c r="AC1576" s="26">
        <f>(TA[[#This Row],[Work Completion time on fault]]-TA[[#This Row],[Fault Time]])*24</f>
        <v>12.083333333333332</v>
      </c>
      <c r="AD1576" s="27">
        <f>IFERROR((TA[[#This Row],[Work Completion time on fault]]-TA[[#This Row],[Fault Time]])*24,"")</f>
        <v>12.083333333333332</v>
      </c>
      <c r="AE1576" t="s">
        <v>300</v>
      </c>
      <c r="AF1576" t="s">
        <v>247</v>
      </c>
      <c r="AG1576" s="2"/>
      <c r="AH1576" s="35">
        <f>1-COS(RADIANS(TA[[#This Row],[Avg. Target Angle during Fault Time (Radians)]]-TA[[#This Row],[Angle of affected equipment ]]))</f>
        <v>0.11705240714107301</v>
      </c>
      <c r="AI1576" s="27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43">
        <f t="shared" ref="B1577:B1589" si="196">YEAR(H1577)+IF(MONTH(H1577)&gt;=4,1,0)</f>
        <v>2026</v>
      </c>
      <c r="C1577" s="116">
        <f t="shared" ref="C1577:C1589" si="197">YEAR(H1577)</f>
        <v>2025</v>
      </c>
      <c r="D1577" s="2" t="s">
        <v>155</v>
      </c>
      <c r="E1577" s="2" t="s">
        <v>155</v>
      </c>
      <c r="F1577" s="30">
        <v>45839</v>
      </c>
      <c r="G1577" s="2">
        <f>DAY(EOMONTH(TA[[#This Row],[Month Year]],0))</f>
        <v>31</v>
      </c>
      <c r="H1577" s="21">
        <v>45858</v>
      </c>
      <c r="I1577" s="32">
        <f>IFERROR(VLOOKUP(TA[[#This Row],[Date]],Raw_Data[[Date]:[Sunset Time (POA&lt;20 W/m2)]],3,0),"")</f>
        <v>0.25972222222222224</v>
      </c>
      <c r="J1577" s="32">
        <f>IFERROR(VLOOKUP(TA[[#This Row],[Date]],Raw_Data[[Date]:[Sunset Time (POA&lt;20 W/m2)]],4,0),"")</f>
        <v>0.77986111111111112</v>
      </c>
      <c r="K1577" s="27">
        <f>IFERROR((TA[[#This Row],[Sunset Time (POA&lt;20 W/m2)]]-TA[[#This Row],[Sunrise Time (POA&gt;20 W/m2)]])*24,"")</f>
        <v>12.483333333333334</v>
      </c>
      <c r="L1577" s="2" t="s">
        <v>285</v>
      </c>
      <c r="M1577" s="33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14" t="s">
        <v>309</v>
      </c>
      <c r="Q1577" s="113" t="s">
        <v>309</v>
      </c>
      <c r="R1577">
        <v>131</v>
      </c>
      <c r="S1577" s="2">
        <v>38</v>
      </c>
      <c r="T1577" t="s">
        <v>286</v>
      </c>
      <c r="U1577" t="s">
        <v>291</v>
      </c>
      <c r="V1577" t="s">
        <v>289</v>
      </c>
      <c r="W1577" s="32"/>
      <c r="X1577" s="32"/>
      <c r="Y1577" s="26"/>
      <c r="Z1577" s="26"/>
      <c r="AA1577" s="27">
        <f>IF(TA[[#This Row],[Work Start time on Fault]]="NA","",(TA[[#This Row],[Fault Acknowledgement Time ]]-TA[[#This Row],[Fault Time]])*24)</f>
        <v>0</v>
      </c>
      <c r="AB1577" s="27">
        <f>(TA[[#This Row],[Work Start time on Fault]]-TA[[#This Row],[Fault Time]])*24</f>
        <v>0</v>
      </c>
      <c r="AC1577" s="26">
        <f>(TA[[#This Row],[Work Completion time on fault]]-TA[[#This Row],[Fault Time]])*24</f>
        <v>0</v>
      </c>
      <c r="AD1577" s="27">
        <f>IFERROR((TA[[#This Row],[Work Completion time on fault]]-TA[[#This Row],[Fault Time]])*24,"")</f>
        <v>0</v>
      </c>
      <c r="AE1577" t="s">
        <v>319</v>
      </c>
      <c r="AF1577" t="s">
        <v>247</v>
      </c>
      <c r="AG1577" s="2"/>
      <c r="AH1577" s="35">
        <f>1-COS(RADIANS(TA[[#This Row],[Avg. Target Angle during Fault Time (Radians)]]-TA[[#This Row],[Angle of affected equipment ]]))</f>
        <v>0.11705240714107301</v>
      </c>
      <c r="AI1577" s="27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43">
        <f t="shared" si="196"/>
        <v>2026</v>
      </c>
      <c r="C1578" s="116">
        <f t="shared" si="197"/>
        <v>2025</v>
      </c>
      <c r="D1578" s="2" t="s">
        <v>155</v>
      </c>
      <c r="E1578" s="2" t="s">
        <v>155</v>
      </c>
      <c r="F1578" s="30">
        <v>45839</v>
      </c>
      <c r="G1578" s="2">
        <f>DAY(EOMONTH(TA[[#This Row],[Month Year]],0))</f>
        <v>31</v>
      </c>
      <c r="H1578" s="21">
        <v>45858</v>
      </c>
      <c r="I1578" s="32">
        <f>IFERROR(VLOOKUP(TA[[#This Row],[Date]],Raw_Data[[Date]:[Sunset Time (POA&lt;20 W/m2)]],3,0),"")</f>
        <v>0.25972222222222224</v>
      </c>
      <c r="J1578" s="32">
        <f>IFERROR(VLOOKUP(TA[[#This Row],[Date]],Raw_Data[[Date]:[Sunset Time (POA&lt;20 W/m2)]],4,0),"")</f>
        <v>0.77986111111111112</v>
      </c>
      <c r="K1578" s="27">
        <f>IFERROR((TA[[#This Row],[Sunset Time (POA&lt;20 W/m2)]]-TA[[#This Row],[Sunrise Time (POA&gt;20 W/m2)]])*24,"")</f>
        <v>12.483333333333334</v>
      </c>
      <c r="L1578" s="2" t="s">
        <v>285</v>
      </c>
      <c r="M1578" s="33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14" t="s">
        <v>309</v>
      </c>
      <c r="Q1578" s="113" t="s">
        <v>309</v>
      </c>
      <c r="R1578">
        <v>131</v>
      </c>
      <c r="S1578" s="2">
        <v>39</v>
      </c>
      <c r="T1578" t="s">
        <v>286</v>
      </c>
      <c r="U1578" t="s">
        <v>291</v>
      </c>
      <c r="V1578" t="s">
        <v>289</v>
      </c>
      <c r="W1578" s="32"/>
      <c r="X1578" s="32"/>
      <c r="Y1578" s="26"/>
      <c r="Z1578" s="26"/>
      <c r="AA1578" s="27">
        <f>IF(TA[[#This Row],[Work Start time on Fault]]="NA","",(TA[[#This Row],[Fault Acknowledgement Time ]]-TA[[#This Row],[Fault Time]])*24)</f>
        <v>0</v>
      </c>
      <c r="AB1578" s="27">
        <f>(TA[[#This Row],[Work Start time on Fault]]-TA[[#This Row],[Fault Time]])*24</f>
        <v>0</v>
      </c>
      <c r="AC1578" s="26">
        <f>(TA[[#This Row],[Work Completion time on fault]]-TA[[#This Row],[Fault Time]])*24</f>
        <v>0</v>
      </c>
      <c r="AD1578" s="27">
        <f>IFERROR((TA[[#This Row],[Work Completion time on fault]]-TA[[#This Row],[Fault Time]])*24,"")</f>
        <v>0</v>
      </c>
      <c r="AE1578" t="s">
        <v>319</v>
      </c>
      <c r="AF1578" t="s">
        <v>247</v>
      </c>
      <c r="AG1578" s="2"/>
      <c r="AH1578" s="35">
        <f>1-COS(RADIANS(TA[[#This Row],[Avg. Target Angle during Fault Time (Radians)]]-TA[[#This Row],[Angle of affected equipment ]]))</f>
        <v>0.11705240714107301</v>
      </c>
      <c r="AI1578" s="27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43">
        <f t="shared" si="196"/>
        <v>2026</v>
      </c>
      <c r="C1579" s="116">
        <f t="shared" si="197"/>
        <v>2025</v>
      </c>
      <c r="D1579" s="2" t="s">
        <v>155</v>
      </c>
      <c r="E1579" s="2" t="s">
        <v>155</v>
      </c>
      <c r="F1579" s="30">
        <v>45839</v>
      </c>
      <c r="G1579" s="2">
        <f>DAY(EOMONTH(TA[[#This Row],[Month Year]],0))</f>
        <v>31</v>
      </c>
      <c r="H1579" s="21">
        <v>45858</v>
      </c>
      <c r="I1579" s="32">
        <f>IFERROR(VLOOKUP(TA[[#This Row],[Date]],Raw_Data[[Date]:[Sunset Time (POA&lt;20 W/m2)]],3,0),"")</f>
        <v>0.25972222222222224</v>
      </c>
      <c r="J1579" s="32">
        <f>IFERROR(VLOOKUP(TA[[#This Row],[Date]],Raw_Data[[Date]:[Sunset Time (POA&lt;20 W/m2)]],4,0),"")</f>
        <v>0.77986111111111112</v>
      </c>
      <c r="K1579" s="27">
        <f>IFERROR((TA[[#This Row],[Sunset Time (POA&lt;20 W/m2)]]-TA[[#This Row],[Sunrise Time (POA&gt;20 W/m2)]])*24,"")</f>
        <v>12.483333333333334</v>
      </c>
      <c r="L1579" s="2" t="s">
        <v>287</v>
      </c>
      <c r="M1579" s="33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14" t="s">
        <v>309</v>
      </c>
      <c r="Q1579" s="2" t="s">
        <v>312</v>
      </c>
      <c r="R1579">
        <v>133</v>
      </c>
      <c r="S1579" s="2">
        <v>26</v>
      </c>
      <c r="T1579" t="s">
        <v>288</v>
      </c>
      <c r="U1579" t="s">
        <v>291</v>
      </c>
      <c r="V1579" t="s">
        <v>305</v>
      </c>
      <c r="W1579" s="32">
        <f>IFERROR(VLOOKUP(TA[[#This Row],[Date]],Raw_Data[[Date]:[Sunset Time (POA&lt;20 W/m2)]],3,0),"")</f>
        <v>0.25972222222222224</v>
      </c>
      <c r="X1579" s="32">
        <f>IFERROR(VLOOKUP(TA[[#This Row],[Date]],Raw_Data[[Date]:[Sunset Time (POA&lt;20 W/m2)]],3,0),"")</f>
        <v>0.25972222222222224</v>
      </c>
      <c r="Y1579" s="26"/>
      <c r="Z1579" s="26">
        <v>0.76041666666666663</v>
      </c>
      <c r="AA1579" s="27">
        <f>IF(TA[[#This Row],[Work Start time on Fault]]="NA","",(TA[[#This Row],[Fault Acknowledgement Time ]]-TA[[#This Row],[Fault Time]])*24)</f>
        <v>0</v>
      </c>
      <c r="AB1579" s="27">
        <f>(TA[[#This Row],[Work Start time on Fault]]-TA[[#This Row],[Fault Time]])*24</f>
        <v>-6.2333333333333343</v>
      </c>
      <c r="AC1579" s="26">
        <f>(TA[[#This Row],[Work Completion time on fault]]-TA[[#This Row],[Fault Time]])*24</f>
        <v>12.016666666666664</v>
      </c>
      <c r="AD1579" s="27">
        <f>IFERROR((TA[[#This Row],[Work Completion time on fault]]-TA[[#This Row],[Fault Time]])*24,"")</f>
        <v>12.016666666666664</v>
      </c>
      <c r="AE1579" t="s">
        <v>319</v>
      </c>
      <c r="AF1579" t="s">
        <v>247</v>
      </c>
      <c r="AG1579" s="2"/>
      <c r="AH1579" s="35">
        <f>1-COS(RADIANS(TA[[#This Row],[Avg. Target Angle during Fault Time (Radians)]]-TA[[#This Row],[Angle of affected equipment ]]))</f>
        <v>0.11705240714107301</v>
      </c>
      <c r="AI1579" s="27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43">
        <f t="shared" si="196"/>
        <v>2026</v>
      </c>
      <c r="C1580" s="116">
        <f t="shared" si="197"/>
        <v>2025</v>
      </c>
      <c r="D1580" s="2" t="s">
        <v>155</v>
      </c>
      <c r="E1580" s="2" t="s">
        <v>155</v>
      </c>
      <c r="F1580" s="30">
        <v>45839</v>
      </c>
      <c r="G1580" s="2">
        <f>DAY(EOMONTH(TA[[#This Row],[Month Year]],0))</f>
        <v>31</v>
      </c>
      <c r="H1580" s="21">
        <v>45858</v>
      </c>
      <c r="I1580" s="32">
        <f>IFERROR(VLOOKUP(TA[[#This Row],[Date]],Raw_Data[[Date]:[Sunset Time (POA&lt;20 W/m2)]],3,0),"")</f>
        <v>0.25972222222222224</v>
      </c>
      <c r="J1580" s="32">
        <f>IFERROR(VLOOKUP(TA[[#This Row],[Date]],Raw_Data[[Date]:[Sunset Time (POA&lt;20 W/m2)]],4,0),"")</f>
        <v>0.77986111111111112</v>
      </c>
      <c r="K1580" s="27">
        <f>IFERROR((TA[[#This Row],[Sunset Time (POA&lt;20 W/m2)]]-TA[[#This Row],[Sunrise Time (POA&gt;20 W/m2)]])*24,"")</f>
        <v>12.483333333333334</v>
      </c>
      <c r="L1580" s="2" t="s">
        <v>285</v>
      </c>
      <c r="M1580" s="33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14" t="s">
        <v>307</v>
      </c>
      <c r="Q1580" s="113" t="s">
        <v>308</v>
      </c>
      <c r="R1580">
        <v>7</v>
      </c>
      <c r="S1580" s="2">
        <v>32</v>
      </c>
      <c r="T1580" t="s">
        <v>286</v>
      </c>
      <c r="U1580" t="s">
        <v>291</v>
      </c>
      <c r="V1580" t="s">
        <v>289</v>
      </c>
      <c r="W1580" s="32"/>
      <c r="X1580" s="32"/>
      <c r="Y1580" s="26"/>
      <c r="Z1580" s="26"/>
      <c r="AA1580" s="27">
        <f>IF(TA[[#This Row],[Work Start time on Fault]]="NA","",(TA[[#This Row],[Fault Acknowledgement Time ]]-TA[[#This Row],[Fault Time]])*24)</f>
        <v>0</v>
      </c>
      <c r="AB1580" s="27">
        <f>(TA[[#This Row],[Work Start time on Fault]]-TA[[#This Row],[Fault Time]])*24</f>
        <v>0</v>
      </c>
      <c r="AC1580" s="26">
        <f>(TA[[#This Row],[Work Completion time on fault]]-TA[[#This Row],[Fault Time]])*24</f>
        <v>0</v>
      </c>
      <c r="AD1580" s="27">
        <f>IFERROR((TA[[#This Row],[Work Completion time on fault]]-TA[[#This Row],[Fault Time]])*24,"")</f>
        <v>0</v>
      </c>
      <c r="AE1580" t="s">
        <v>319</v>
      </c>
      <c r="AF1580" t="s">
        <v>247</v>
      </c>
      <c r="AG1580" s="2"/>
      <c r="AH1580" s="35">
        <f>1-COS(RADIANS(TA[[#This Row],[Avg. Target Angle during Fault Time (Radians)]]-TA[[#This Row],[Angle of affected equipment ]]))</f>
        <v>0.11705240714107301</v>
      </c>
      <c r="AI1580" s="27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43">
        <f t="shared" si="196"/>
        <v>2026</v>
      </c>
      <c r="C1581" s="116">
        <f t="shared" si="197"/>
        <v>2025</v>
      </c>
      <c r="D1581" s="2" t="s">
        <v>155</v>
      </c>
      <c r="E1581" s="2" t="s">
        <v>155</v>
      </c>
      <c r="F1581" s="30">
        <v>45839</v>
      </c>
      <c r="G1581" s="2">
        <f>DAY(EOMONTH(TA[[#This Row],[Month Year]],0))</f>
        <v>31</v>
      </c>
      <c r="H1581" s="21">
        <v>45858</v>
      </c>
      <c r="I1581" s="32">
        <f>IFERROR(VLOOKUP(TA[[#This Row],[Date]],Raw_Data[[Date]:[Sunset Time (POA&lt;20 W/m2)]],3,0),"")</f>
        <v>0.25972222222222224</v>
      </c>
      <c r="J1581" s="32">
        <f>IFERROR(VLOOKUP(TA[[#This Row],[Date]],Raw_Data[[Date]:[Sunset Time (POA&lt;20 W/m2)]],4,0),"")</f>
        <v>0.77986111111111112</v>
      </c>
      <c r="K1581" s="27">
        <f>IFERROR((TA[[#This Row],[Sunset Time (POA&lt;20 W/m2)]]-TA[[#This Row],[Sunrise Time (POA&gt;20 W/m2)]])*24,"")</f>
        <v>12.483333333333334</v>
      </c>
      <c r="L1581" s="2" t="s">
        <v>285</v>
      </c>
      <c r="M1581" s="33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14" t="s">
        <v>306</v>
      </c>
      <c r="Q1581" s="113" t="s">
        <v>310</v>
      </c>
      <c r="R1581">
        <v>166</v>
      </c>
      <c r="S1581" s="2">
        <v>91</v>
      </c>
      <c r="T1581" t="s">
        <v>286</v>
      </c>
      <c r="U1581" t="s">
        <v>291</v>
      </c>
      <c r="V1581" t="s">
        <v>289</v>
      </c>
      <c r="W1581" s="32"/>
      <c r="X1581" s="32"/>
      <c r="Y1581" s="26"/>
      <c r="Z1581" s="26"/>
      <c r="AA1581" s="27">
        <f>IF(TA[[#This Row],[Work Start time on Fault]]="NA","",(TA[[#This Row],[Fault Acknowledgement Time ]]-TA[[#This Row],[Fault Time]])*24)</f>
        <v>0</v>
      </c>
      <c r="AB1581" s="27">
        <f>(TA[[#This Row],[Work Start time on Fault]]-TA[[#This Row],[Fault Time]])*24</f>
        <v>0</v>
      </c>
      <c r="AC1581" s="26">
        <f>(TA[[#This Row],[Work Completion time on fault]]-TA[[#This Row],[Fault Time]])*24</f>
        <v>0</v>
      </c>
      <c r="AD1581" s="27">
        <f>IFERROR((TA[[#This Row],[Work Completion time on fault]]-TA[[#This Row],[Fault Time]])*24,"")</f>
        <v>0</v>
      </c>
      <c r="AE1581" t="s">
        <v>319</v>
      </c>
      <c r="AF1581" t="s">
        <v>247</v>
      </c>
      <c r="AG1581" s="2"/>
      <c r="AH1581" s="35">
        <f>1-COS(RADIANS(TA[[#This Row],[Avg. Target Angle during Fault Time (Radians)]]-TA[[#This Row],[Angle of affected equipment ]]))</f>
        <v>0.11705240714107301</v>
      </c>
      <c r="AI1581" s="27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43">
        <f t="shared" si="196"/>
        <v>2026</v>
      </c>
      <c r="C1582" s="116">
        <f t="shared" si="197"/>
        <v>2025</v>
      </c>
      <c r="D1582" s="2" t="s">
        <v>155</v>
      </c>
      <c r="E1582" s="2" t="s">
        <v>155</v>
      </c>
      <c r="F1582" s="30">
        <v>45839</v>
      </c>
      <c r="G1582" s="2">
        <f>DAY(EOMONTH(TA[[#This Row],[Month Year]],0))</f>
        <v>31</v>
      </c>
      <c r="H1582" s="21">
        <v>45858</v>
      </c>
      <c r="I1582" s="32">
        <f>IFERROR(VLOOKUP(TA[[#This Row],[Date]],Raw_Data[[Date]:[Sunset Time (POA&lt;20 W/m2)]],3,0),"")</f>
        <v>0.25972222222222224</v>
      </c>
      <c r="J1582" s="32">
        <f>IFERROR(VLOOKUP(TA[[#This Row],[Date]],Raw_Data[[Date]:[Sunset Time (POA&lt;20 W/m2)]],4,0),"")</f>
        <v>0.77986111111111112</v>
      </c>
      <c r="K1582" s="27">
        <f>IFERROR((TA[[#This Row],[Sunset Time (POA&lt;20 W/m2)]]-TA[[#This Row],[Sunrise Time (POA&gt;20 W/m2)]])*24,"")</f>
        <v>12.483333333333334</v>
      </c>
      <c r="L1582" s="2" t="s">
        <v>285</v>
      </c>
      <c r="M1582" s="33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14" t="s">
        <v>307</v>
      </c>
      <c r="Q1582" s="113" t="s">
        <v>307</v>
      </c>
      <c r="R1582">
        <v>117</v>
      </c>
      <c r="S1582" s="2">
        <v>20</v>
      </c>
      <c r="T1582" t="s">
        <v>286</v>
      </c>
      <c r="U1582" t="s">
        <v>291</v>
      </c>
      <c r="V1582" t="s">
        <v>289</v>
      </c>
      <c r="W1582" s="32"/>
      <c r="X1582" s="32"/>
      <c r="Y1582" s="26"/>
      <c r="Z1582" s="26"/>
      <c r="AA1582" s="27">
        <f>IF(TA[[#This Row],[Work Start time on Fault]]="NA","",(TA[[#This Row],[Fault Acknowledgement Time ]]-TA[[#This Row],[Fault Time]])*24)</f>
        <v>0</v>
      </c>
      <c r="AB1582" s="27">
        <f>(TA[[#This Row],[Work Start time on Fault]]-TA[[#This Row],[Fault Time]])*24</f>
        <v>0</v>
      </c>
      <c r="AC1582" s="26">
        <f>(TA[[#This Row],[Work Completion time on fault]]-TA[[#This Row],[Fault Time]])*24</f>
        <v>0</v>
      </c>
      <c r="AD1582" s="27">
        <f>IFERROR((TA[[#This Row],[Work Completion time on fault]]-TA[[#This Row],[Fault Time]])*24,"")</f>
        <v>0</v>
      </c>
      <c r="AE1582" t="s">
        <v>319</v>
      </c>
      <c r="AF1582" t="s">
        <v>247</v>
      </c>
      <c r="AG1582" s="2"/>
      <c r="AH1582" s="35">
        <f>1-COS(RADIANS(TA[[#This Row],[Avg. Target Angle during Fault Time (Radians)]]-TA[[#This Row],[Angle of affected equipment ]]))</f>
        <v>0.11705240714107301</v>
      </c>
      <c r="AI1582" s="27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43">
        <f t="shared" si="196"/>
        <v>2026</v>
      </c>
      <c r="C1583" s="116">
        <f t="shared" si="197"/>
        <v>2025</v>
      </c>
      <c r="D1583" s="2" t="s">
        <v>155</v>
      </c>
      <c r="E1583" s="2" t="s">
        <v>155</v>
      </c>
      <c r="F1583" s="30">
        <v>45839</v>
      </c>
      <c r="G1583" s="2">
        <f>DAY(EOMONTH(TA[[#This Row],[Month Year]],0))</f>
        <v>31</v>
      </c>
      <c r="H1583" s="21">
        <v>45858</v>
      </c>
      <c r="I1583" s="32">
        <f>IFERROR(VLOOKUP(TA[[#This Row],[Date]],Raw_Data[[Date]:[Sunset Time (POA&lt;20 W/m2)]],3,0),"")</f>
        <v>0.25972222222222224</v>
      </c>
      <c r="J1583" s="32">
        <f>IFERROR(VLOOKUP(TA[[#This Row],[Date]],Raw_Data[[Date]:[Sunset Time (POA&lt;20 W/m2)]],4,0),"")</f>
        <v>0.77986111111111112</v>
      </c>
      <c r="K1583" s="27">
        <f>IFERROR((TA[[#This Row],[Sunset Time (POA&lt;20 W/m2)]]-TA[[#This Row],[Sunrise Time (POA&gt;20 W/m2)]])*24,"")</f>
        <v>12.483333333333334</v>
      </c>
      <c r="L1583" s="2" t="s">
        <v>285</v>
      </c>
      <c r="M1583" s="33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14" t="s">
        <v>307</v>
      </c>
      <c r="Q1583" s="113" t="s">
        <v>307</v>
      </c>
      <c r="R1583">
        <v>118</v>
      </c>
      <c r="S1583" s="2">
        <v>22</v>
      </c>
      <c r="T1583" t="s">
        <v>286</v>
      </c>
      <c r="U1583" t="s">
        <v>291</v>
      </c>
      <c r="V1583" t="s">
        <v>289</v>
      </c>
      <c r="W1583" s="32"/>
      <c r="X1583" s="32"/>
      <c r="Y1583" s="26"/>
      <c r="Z1583" s="26"/>
      <c r="AA1583" s="27">
        <f>IF(TA[[#This Row],[Work Start time on Fault]]="NA","",(TA[[#This Row],[Fault Acknowledgement Time ]]-TA[[#This Row],[Fault Time]])*24)</f>
        <v>0</v>
      </c>
      <c r="AB1583" s="27">
        <f>(TA[[#This Row],[Work Start time on Fault]]-TA[[#This Row],[Fault Time]])*24</f>
        <v>0</v>
      </c>
      <c r="AC1583" s="26">
        <f>(TA[[#This Row],[Work Completion time on fault]]-TA[[#This Row],[Fault Time]])*24</f>
        <v>0</v>
      </c>
      <c r="AD1583" s="27">
        <f>IFERROR((TA[[#This Row],[Work Completion time on fault]]-TA[[#This Row],[Fault Time]])*24,"")</f>
        <v>0</v>
      </c>
      <c r="AE1583" t="s">
        <v>319</v>
      </c>
      <c r="AF1583" t="s">
        <v>247</v>
      </c>
      <c r="AG1583" s="2"/>
      <c r="AH1583" s="35">
        <f>1-COS(RADIANS(TA[[#This Row],[Avg. Target Angle during Fault Time (Radians)]]-TA[[#This Row],[Angle of affected equipment ]]))</f>
        <v>0.11705240714107301</v>
      </c>
      <c r="AI1583" s="27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43">
        <f t="shared" si="196"/>
        <v>2026</v>
      </c>
      <c r="C1584" s="116">
        <f t="shared" si="197"/>
        <v>2025</v>
      </c>
      <c r="D1584" s="2" t="s">
        <v>155</v>
      </c>
      <c r="E1584" s="2" t="s">
        <v>155</v>
      </c>
      <c r="F1584" s="30">
        <v>45839</v>
      </c>
      <c r="G1584" s="2">
        <f>DAY(EOMONTH(TA[[#This Row],[Month Year]],0))</f>
        <v>31</v>
      </c>
      <c r="H1584" s="21">
        <v>45858</v>
      </c>
      <c r="I1584" s="32">
        <f>IFERROR(VLOOKUP(TA[[#This Row],[Date]],Raw_Data[[Date]:[Sunset Time (POA&lt;20 W/m2)]],3,0),"")</f>
        <v>0.25972222222222224</v>
      </c>
      <c r="J1584" s="32">
        <f>IFERROR(VLOOKUP(TA[[#This Row],[Date]],Raw_Data[[Date]:[Sunset Time (POA&lt;20 W/m2)]],4,0),"")</f>
        <v>0.77986111111111112</v>
      </c>
      <c r="K1584" s="27">
        <f>IFERROR((TA[[#This Row],[Sunset Time (POA&lt;20 W/m2)]]-TA[[#This Row],[Sunrise Time (POA&gt;20 W/m2)]])*24,"")</f>
        <v>12.483333333333334</v>
      </c>
      <c r="L1584" s="2" t="s">
        <v>287</v>
      </c>
      <c r="M1584" s="33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314</v>
      </c>
      <c r="Q1584" s="2" t="s">
        <v>320</v>
      </c>
      <c r="R1584">
        <v>45</v>
      </c>
      <c r="S1584" s="2">
        <v>8</v>
      </c>
      <c r="T1584" t="s">
        <v>288</v>
      </c>
      <c r="U1584" t="s">
        <v>291</v>
      </c>
      <c r="V1584" t="s">
        <v>292</v>
      </c>
      <c r="W1584" s="32"/>
      <c r="X1584" s="32"/>
      <c r="Y1584" s="26"/>
      <c r="Z1584" s="26"/>
      <c r="AA1584" s="27">
        <f>IF(TA[[#This Row],[Work Start time on Fault]]="NA","",(TA[[#This Row],[Fault Acknowledgement Time ]]-TA[[#This Row],[Fault Time]])*24)</f>
        <v>0</v>
      </c>
      <c r="AB1584" s="27">
        <f>(TA[[#This Row],[Work Start time on Fault]]-TA[[#This Row],[Fault Time]])*24</f>
        <v>0</v>
      </c>
      <c r="AC1584" s="26">
        <f>(TA[[#This Row],[Work Completion time on fault]]-TA[[#This Row],[Fault Time]])*24</f>
        <v>0</v>
      </c>
      <c r="AD1584" s="27">
        <f>IFERROR((TA[[#This Row],[Work Completion time on fault]]-TA[[#This Row],[Fault Time]])*24,"")</f>
        <v>0</v>
      </c>
      <c r="AE1584" t="s">
        <v>319</v>
      </c>
      <c r="AF1584" t="s">
        <v>247</v>
      </c>
      <c r="AG1584" s="2"/>
      <c r="AH1584" s="35">
        <f>1-COS(RADIANS(TA[[#This Row],[Avg. Target Angle during Fault Time (Radians)]]-TA[[#This Row],[Angle of affected equipment ]]))</f>
        <v>0.11705240714107301</v>
      </c>
      <c r="AI1584" s="27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43">
        <f t="shared" si="196"/>
        <v>2026</v>
      </c>
      <c r="C1585" s="116">
        <f t="shared" si="197"/>
        <v>2025</v>
      </c>
      <c r="D1585" s="2" t="s">
        <v>155</v>
      </c>
      <c r="E1585" s="2" t="s">
        <v>155</v>
      </c>
      <c r="F1585" s="30">
        <v>45839</v>
      </c>
      <c r="G1585" s="2">
        <f>DAY(EOMONTH(TA[[#This Row],[Month Year]],0))</f>
        <v>31</v>
      </c>
      <c r="H1585" s="21">
        <v>45858</v>
      </c>
      <c r="I1585" s="32">
        <f>IFERROR(VLOOKUP(TA[[#This Row],[Date]],Raw_Data[[Date]:[Sunset Time (POA&lt;20 W/m2)]],3,0),"")</f>
        <v>0.25972222222222224</v>
      </c>
      <c r="J1585" s="32">
        <f>IFERROR(VLOOKUP(TA[[#This Row],[Date]],Raw_Data[[Date]:[Sunset Time (POA&lt;20 W/m2)]],4,0),"")</f>
        <v>0.77986111111111112</v>
      </c>
      <c r="K1585" s="27">
        <f>IFERROR((TA[[#This Row],[Sunset Time (POA&lt;20 W/m2)]]-TA[[#This Row],[Sunrise Time (POA&gt;20 W/m2)]])*24,"")</f>
        <v>12.483333333333334</v>
      </c>
      <c r="L1585" s="2" t="s">
        <v>287</v>
      </c>
      <c r="M1585" s="33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314</v>
      </c>
      <c r="Q1585" s="2" t="s">
        <v>320</v>
      </c>
      <c r="R1585">
        <v>47</v>
      </c>
      <c r="S1585" s="2">
        <v>18</v>
      </c>
      <c r="T1585" t="s">
        <v>288</v>
      </c>
      <c r="U1585" t="s">
        <v>291</v>
      </c>
      <c r="V1585" t="s">
        <v>292</v>
      </c>
      <c r="W1585" s="32"/>
      <c r="X1585" s="32"/>
      <c r="Y1585" s="26"/>
      <c r="Z1585" s="26"/>
      <c r="AA1585" s="27">
        <f>IF(TA[[#This Row],[Work Start time on Fault]]="NA","",(TA[[#This Row],[Fault Acknowledgement Time ]]-TA[[#This Row],[Fault Time]])*24)</f>
        <v>0</v>
      </c>
      <c r="AB1585" s="27">
        <f>(TA[[#This Row],[Work Start time on Fault]]-TA[[#This Row],[Fault Time]])*24</f>
        <v>0</v>
      </c>
      <c r="AC1585" s="26">
        <f>(TA[[#This Row],[Work Completion time on fault]]-TA[[#This Row],[Fault Time]])*24</f>
        <v>0</v>
      </c>
      <c r="AD1585" s="27">
        <f>IFERROR((TA[[#This Row],[Work Completion time on fault]]-TA[[#This Row],[Fault Time]])*24,"")</f>
        <v>0</v>
      </c>
      <c r="AE1585" t="s">
        <v>319</v>
      </c>
      <c r="AF1585" t="s">
        <v>247</v>
      </c>
      <c r="AG1585" s="2"/>
      <c r="AH1585" s="35">
        <f>1-COS(RADIANS(TA[[#This Row],[Avg. Target Angle during Fault Time (Radians)]]-TA[[#This Row],[Angle of affected equipment ]]))</f>
        <v>0.11705240714107301</v>
      </c>
      <c r="AI1585" s="27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43">
        <f t="shared" si="196"/>
        <v>2026</v>
      </c>
      <c r="C1586" s="116">
        <f t="shared" si="197"/>
        <v>2025</v>
      </c>
      <c r="D1586" s="2" t="s">
        <v>155</v>
      </c>
      <c r="E1586" s="2" t="s">
        <v>155</v>
      </c>
      <c r="F1586" s="30">
        <v>45839</v>
      </c>
      <c r="G1586" s="2">
        <f>DAY(EOMONTH(TA[[#This Row],[Month Year]],0))</f>
        <v>31</v>
      </c>
      <c r="H1586" s="21">
        <v>45858</v>
      </c>
      <c r="I1586" s="32">
        <f>IFERROR(VLOOKUP(TA[[#This Row],[Date]],Raw_Data[[Date]:[Sunset Time (POA&lt;20 W/m2)]],3,0),"")</f>
        <v>0.25972222222222224</v>
      </c>
      <c r="J1586" s="32">
        <f>IFERROR(VLOOKUP(TA[[#This Row],[Date]],Raw_Data[[Date]:[Sunset Time (POA&lt;20 W/m2)]],4,0),"")</f>
        <v>0.77986111111111112</v>
      </c>
      <c r="K1586" s="27">
        <f>IFERROR((TA[[#This Row],[Sunset Time (POA&lt;20 W/m2)]]-TA[[#This Row],[Sunrise Time (POA&gt;20 W/m2)]])*24,"")</f>
        <v>12.483333333333334</v>
      </c>
      <c r="L1586" s="2" t="s">
        <v>287</v>
      </c>
      <c r="M1586" s="33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321</v>
      </c>
      <c r="Q1586" s="2" t="s">
        <v>314</v>
      </c>
      <c r="R1586">
        <v>30</v>
      </c>
      <c r="S1586" s="2">
        <v>57</v>
      </c>
      <c r="T1586" t="s">
        <v>288</v>
      </c>
      <c r="U1586" t="s">
        <v>291</v>
      </c>
      <c r="V1586" t="s">
        <v>292</v>
      </c>
      <c r="W1586" s="32"/>
      <c r="X1586" s="32"/>
      <c r="Y1586" s="26"/>
      <c r="Z1586" s="26"/>
      <c r="AA1586" s="27">
        <f>IF(TA[[#This Row],[Work Start time on Fault]]="NA","",(TA[[#This Row],[Fault Acknowledgement Time ]]-TA[[#This Row],[Fault Time]])*24)</f>
        <v>0</v>
      </c>
      <c r="AB1586" s="27">
        <f>(TA[[#This Row],[Work Start time on Fault]]-TA[[#This Row],[Fault Time]])*24</f>
        <v>0</v>
      </c>
      <c r="AC1586" s="26">
        <f>(TA[[#This Row],[Work Completion time on fault]]-TA[[#This Row],[Fault Time]])*24</f>
        <v>0</v>
      </c>
      <c r="AD1586" s="27">
        <f>IFERROR((TA[[#This Row],[Work Completion time on fault]]-TA[[#This Row],[Fault Time]])*24,"")</f>
        <v>0</v>
      </c>
      <c r="AE1586" t="s">
        <v>319</v>
      </c>
      <c r="AF1586" t="s">
        <v>247</v>
      </c>
      <c r="AG1586" s="2"/>
      <c r="AH1586" s="35">
        <f>1-COS(RADIANS(TA[[#This Row],[Avg. Target Angle during Fault Time (Radians)]]-TA[[#This Row],[Angle of affected equipment ]]))</f>
        <v>0.11705240714107301</v>
      </c>
      <c r="AI1586" s="27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43">
        <f t="shared" si="196"/>
        <v>2026</v>
      </c>
      <c r="C1587" s="116">
        <f t="shared" si="197"/>
        <v>2025</v>
      </c>
      <c r="D1587" s="2" t="s">
        <v>155</v>
      </c>
      <c r="E1587" s="2" t="s">
        <v>155</v>
      </c>
      <c r="F1587" s="30">
        <v>45839</v>
      </c>
      <c r="G1587" s="2">
        <f>DAY(EOMONTH(TA[[#This Row],[Month Year]],0))</f>
        <v>31</v>
      </c>
      <c r="H1587" s="21">
        <v>45858</v>
      </c>
      <c r="I1587" s="32">
        <f>IFERROR(VLOOKUP(TA[[#This Row],[Date]],Raw_Data[[Date]:[Sunset Time (POA&lt;20 W/m2)]],3,0),"")</f>
        <v>0.25972222222222224</v>
      </c>
      <c r="J1587" s="32">
        <f>IFERROR(VLOOKUP(TA[[#This Row],[Date]],Raw_Data[[Date]:[Sunset Time (POA&lt;20 W/m2)]],4,0),"")</f>
        <v>0.77986111111111112</v>
      </c>
      <c r="K1587" s="27">
        <f>IFERROR((TA[[#This Row],[Sunset Time (POA&lt;20 W/m2)]]-TA[[#This Row],[Sunrise Time (POA&gt;20 W/m2)]])*24,"")</f>
        <v>12.483333333333334</v>
      </c>
      <c r="L1587" s="2" t="s">
        <v>287</v>
      </c>
      <c r="M1587" s="33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321</v>
      </c>
      <c r="Q1587" s="2" t="s">
        <v>314</v>
      </c>
      <c r="R1587">
        <v>31</v>
      </c>
      <c r="S1587" s="2">
        <v>61</v>
      </c>
      <c r="T1587" t="s">
        <v>288</v>
      </c>
      <c r="U1587" t="s">
        <v>291</v>
      </c>
      <c r="V1587" t="s">
        <v>292</v>
      </c>
      <c r="W1587" s="32"/>
      <c r="X1587" s="32"/>
      <c r="Y1587" s="26"/>
      <c r="Z1587" s="26"/>
      <c r="AA1587" s="27">
        <f>IF(TA[[#This Row],[Work Start time on Fault]]="NA","",(TA[[#This Row],[Fault Acknowledgement Time ]]-TA[[#This Row],[Fault Time]])*24)</f>
        <v>0</v>
      </c>
      <c r="AB1587" s="27">
        <f>(TA[[#This Row],[Work Start time on Fault]]-TA[[#This Row],[Fault Time]])*24</f>
        <v>0</v>
      </c>
      <c r="AC1587" s="26">
        <f>(TA[[#This Row],[Work Completion time on fault]]-TA[[#This Row],[Fault Time]])*24</f>
        <v>0</v>
      </c>
      <c r="AD1587" s="27">
        <f>IFERROR((TA[[#This Row],[Work Completion time on fault]]-TA[[#This Row],[Fault Time]])*24,"")</f>
        <v>0</v>
      </c>
      <c r="AE1587" t="s">
        <v>319</v>
      </c>
      <c r="AF1587" t="s">
        <v>247</v>
      </c>
      <c r="AG1587" s="2"/>
      <c r="AH1587" s="35">
        <f>1-COS(RADIANS(TA[[#This Row],[Avg. Target Angle during Fault Time (Radians)]]-TA[[#This Row],[Angle of affected equipment ]]))</f>
        <v>0.11705240714107301</v>
      </c>
      <c r="AI1587" s="27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43">
        <f t="shared" si="196"/>
        <v>2026</v>
      </c>
      <c r="C1588" s="116">
        <f t="shared" si="197"/>
        <v>2025</v>
      </c>
      <c r="D1588" s="2" t="s">
        <v>155</v>
      </c>
      <c r="E1588" s="2" t="s">
        <v>155</v>
      </c>
      <c r="F1588" s="30">
        <v>45839</v>
      </c>
      <c r="G1588" s="2">
        <f>DAY(EOMONTH(TA[[#This Row],[Month Year]],0))</f>
        <v>31</v>
      </c>
      <c r="H1588" s="21">
        <v>45858</v>
      </c>
      <c r="I1588" s="32">
        <f>IFERROR(VLOOKUP(TA[[#This Row],[Date]],Raw_Data[[Date]:[Sunset Time (POA&lt;20 W/m2)]],3,0),"")</f>
        <v>0.25972222222222224</v>
      </c>
      <c r="J1588" s="32">
        <f>IFERROR(VLOOKUP(TA[[#This Row],[Date]],Raw_Data[[Date]:[Sunset Time (POA&lt;20 W/m2)]],4,0),"")</f>
        <v>0.77986111111111112</v>
      </c>
      <c r="K1588" s="27">
        <f>IFERROR((TA[[#This Row],[Sunset Time (POA&lt;20 W/m2)]]-TA[[#This Row],[Sunrise Time (POA&gt;20 W/m2)]])*24,"")</f>
        <v>12.483333333333334</v>
      </c>
      <c r="L1588" s="2" t="s">
        <v>303</v>
      </c>
      <c r="M1588" s="33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321</v>
      </c>
      <c r="Q1588" s="2" t="s">
        <v>314</v>
      </c>
      <c r="R1588">
        <v>26</v>
      </c>
      <c r="S1588" s="2">
        <v>37</v>
      </c>
      <c r="T1588" t="s">
        <v>288</v>
      </c>
      <c r="U1588" t="s">
        <v>291</v>
      </c>
      <c r="V1588" t="s">
        <v>292</v>
      </c>
      <c r="W1588" s="32"/>
      <c r="X1588" s="32"/>
      <c r="Y1588" s="26"/>
      <c r="Z1588" s="26"/>
      <c r="AA1588" s="27">
        <f>IF(TA[[#This Row],[Work Start time on Fault]]="NA","",(TA[[#This Row],[Fault Acknowledgement Time ]]-TA[[#This Row],[Fault Time]])*24)</f>
        <v>0</v>
      </c>
      <c r="AB1588" s="27">
        <f>(TA[[#This Row],[Work Start time on Fault]]-TA[[#This Row],[Fault Time]])*24</f>
        <v>0</v>
      </c>
      <c r="AC1588" s="26">
        <f>(TA[[#This Row],[Work Completion time on fault]]-TA[[#This Row],[Fault Time]])*24</f>
        <v>0</v>
      </c>
      <c r="AD1588" s="27">
        <f>IFERROR((TA[[#This Row],[Work Completion time on fault]]-TA[[#This Row],[Fault Time]])*24,"")</f>
        <v>0</v>
      </c>
      <c r="AE1588" t="s">
        <v>319</v>
      </c>
      <c r="AF1588" t="s">
        <v>247</v>
      </c>
      <c r="AG1588" s="2"/>
      <c r="AH1588" s="35">
        <f>1-COS(RADIANS(TA[[#This Row],[Avg. Target Angle during Fault Time (Radians)]]-TA[[#This Row],[Angle of affected equipment ]]))</f>
        <v>0.11705240714107301</v>
      </c>
      <c r="AI1588" s="27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43">
        <f t="shared" si="196"/>
        <v>2026</v>
      </c>
      <c r="C1589" s="116">
        <f t="shared" si="197"/>
        <v>2025</v>
      </c>
      <c r="D1589" s="2" t="s">
        <v>155</v>
      </c>
      <c r="E1589" s="2" t="s">
        <v>155</v>
      </c>
      <c r="F1589" s="30">
        <v>45839</v>
      </c>
      <c r="G1589" s="2">
        <f>DAY(EOMONTH(TA[[#This Row],[Month Year]],0))</f>
        <v>31</v>
      </c>
      <c r="H1589" s="21">
        <v>45858</v>
      </c>
      <c r="I1589" s="32">
        <f>IFERROR(VLOOKUP(TA[[#This Row],[Date]],Raw_Data[[Date]:[Sunset Time (POA&lt;20 W/m2)]],3,0),"")</f>
        <v>0.25972222222222224</v>
      </c>
      <c r="J1589" s="32">
        <f>IFERROR(VLOOKUP(TA[[#This Row],[Date]],Raw_Data[[Date]:[Sunset Time (POA&lt;20 W/m2)]],4,0),"")</f>
        <v>0.77986111111111112</v>
      </c>
      <c r="K1589" s="27">
        <f>IFERROR((TA[[#This Row],[Sunset Time (POA&lt;20 W/m2)]]-TA[[#This Row],[Sunrise Time (POA&gt;20 W/m2)]])*24,"")</f>
        <v>12.483333333333334</v>
      </c>
      <c r="L1589" s="2" t="s">
        <v>303</v>
      </c>
      <c r="M1589" s="33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321</v>
      </c>
      <c r="Q1589" s="2" t="s">
        <v>314</v>
      </c>
      <c r="R1589">
        <v>27</v>
      </c>
      <c r="S1589" s="2">
        <v>42</v>
      </c>
      <c r="T1589" t="s">
        <v>288</v>
      </c>
      <c r="U1589" t="s">
        <v>291</v>
      </c>
      <c r="V1589" t="s">
        <v>292</v>
      </c>
      <c r="W1589" s="32">
        <f>IFERROR(VLOOKUP(TA[[#This Row],[Date]],Raw_Data[[Date]:[Sunset Time (POA&lt;20 W/m2)]],3,0),"")</f>
        <v>0.25972222222222224</v>
      </c>
      <c r="X1589" s="32">
        <f>IFERROR(VLOOKUP(TA[[#This Row],[Date]],Raw_Data[[Date]:[Sunset Time (POA&lt;20 W/m2)]],3,0),"")</f>
        <v>0.25972222222222224</v>
      </c>
      <c r="Y1589" s="26"/>
      <c r="Z1589" s="26">
        <v>0.76041666666666663</v>
      </c>
      <c r="AA1589" s="27">
        <f>IF(TA[[#This Row],[Work Start time on Fault]]="NA","",(TA[[#This Row],[Fault Acknowledgement Time ]]-TA[[#This Row],[Fault Time]])*24)</f>
        <v>0</v>
      </c>
      <c r="AB1589" s="27">
        <f>(TA[[#This Row],[Work Start time on Fault]]-TA[[#This Row],[Fault Time]])*24</f>
        <v>-6.2333333333333343</v>
      </c>
      <c r="AC1589" s="26">
        <f>(TA[[#This Row],[Work Completion time on fault]]-TA[[#This Row],[Fault Time]])*24</f>
        <v>12.016666666666664</v>
      </c>
      <c r="AD1589" s="27">
        <f>IFERROR((TA[[#This Row],[Work Completion time on fault]]-TA[[#This Row],[Fault Time]])*24,"")</f>
        <v>12.016666666666664</v>
      </c>
      <c r="AE1589" t="s">
        <v>300</v>
      </c>
      <c r="AF1589" t="s">
        <v>247</v>
      </c>
      <c r="AG1589" s="2"/>
      <c r="AH1589" s="35">
        <f>1-COS(RADIANS(TA[[#This Row],[Avg. Target Angle during Fault Time (Radians)]]-TA[[#This Row],[Angle of affected equipment ]]))</f>
        <v>0.11705240714107301</v>
      </c>
      <c r="AI1589" s="27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43">
        <f t="shared" ref="B1590:B1602" si="199">YEAR(H1590)+IF(MONTH(H1590)&gt;=4,1,0)</f>
        <v>2026</v>
      </c>
      <c r="C1590" s="116">
        <f t="shared" ref="C1590:C1602" si="200">YEAR(H1590)</f>
        <v>2025</v>
      </c>
      <c r="D1590" s="2" t="s">
        <v>155</v>
      </c>
      <c r="E1590" s="2" t="s">
        <v>155</v>
      </c>
      <c r="F1590" s="30">
        <v>45839</v>
      </c>
      <c r="G1590" s="2">
        <f>DAY(EOMONTH(TA[[#This Row],[Month Year]],0))</f>
        <v>31</v>
      </c>
      <c r="H1590" s="21">
        <v>45859</v>
      </c>
      <c r="I1590" s="32">
        <f>IFERROR(VLOOKUP(TA[[#This Row],[Date]],Raw_Data[[Date]:[Sunset Time (POA&lt;20 W/m2)]],3,0),"")</f>
        <v>0.25624999999999998</v>
      </c>
      <c r="J1590" s="32">
        <f>IFERROR(VLOOKUP(TA[[#This Row],[Date]],Raw_Data[[Date]:[Sunset Time (POA&lt;20 W/m2)]],4,0),"")</f>
        <v>0.71597222222222223</v>
      </c>
      <c r="K1590" s="27">
        <f>IFERROR((TA[[#This Row],[Sunset Time (POA&lt;20 W/m2)]]-TA[[#This Row],[Sunrise Time (POA&gt;20 W/m2)]])*24,"")</f>
        <v>11.033333333333335</v>
      </c>
      <c r="L1590" s="2" t="s">
        <v>285</v>
      </c>
      <c r="M1590" s="33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14" t="s">
        <v>309</v>
      </c>
      <c r="Q1590" s="113" t="s">
        <v>309</v>
      </c>
      <c r="R1590">
        <v>131</v>
      </c>
      <c r="S1590" s="2">
        <v>38</v>
      </c>
      <c r="T1590" t="s">
        <v>286</v>
      </c>
      <c r="U1590" t="s">
        <v>291</v>
      </c>
      <c r="V1590" t="s">
        <v>289</v>
      </c>
      <c r="W1590" s="32"/>
      <c r="X1590" s="32"/>
      <c r="Y1590" s="26"/>
      <c r="Z1590" s="26"/>
      <c r="AA1590" s="27">
        <f>IF(TA[[#This Row],[Work Start time on Fault]]="NA","",(TA[[#This Row],[Fault Acknowledgement Time ]]-TA[[#This Row],[Fault Time]])*24)</f>
        <v>0</v>
      </c>
      <c r="AB1590" s="27">
        <f>(TA[[#This Row],[Work Start time on Fault]]-TA[[#This Row],[Fault Time]])*24</f>
        <v>0</v>
      </c>
      <c r="AC1590" s="26">
        <f>(TA[[#This Row],[Work Completion time on fault]]-TA[[#This Row],[Fault Time]])*24</f>
        <v>0</v>
      </c>
      <c r="AD1590" s="27">
        <f>IFERROR((TA[[#This Row],[Work Completion time on fault]]-TA[[#This Row],[Fault Time]])*24,"")</f>
        <v>0</v>
      </c>
      <c r="AE1590" t="s">
        <v>319</v>
      </c>
      <c r="AF1590" t="s">
        <v>247</v>
      </c>
      <c r="AG1590" s="2"/>
      <c r="AH1590" s="35">
        <f>1-COS(RADIANS(TA[[#This Row],[Avg. Target Angle during Fault Time (Radians)]]-TA[[#This Row],[Angle of affected equipment ]]))</f>
        <v>0.11705240714107301</v>
      </c>
      <c r="AI1590" s="27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43">
        <f t="shared" si="199"/>
        <v>2026</v>
      </c>
      <c r="C1591" s="116">
        <f t="shared" si="200"/>
        <v>2025</v>
      </c>
      <c r="D1591" s="2" t="s">
        <v>155</v>
      </c>
      <c r="E1591" s="2" t="s">
        <v>155</v>
      </c>
      <c r="F1591" s="30">
        <v>45839</v>
      </c>
      <c r="G1591" s="2">
        <f>DAY(EOMONTH(TA[[#This Row],[Month Year]],0))</f>
        <v>31</v>
      </c>
      <c r="H1591" s="21">
        <v>45859</v>
      </c>
      <c r="I1591" s="32">
        <f>IFERROR(VLOOKUP(TA[[#This Row],[Date]],Raw_Data[[Date]:[Sunset Time (POA&lt;20 W/m2)]],3,0),"")</f>
        <v>0.25624999999999998</v>
      </c>
      <c r="J1591" s="32">
        <f>IFERROR(VLOOKUP(TA[[#This Row],[Date]],Raw_Data[[Date]:[Sunset Time (POA&lt;20 W/m2)]],4,0),"")</f>
        <v>0.71597222222222223</v>
      </c>
      <c r="K1591" s="27">
        <f>IFERROR((TA[[#This Row],[Sunset Time (POA&lt;20 W/m2)]]-TA[[#This Row],[Sunrise Time (POA&gt;20 W/m2)]])*24,"")</f>
        <v>11.033333333333335</v>
      </c>
      <c r="L1591" s="2" t="s">
        <v>285</v>
      </c>
      <c r="M1591" s="33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14" t="s">
        <v>309</v>
      </c>
      <c r="Q1591" s="113" t="s">
        <v>309</v>
      </c>
      <c r="R1591">
        <v>131</v>
      </c>
      <c r="S1591" s="2">
        <v>39</v>
      </c>
      <c r="T1591" t="s">
        <v>286</v>
      </c>
      <c r="U1591" t="s">
        <v>291</v>
      </c>
      <c r="V1591" t="s">
        <v>289</v>
      </c>
      <c r="W1591" s="32"/>
      <c r="X1591" s="32"/>
      <c r="Y1591" s="26"/>
      <c r="Z1591" s="26"/>
      <c r="AA1591" s="27">
        <f>IF(TA[[#This Row],[Work Start time on Fault]]="NA","",(TA[[#This Row],[Fault Acknowledgement Time ]]-TA[[#This Row],[Fault Time]])*24)</f>
        <v>0</v>
      </c>
      <c r="AB1591" s="27">
        <f>(TA[[#This Row],[Work Start time on Fault]]-TA[[#This Row],[Fault Time]])*24</f>
        <v>0</v>
      </c>
      <c r="AC1591" s="26">
        <f>(TA[[#This Row],[Work Completion time on fault]]-TA[[#This Row],[Fault Time]])*24</f>
        <v>0</v>
      </c>
      <c r="AD1591" s="27">
        <f>IFERROR((TA[[#This Row],[Work Completion time on fault]]-TA[[#This Row],[Fault Time]])*24,"")</f>
        <v>0</v>
      </c>
      <c r="AE1591" t="s">
        <v>319</v>
      </c>
      <c r="AF1591" t="s">
        <v>247</v>
      </c>
      <c r="AG1591" s="2"/>
      <c r="AH1591" s="35">
        <f>1-COS(RADIANS(TA[[#This Row],[Avg. Target Angle during Fault Time (Radians)]]-TA[[#This Row],[Angle of affected equipment ]]))</f>
        <v>0.11705240714107301</v>
      </c>
      <c r="AI1591" s="27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43">
        <f t="shared" si="199"/>
        <v>2026</v>
      </c>
      <c r="C1592" s="116">
        <f t="shared" si="200"/>
        <v>2025</v>
      </c>
      <c r="D1592" s="2" t="s">
        <v>155</v>
      </c>
      <c r="E1592" s="2" t="s">
        <v>155</v>
      </c>
      <c r="F1592" s="30">
        <v>45839</v>
      </c>
      <c r="G1592" s="2">
        <f>DAY(EOMONTH(TA[[#This Row],[Month Year]],0))</f>
        <v>31</v>
      </c>
      <c r="H1592" s="21">
        <v>45859</v>
      </c>
      <c r="I1592" s="32">
        <f>IFERROR(VLOOKUP(TA[[#This Row],[Date]],Raw_Data[[Date]:[Sunset Time (POA&lt;20 W/m2)]],3,0),"")</f>
        <v>0.25624999999999998</v>
      </c>
      <c r="J1592" s="32">
        <f>IFERROR(VLOOKUP(TA[[#This Row],[Date]],Raw_Data[[Date]:[Sunset Time (POA&lt;20 W/m2)]],4,0),"")</f>
        <v>0.71597222222222223</v>
      </c>
      <c r="K1592" s="27">
        <f>IFERROR((TA[[#This Row],[Sunset Time (POA&lt;20 W/m2)]]-TA[[#This Row],[Sunrise Time (POA&gt;20 W/m2)]])*24,"")</f>
        <v>11.033333333333335</v>
      </c>
      <c r="L1592" s="2" t="s">
        <v>287</v>
      </c>
      <c r="M1592" s="33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14" t="s">
        <v>309</v>
      </c>
      <c r="Q1592" s="2" t="s">
        <v>312</v>
      </c>
      <c r="R1592">
        <v>133</v>
      </c>
      <c r="S1592" s="2">
        <v>26</v>
      </c>
      <c r="T1592" t="s">
        <v>288</v>
      </c>
      <c r="U1592" t="s">
        <v>291</v>
      </c>
      <c r="V1592" t="s">
        <v>305</v>
      </c>
      <c r="W1592" s="32">
        <f>IFERROR(VLOOKUP(TA[[#This Row],[Date]],Raw_Data[[Date]:[Sunset Time (POA&lt;20 W/m2)]],3,0),"")</f>
        <v>0.25624999999999998</v>
      </c>
      <c r="X1592" s="32">
        <f>IFERROR(VLOOKUP(TA[[#This Row],[Date]],Raw_Data[[Date]:[Sunset Time (POA&lt;20 W/m2)]],3,0),"")</f>
        <v>0.25624999999999998</v>
      </c>
      <c r="Y1592" s="26"/>
      <c r="Z1592" s="26">
        <v>0.76041666666666663</v>
      </c>
      <c r="AA1592" s="27">
        <f>IF(TA[[#This Row],[Work Start time on Fault]]="NA","",(TA[[#This Row],[Fault Acknowledgement Time ]]-TA[[#This Row],[Fault Time]])*24)</f>
        <v>0</v>
      </c>
      <c r="AB1592" s="27">
        <f>(TA[[#This Row],[Work Start time on Fault]]-TA[[#This Row],[Fault Time]])*24</f>
        <v>-6.1499999999999995</v>
      </c>
      <c r="AC1592" s="26">
        <f>(TA[[#This Row],[Work Completion time on fault]]-TA[[#This Row],[Fault Time]])*24</f>
        <v>12.1</v>
      </c>
      <c r="AD1592" s="27">
        <f>IFERROR((TA[[#This Row],[Work Completion time on fault]]-TA[[#This Row],[Fault Time]])*24,"")</f>
        <v>12.1</v>
      </c>
      <c r="AE1592" t="s">
        <v>319</v>
      </c>
      <c r="AF1592" t="s">
        <v>247</v>
      </c>
      <c r="AG1592" s="2"/>
      <c r="AH1592" s="35">
        <f>1-COS(RADIANS(TA[[#This Row],[Avg. Target Angle during Fault Time (Radians)]]-TA[[#This Row],[Angle of affected equipment ]]))</f>
        <v>0.11705240714107301</v>
      </c>
      <c r="AI1592" s="27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43">
        <f t="shared" si="199"/>
        <v>2026</v>
      </c>
      <c r="C1593" s="116">
        <f t="shared" si="200"/>
        <v>2025</v>
      </c>
      <c r="D1593" s="2" t="s">
        <v>155</v>
      </c>
      <c r="E1593" s="2" t="s">
        <v>155</v>
      </c>
      <c r="F1593" s="30">
        <v>45839</v>
      </c>
      <c r="G1593" s="2">
        <f>DAY(EOMONTH(TA[[#This Row],[Month Year]],0))</f>
        <v>31</v>
      </c>
      <c r="H1593" s="21">
        <v>45859</v>
      </c>
      <c r="I1593" s="32">
        <f>IFERROR(VLOOKUP(TA[[#This Row],[Date]],Raw_Data[[Date]:[Sunset Time (POA&lt;20 W/m2)]],3,0),"")</f>
        <v>0.25624999999999998</v>
      </c>
      <c r="J1593" s="32">
        <f>IFERROR(VLOOKUP(TA[[#This Row],[Date]],Raw_Data[[Date]:[Sunset Time (POA&lt;20 W/m2)]],4,0),"")</f>
        <v>0.71597222222222223</v>
      </c>
      <c r="K1593" s="27">
        <f>IFERROR((TA[[#This Row],[Sunset Time (POA&lt;20 W/m2)]]-TA[[#This Row],[Sunrise Time (POA&gt;20 W/m2)]])*24,"")</f>
        <v>11.033333333333335</v>
      </c>
      <c r="L1593" s="2" t="s">
        <v>285</v>
      </c>
      <c r="M1593" s="33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14" t="s">
        <v>307</v>
      </c>
      <c r="Q1593" s="113" t="s">
        <v>308</v>
      </c>
      <c r="R1593">
        <v>7</v>
      </c>
      <c r="S1593" s="2">
        <v>32</v>
      </c>
      <c r="T1593" t="s">
        <v>286</v>
      </c>
      <c r="U1593" t="s">
        <v>291</v>
      </c>
      <c r="V1593" t="s">
        <v>289</v>
      </c>
      <c r="W1593" s="32"/>
      <c r="X1593" s="32"/>
      <c r="Y1593" s="26"/>
      <c r="Z1593" s="26"/>
      <c r="AA1593" s="27">
        <f>IF(TA[[#This Row],[Work Start time on Fault]]="NA","",(TA[[#This Row],[Fault Acknowledgement Time ]]-TA[[#This Row],[Fault Time]])*24)</f>
        <v>0</v>
      </c>
      <c r="AB1593" s="27">
        <f>(TA[[#This Row],[Work Start time on Fault]]-TA[[#This Row],[Fault Time]])*24</f>
        <v>0</v>
      </c>
      <c r="AC1593" s="26">
        <f>(TA[[#This Row],[Work Completion time on fault]]-TA[[#This Row],[Fault Time]])*24</f>
        <v>0</v>
      </c>
      <c r="AD1593" s="27">
        <f>IFERROR((TA[[#This Row],[Work Completion time on fault]]-TA[[#This Row],[Fault Time]])*24,"")</f>
        <v>0</v>
      </c>
      <c r="AE1593" t="s">
        <v>319</v>
      </c>
      <c r="AF1593" t="s">
        <v>247</v>
      </c>
      <c r="AG1593" s="2"/>
      <c r="AH1593" s="35">
        <f>1-COS(RADIANS(TA[[#This Row],[Avg. Target Angle during Fault Time (Radians)]]-TA[[#This Row],[Angle of affected equipment ]]))</f>
        <v>0.11705240714107301</v>
      </c>
      <c r="AI1593" s="27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43">
        <f t="shared" si="199"/>
        <v>2026</v>
      </c>
      <c r="C1594" s="116">
        <f t="shared" si="200"/>
        <v>2025</v>
      </c>
      <c r="D1594" s="2" t="s">
        <v>155</v>
      </c>
      <c r="E1594" s="2" t="s">
        <v>155</v>
      </c>
      <c r="F1594" s="30">
        <v>45839</v>
      </c>
      <c r="G1594" s="2">
        <f>DAY(EOMONTH(TA[[#This Row],[Month Year]],0))</f>
        <v>31</v>
      </c>
      <c r="H1594" s="21">
        <v>45859</v>
      </c>
      <c r="I1594" s="32">
        <f>IFERROR(VLOOKUP(TA[[#This Row],[Date]],Raw_Data[[Date]:[Sunset Time (POA&lt;20 W/m2)]],3,0),"")</f>
        <v>0.25624999999999998</v>
      </c>
      <c r="J1594" s="32">
        <f>IFERROR(VLOOKUP(TA[[#This Row],[Date]],Raw_Data[[Date]:[Sunset Time (POA&lt;20 W/m2)]],4,0),"")</f>
        <v>0.71597222222222223</v>
      </c>
      <c r="K1594" s="27">
        <f>IFERROR((TA[[#This Row],[Sunset Time (POA&lt;20 W/m2)]]-TA[[#This Row],[Sunrise Time (POA&gt;20 W/m2)]])*24,"")</f>
        <v>11.033333333333335</v>
      </c>
      <c r="L1594" s="2" t="s">
        <v>285</v>
      </c>
      <c r="M1594" s="33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14" t="s">
        <v>306</v>
      </c>
      <c r="Q1594" s="113" t="s">
        <v>310</v>
      </c>
      <c r="R1594">
        <v>166</v>
      </c>
      <c r="S1594" s="2">
        <v>91</v>
      </c>
      <c r="T1594" t="s">
        <v>286</v>
      </c>
      <c r="U1594" t="s">
        <v>291</v>
      </c>
      <c r="V1594" t="s">
        <v>289</v>
      </c>
      <c r="W1594" s="32"/>
      <c r="X1594" s="32"/>
      <c r="Y1594" s="26"/>
      <c r="Z1594" s="26"/>
      <c r="AA1594" s="27">
        <f>IF(TA[[#This Row],[Work Start time on Fault]]="NA","",(TA[[#This Row],[Fault Acknowledgement Time ]]-TA[[#This Row],[Fault Time]])*24)</f>
        <v>0</v>
      </c>
      <c r="AB1594" s="27">
        <f>(TA[[#This Row],[Work Start time on Fault]]-TA[[#This Row],[Fault Time]])*24</f>
        <v>0</v>
      </c>
      <c r="AC1594" s="26">
        <f>(TA[[#This Row],[Work Completion time on fault]]-TA[[#This Row],[Fault Time]])*24</f>
        <v>0</v>
      </c>
      <c r="AD1594" s="27">
        <f>IFERROR((TA[[#This Row],[Work Completion time on fault]]-TA[[#This Row],[Fault Time]])*24,"")</f>
        <v>0</v>
      </c>
      <c r="AE1594" t="s">
        <v>319</v>
      </c>
      <c r="AF1594" t="s">
        <v>247</v>
      </c>
      <c r="AG1594" s="2"/>
      <c r="AH1594" s="35">
        <f>1-COS(RADIANS(TA[[#This Row],[Avg. Target Angle during Fault Time (Radians)]]-TA[[#This Row],[Angle of affected equipment ]]))</f>
        <v>0.11705240714107301</v>
      </c>
      <c r="AI1594" s="27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43">
        <f t="shared" si="199"/>
        <v>2026</v>
      </c>
      <c r="C1595" s="116">
        <f t="shared" si="200"/>
        <v>2025</v>
      </c>
      <c r="D1595" s="2" t="s">
        <v>155</v>
      </c>
      <c r="E1595" s="2" t="s">
        <v>155</v>
      </c>
      <c r="F1595" s="30">
        <v>45839</v>
      </c>
      <c r="G1595" s="2">
        <f>DAY(EOMONTH(TA[[#This Row],[Month Year]],0))</f>
        <v>31</v>
      </c>
      <c r="H1595" s="21">
        <v>45859</v>
      </c>
      <c r="I1595" s="32">
        <f>IFERROR(VLOOKUP(TA[[#This Row],[Date]],Raw_Data[[Date]:[Sunset Time (POA&lt;20 W/m2)]],3,0),"")</f>
        <v>0.25624999999999998</v>
      </c>
      <c r="J1595" s="32">
        <f>IFERROR(VLOOKUP(TA[[#This Row],[Date]],Raw_Data[[Date]:[Sunset Time (POA&lt;20 W/m2)]],4,0),"")</f>
        <v>0.71597222222222223</v>
      </c>
      <c r="K1595" s="27">
        <f>IFERROR((TA[[#This Row],[Sunset Time (POA&lt;20 W/m2)]]-TA[[#This Row],[Sunrise Time (POA&gt;20 W/m2)]])*24,"")</f>
        <v>11.033333333333335</v>
      </c>
      <c r="L1595" s="2" t="s">
        <v>285</v>
      </c>
      <c r="M1595" s="33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14" t="s">
        <v>307</v>
      </c>
      <c r="Q1595" s="113" t="s">
        <v>307</v>
      </c>
      <c r="R1595">
        <v>117</v>
      </c>
      <c r="S1595" s="2">
        <v>20</v>
      </c>
      <c r="T1595" t="s">
        <v>286</v>
      </c>
      <c r="U1595" t="s">
        <v>291</v>
      </c>
      <c r="V1595" t="s">
        <v>289</v>
      </c>
      <c r="W1595" s="32"/>
      <c r="X1595" s="32"/>
      <c r="Y1595" s="26"/>
      <c r="Z1595" s="26"/>
      <c r="AA1595" s="27">
        <f>IF(TA[[#This Row],[Work Start time on Fault]]="NA","",(TA[[#This Row],[Fault Acknowledgement Time ]]-TA[[#This Row],[Fault Time]])*24)</f>
        <v>0</v>
      </c>
      <c r="AB1595" s="27">
        <f>(TA[[#This Row],[Work Start time on Fault]]-TA[[#This Row],[Fault Time]])*24</f>
        <v>0</v>
      </c>
      <c r="AC1595" s="26">
        <f>(TA[[#This Row],[Work Completion time on fault]]-TA[[#This Row],[Fault Time]])*24</f>
        <v>0</v>
      </c>
      <c r="AD1595" s="27">
        <f>IFERROR((TA[[#This Row],[Work Completion time on fault]]-TA[[#This Row],[Fault Time]])*24,"")</f>
        <v>0</v>
      </c>
      <c r="AE1595" t="s">
        <v>319</v>
      </c>
      <c r="AF1595" t="s">
        <v>247</v>
      </c>
      <c r="AG1595" s="2"/>
      <c r="AH1595" s="35">
        <f>1-COS(RADIANS(TA[[#This Row],[Avg. Target Angle during Fault Time (Radians)]]-TA[[#This Row],[Angle of affected equipment ]]))</f>
        <v>0.11705240714107301</v>
      </c>
      <c r="AI1595" s="27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43">
        <f t="shared" si="199"/>
        <v>2026</v>
      </c>
      <c r="C1596" s="116">
        <f t="shared" si="200"/>
        <v>2025</v>
      </c>
      <c r="D1596" s="2" t="s">
        <v>155</v>
      </c>
      <c r="E1596" s="2" t="s">
        <v>155</v>
      </c>
      <c r="F1596" s="30">
        <v>45839</v>
      </c>
      <c r="G1596" s="2">
        <f>DAY(EOMONTH(TA[[#This Row],[Month Year]],0))</f>
        <v>31</v>
      </c>
      <c r="H1596" s="21">
        <v>45859</v>
      </c>
      <c r="I1596" s="32">
        <f>IFERROR(VLOOKUP(TA[[#This Row],[Date]],Raw_Data[[Date]:[Sunset Time (POA&lt;20 W/m2)]],3,0),"")</f>
        <v>0.25624999999999998</v>
      </c>
      <c r="J1596" s="32">
        <f>IFERROR(VLOOKUP(TA[[#This Row],[Date]],Raw_Data[[Date]:[Sunset Time (POA&lt;20 W/m2)]],4,0),"")</f>
        <v>0.71597222222222223</v>
      </c>
      <c r="K1596" s="27">
        <f>IFERROR((TA[[#This Row],[Sunset Time (POA&lt;20 W/m2)]]-TA[[#This Row],[Sunrise Time (POA&gt;20 W/m2)]])*24,"")</f>
        <v>11.033333333333335</v>
      </c>
      <c r="L1596" s="2" t="s">
        <v>285</v>
      </c>
      <c r="M1596" s="33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14" t="s">
        <v>307</v>
      </c>
      <c r="Q1596" s="113" t="s">
        <v>307</v>
      </c>
      <c r="R1596">
        <v>118</v>
      </c>
      <c r="S1596" s="2">
        <v>22</v>
      </c>
      <c r="T1596" t="s">
        <v>286</v>
      </c>
      <c r="U1596" t="s">
        <v>291</v>
      </c>
      <c r="V1596" t="s">
        <v>289</v>
      </c>
      <c r="W1596" s="32"/>
      <c r="X1596" s="32"/>
      <c r="Y1596" s="26"/>
      <c r="Z1596" s="26"/>
      <c r="AA1596" s="27">
        <f>IF(TA[[#This Row],[Work Start time on Fault]]="NA","",(TA[[#This Row],[Fault Acknowledgement Time ]]-TA[[#This Row],[Fault Time]])*24)</f>
        <v>0</v>
      </c>
      <c r="AB1596" s="27">
        <f>(TA[[#This Row],[Work Start time on Fault]]-TA[[#This Row],[Fault Time]])*24</f>
        <v>0</v>
      </c>
      <c r="AC1596" s="26">
        <f>(TA[[#This Row],[Work Completion time on fault]]-TA[[#This Row],[Fault Time]])*24</f>
        <v>0</v>
      </c>
      <c r="AD1596" s="27">
        <f>IFERROR((TA[[#This Row],[Work Completion time on fault]]-TA[[#This Row],[Fault Time]])*24,"")</f>
        <v>0</v>
      </c>
      <c r="AE1596" t="s">
        <v>319</v>
      </c>
      <c r="AF1596" t="s">
        <v>247</v>
      </c>
      <c r="AG1596" s="2"/>
      <c r="AH1596" s="35">
        <f>1-COS(RADIANS(TA[[#This Row],[Avg. Target Angle during Fault Time (Radians)]]-TA[[#This Row],[Angle of affected equipment ]]))</f>
        <v>0.11705240714107301</v>
      </c>
      <c r="AI1596" s="27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43">
        <f t="shared" si="199"/>
        <v>2026</v>
      </c>
      <c r="C1597" s="116">
        <f t="shared" si="200"/>
        <v>2025</v>
      </c>
      <c r="D1597" s="2" t="s">
        <v>155</v>
      </c>
      <c r="E1597" s="2" t="s">
        <v>155</v>
      </c>
      <c r="F1597" s="30">
        <v>45839</v>
      </c>
      <c r="G1597" s="2">
        <f>DAY(EOMONTH(TA[[#This Row],[Month Year]],0))</f>
        <v>31</v>
      </c>
      <c r="H1597" s="21">
        <v>45859</v>
      </c>
      <c r="I1597" s="32">
        <f>IFERROR(VLOOKUP(TA[[#This Row],[Date]],Raw_Data[[Date]:[Sunset Time (POA&lt;20 W/m2)]],3,0),"")</f>
        <v>0.25624999999999998</v>
      </c>
      <c r="J1597" s="32">
        <f>IFERROR(VLOOKUP(TA[[#This Row],[Date]],Raw_Data[[Date]:[Sunset Time (POA&lt;20 W/m2)]],4,0),"")</f>
        <v>0.71597222222222223</v>
      </c>
      <c r="K1597" s="27">
        <f>IFERROR((TA[[#This Row],[Sunset Time (POA&lt;20 W/m2)]]-TA[[#This Row],[Sunrise Time (POA&gt;20 W/m2)]])*24,"")</f>
        <v>11.033333333333335</v>
      </c>
      <c r="L1597" s="2" t="s">
        <v>287</v>
      </c>
      <c r="M1597" s="33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314</v>
      </c>
      <c r="Q1597" s="2" t="s">
        <v>320</v>
      </c>
      <c r="R1597">
        <v>45</v>
      </c>
      <c r="S1597" s="2">
        <v>8</v>
      </c>
      <c r="T1597" t="s">
        <v>288</v>
      </c>
      <c r="U1597" t="s">
        <v>291</v>
      </c>
      <c r="V1597" t="s">
        <v>292</v>
      </c>
      <c r="W1597" s="32"/>
      <c r="X1597" s="32"/>
      <c r="Y1597" s="26"/>
      <c r="Z1597" s="26"/>
      <c r="AA1597" s="27">
        <f>IF(TA[[#This Row],[Work Start time on Fault]]="NA","",(TA[[#This Row],[Fault Acknowledgement Time ]]-TA[[#This Row],[Fault Time]])*24)</f>
        <v>0</v>
      </c>
      <c r="AB1597" s="27">
        <f>(TA[[#This Row],[Work Start time on Fault]]-TA[[#This Row],[Fault Time]])*24</f>
        <v>0</v>
      </c>
      <c r="AC1597" s="26">
        <f>(TA[[#This Row],[Work Completion time on fault]]-TA[[#This Row],[Fault Time]])*24</f>
        <v>0</v>
      </c>
      <c r="AD1597" s="27">
        <f>IFERROR((TA[[#This Row],[Work Completion time on fault]]-TA[[#This Row],[Fault Time]])*24,"")</f>
        <v>0</v>
      </c>
      <c r="AE1597" t="s">
        <v>319</v>
      </c>
      <c r="AF1597" t="s">
        <v>247</v>
      </c>
      <c r="AG1597" s="2"/>
      <c r="AH1597" s="35">
        <f>1-COS(RADIANS(TA[[#This Row],[Avg. Target Angle during Fault Time (Radians)]]-TA[[#This Row],[Angle of affected equipment ]]))</f>
        <v>0.11705240714107301</v>
      </c>
      <c r="AI1597" s="27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43">
        <f t="shared" si="199"/>
        <v>2026</v>
      </c>
      <c r="C1598" s="116">
        <f t="shared" si="200"/>
        <v>2025</v>
      </c>
      <c r="D1598" s="2" t="s">
        <v>155</v>
      </c>
      <c r="E1598" s="2" t="s">
        <v>155</v>
      </c>
      <c r="F1598" s="30">
        <v>45839</v>
      </c>
      <c r="G1598" s="2">
        <f>DAY(EOMONTH(TA[[#This Row],[Month Year]],0))</f>
        <v>31</v>
      </c>
      <c r="H1598" s="21">
        <v>45859</v>
      </c>
      <c r="I1598" s="32">
        <f>IFERROR(VLOOKUP(TA[[#This Row],[Date]],Raw_Data[[Date]:[Sunset Time (POA&lt;20 W/m2)]],3,0),"")</f>
        <v>0.25624999999999998</v>
      </c>
      <c r="J1598" s="32">
        <f>IFERROR(VLOOKUP(TA[[#This Row],[Date]],Raw_Data[[Date]:[Sunset Time (POA&lt;20 W/m2)]],4,0),"")</f>
        <v>0.71597222222222223</v>
      </c>
      <c r="K1598" s="27">
        <f>IFERROR((TA[[#This Row],[Sunset Time (POA&lt;20 W/m2)]]-TA[[#This Row],[Sunrise Time (POA&gt;20 W/m2)]])*24,"")</f>
        <v>11.033333333333335</v>
      </c>
      <c r="L1598" s="2" t="s">
        <v>287</v>
      </c>
      <c r="M1598" s="33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314</v>
      </c>
      <c r="Q1598" s="2" t="s">
        <v>320</v>
      </c>
      <c r="R1598">
        <v>47</v>
      </c>
      <c r="S1598" s="2">
        <v>18</v>
      </c>
      <c r="T1598" t="s">
        <v>288</v>
      </c>
      <c r="U1598" t="s">
        <v>291</v>
      </c>
      <c r="V1598" t="s">
        <v>292</v>
      </c>
      <c r="W1598" s="32"/>
      <c r="X1598" s="32"/>
      <c r="Y1598" s="26"/>
      <c r="Z1598" s="26"/>
      <c r="AA1598" s="27">
        <f>IF(TA[[#This Row],[Work Start time on Fault]]="NA","",(TA[[#This Row],[Fault Acknowledgement Time ]]-TA[[#This Row],[Fault Time]])*24)</f>
        <v>0</v>
      </c>
      <c r="AB1598" s="27">
        <f>(TA[[#This Row],[Work Start time on Fault]]-TA[[#This Row],[Fault Time]])*24</f>
        <v>0</v>
      </c>
      <c r="AC1598" s="26">
        <f>(TA[[#This Row],[Work Completion time on fault]]-TA[[#This Row],[Fault Time]])*24</f>
        <v>0</v>
      </c>
      <c r="AD1598" s="27">
        <f>IFERROR((TA[[#This Row],[Work Completion time on fault]]-TA[[#This Row],[Fault Time]])*24,"")</f>
        <v>0</v>
      </c>
      <c r="AE1598" t="s">
        <v>319</v>
      </c>
      <c r="AF1598" t="s">
        <v>247</v>
      </c>
      <c r="AG1598" s="2"/>
      <c r="AH1598" s="35">
        <f>1-COS(RADIANS(TA[[#This Row],[Avg. Target Angle during Fault Time (Radians)]]-TA[[#This Row],[Angle of affected equipment ]]))</f>
        <v>0.11705240714107301</v>
      </c>
      <c r="AI1598" s="27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43">
        <f t="shared" si="199"/>
        <v>2026</v>
      </c>
      <c r="C1599" s="116">
        <f t="shared" si="200"/>
        <v>2025</v>
      </c>
      <c r="D1599" s="2" t="s">
        <v>155</v>
      </c>
      <c r="E1599" s="2" t="s">
        <v>155</v>
      </c>
      <c r="F1599" s="30">
        <v>45839</v>
      </c>
      <c r="G1599" s="2">
        <f>DAY(EOMONTH(TA[[#This Row],[Month Year]],0))</f>
        <v>31</v>
      </c>
      <c r="H1599" s="21">
        <v>45859</v>
      </c>
      <c r="I1599" s="32">
        <f>IFERROR(VLOOKUP(TA[[#This Row],[Date]],Raw_Data[[Date]:[Sunset Time (POA&lt;20 W/m2)]],3,0),"")</f>
        <v>0.25624999999999998</v>
      </c>
      <c r="J1599" s="32">
        <f>IFERROR(VLOOKUP(TA[[#This Row],[Date]],Raw_Data[[Date]:[Sunset Time (POA&lt;20 W/m2)]],4,0),"")</f>
        <v>0.71597222222222223</v>
      </c>
      <c r="K1599" s="27">
        <f>IFERROR((TA[[#This Row],[Sunset Time (POA&lt;20 W/m2)]]-TA[[#This Row],[Sunrise Time (POA&gt;20 W/m2)]])*24,"")</f>
        <v>11.033333333333335</v>
      </c>
      <c r="L1599" s="2" t="s">
        <v>287</v>
      </c>
      <c r="M1599" s="33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321</v>
      </c>
      <c r="Q1599" s="2" t="s">
        <v>314</v>
      </c>
      <c r="R1599">
        <v>30</v>
      </c>
      <c r="S1599" s="2">
        <v>57</v>
      </c>
      <c r="T1599" t="s">
        <v>288</v>
      </c>
      <c r="U1599" t="s">
        <v>291</v>
      </c>
      <c r="V1599" t="s">
        <v>292</v>
      </c>
      <c r="W1599" s="32"/>
      <c r="X1599" s="32"/>
      <c r="Y1599" s="26"/>
      <c r="Z1599" s="26"/>
      <c r="AA1599" s="27">
        <f>IF(TA[[#This Row],[Work Start time on Fault]]="NA","",(TA[[#This Row],[Fault Acknowledgement Time ]]-TA[[#This Row],[Fault Time]])*24)</f>
        <v>0</v>
      </c>
      <c r="AB1599" s="27">
        <f>(TA[[#This Row],[Work Start time on Fault]]-TA[[#This Row],[Fault Time]])*24</f>
        <v>0</v>
      </c>
      <c r="AC1599" s="26">
        <f>(TA[[#This Row],[Work Completion time on fault]]-TA[[#This Row],[Fault Time]])*24</f>
        <v>0</v>
      </c>
      <c r="AD1599" s="27">
        <f>IFERROR((TA[[#This Row],[Work Completion time on fault]]-TA[[#This Row],[Fault Time]])*24,"")</f>
        <v>0</v>
      </c>
      <c r="AE1599" t="s">
        <v>319</v>
      </c>
      <c r="AF1599" t="s">
        <v>247</v>
      </c>
      <c r="AG1599" s="2"/>
      <c r="AH1599" s="35">
        <f>1-COS(RADIANS(TA[[#This Row],[Avg. Target Angle during Fault Time (Radians)]]-TA[[#This Row],[Angle of affected equipment ]]))</f>
        <v>0.11705240714107301</v>
      </c>
      <c r="AI1599" s="27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43">
        <f t="shared" si="199"/>
        <v>2026</v>
      </c>
      <c r="C1600" s="116">
        <f t="shared" si="200"/>
        <v>2025</v>
      </c>
      <c r="D1600" s="2" t="s">
        <v>155</v>
      </c>
      <c r="E1600" s="2" t="s">
        <v>155</v>
      </c>
      <c r="F1600" s="30">
        <v>45839</v>
      </c>
      <c r="G1600" s="2">
        <f>DAY(EOMONTH(TA[[#This Row],[Month Year]],0))</f>
        <v>31</v>
      </c>
      <c r="H1600" s="21">
        <v>45859</v>
      </c>
      <c r="I1600" s="32">
        <f>IFERROR(VLOOKUP(TA[[#This Row],[Date]],Raw_Data[[Date]:[Sunset Time (POA&lt;20 W/m2)]],3,0),"")</f>
        <v>0.25624999999999998</v>
      </c>
      <c r="J1600" s="32">
        <f>IFERROR(VLOOKUP(TA[[#This Row],[Date]],Raw_Data[[Date]:[Sunset Time (POA&lt;20 W/m2)]],4,0),"")</f>
        <v>0.71597222222222223</v>
      </c>
      <c r="K1600" s="27">
        <f>IFERROR((TA[[#This Row],[Sunset Time (POA&lt;20 W/m2)]]-TA[[#This Row],[Sunrise Time (POA&gt;20 W/m2)]])*24,"")</f>
        <v>11.033333333333335</v>
      </c>
      <c r="L1600" s="2" t="s">
        <v>287</v>
      </c>
      <c r="M1600" s="33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321</v>
      </c>
      <c r="Q1600" s="2" t="s">
        <v>314</v>
      </c>
      <c r="R1600">
        <v>31</v>
      </c>
      <c r="S1600" s="2">
        <v>61</v>
      </c>
      <c r="T1600" t="s">
        <v>288</v>
      </c>
      <c r="U1600" t="s">
        <v>291</v>
      </c>
      <c r="V1600" t="s">
        <v>292</v>
      </c>
      <c r="W1600" s="32"/>
      <c r="X1600" s="32"/>
      <c r="Y1600" s="26"/>
      <c r="Z1600" s="26"/>
      <c r="AA1600" s="27">
        <f>IF(TA[[#This Row],[Work Start time on Fault]]="NA","",(TA[[#This Row],[Fault Acknowledgement Time ]]-TA[[#This Row],[Fault Time]])*24)</f>
        <v>0</v>
      </c>
      <c r="AB1600" s="27">
        <f>(TA[[#This Row],[Work Start time on Fault]]-TA[[#This Row],[Fault Time]])*24</f>
        <v>0</v>
      </c>
      <c r="AC1600" s="26">
        <f>(TA[[#This Row],[Work Completion time on fault]]-TA[[#This Row],[Fault Time]])*24</f>
        <v>0</v>
      </c>
      <c r="AD1600" s="27">
        <f>IFERROR((TA[[#This Row],[Work Completion time on fault]]-TA[[#This Row],[Fault Time]])*24,"")</f>
        <v>0</v>
      </c>
      <c r="AE1600" t="s">
        <v>319</v>
      </c>
      <c r="AF1600" t="s">
        <v>247</v>
      </c>
      <c r="AG1600" s="2"/>
      <c r="AH1600" s="35">
        <f>1-COS(RADIANS(TA[[#This Row],[Avg. Target Angle during Fault Time (Radians)]]-TA[[#This Row],[Angle of affected equipment ]]))</f>
        <v>0.11705240714107301</v>
      </c>
      <c r="AI1600" s="27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43">
        <f t="shared" si="199"/>
        <v>2026</v>
      </c>
      <c r="C1601" s="116">
        <f t="shared" si="200"/>
        <v>2025</v>
      </c>
      <c r="D1601" s="2" t="s">
        <v>155</v>
      </c>
      <c r="E1601" s="2" t="s">
        <v>155</v>
      </c>
      <c r="F1601" s="30">
        <v>45839</v>
      </c>
      <c r="G1601" s="2">
        <f>DAY(EOMONTH(TA[[#This Row],[Month Year]],0))</f>
        <v>31</v>
      </c>
      <c r="H1601" s="21">
        <v>45859</v>
      </c>
      <c r="I1601" s="32">
        <f>IFERROR(VLOOKUP(TA[[#This Row],[Date]],Raw_Data[[Date]:[Sunset Time (POA&lt;20 W/m2)]],3,0),"")</f>
        <v>0.25624999999999998</v>
      </c>
      <c r="J1601" s="32">
        <f>IFERROR(VLOOKUP(TA[[#This Row],[Date]],Raw_Data[[Date]:[Sunset Time (POA&lt;20 W/m2)]],4,0),"")</f>
        <v>0.71597222222222223</v>
      </c>
      <c r="K1601" s="27">
        <f>IFERROR((TA[[#This Row],[Sunset Time (POA&lt;20 W/m2)]]-TA[[#This Row],[Sunrise Time (POA&gt;20 W/m2)]])*24,"")</f>
        <v>11.033333333333335</v>
      </c>
      <c r="L1601" s="2" t="s">
        <v>303</v>
      </c>
      <c r="M1601" s="33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321</v>
      </c>
      <c r="Q1601" s="2" t="s">
        <v>314</v>
      </c>
      <c r="R1601">
        <v>26</v>
      </c>
      <c r="S1601" s="2">
        <v>37</v>
      </c>
      <c r="T1601" t="s">
        <v>288</v>
      </c>
      <c r="U1601" t="s">
        <v>291</v>
      </c>
      <c r="V1601" t="s">
        <v>292</v>
      </c>
      <c r="W1601" s="32"/>
      <c r="X1601" s="32"/>
      <c r="Y1601" s="26"/>
      <c r="Z1601" s="26"/>
      <c r="AA1601" s="27">
        <f>IF(TA[[#This Row],[Work Start time on Fault]]="NA","",(TA[[#This Row],[Fault Acknowledgement Time ]]-TA[[#This Row],[Fault Time]])*24)</f>
        <v>0</v>
      </c>
      <c r="AB1601" s="27">
        <f>(TA[[#This Row],[Work Start time on Fault]]-TA[[#This Row],[Fault Time]])*24</f>
        <v>0</v>
      </c>
      <c r="AC1601" s="26">
        <f>(TA[[#This Row],[Work Completion time on fault]]-TA[[#This Row],[Fault Time]])*24</f>
        <v>0</v>
      </c>
      <c r="AD1601" s="27">
        <f>IFERROR((TA[[#This Row],[Work Completion time on fault]]-TA[[#This Row],[Fault Time]])*24,"")</f>
        <v>0</v>
      </c>
      <c r="AE1601" t="s">
        <v>319</v>
      </c>
      <c r="AF1601" t="s">
        <v>247</v>
      </c>
      <c r="AG1601" s="2"/>
      <c r="AH1601" s="35">
        <f>1-COS(RADIANS(TA[[#This Row],[Avg. Target Angle during Fault Time (Radians)]]-TA[[#This Row],[Angle of affected equipment ]]))</f>
        <v>0.11705240714107301</v>
      </c>
      <c r="AI1601" s="27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43">
        <f t="shared" si="199"/>
        <v>2026</v>
      </c>
      <c r="C1602" s="116">
        <f t="shared" si="200"/>
        <v>2025</v>
      </c>
      <c r="D1602" s="2" t="s">
        <v>155</v>
      </c>
      <c r="E1602" s="2" t="s">
        <v>155</v>
      </c>
      <c r="F1602" s="30">
        <v>45839</v>
      </c>
      <c r="G1602" s="2">
        <f>DAY(EOMONTH(TA[[#This Row],[Month Year]],0))</f>
        <v>31</v>
      </c>
      <c r="H1602" s="21">
        <v>45859</v>
      </c>
      <c r="I1602" s="32">
        <f>IFERROR(VLOOKUP(TA[[#This Row],[Date]],Raw_Data[[Date]:[Sunset Time (POA&lt;20 W/m2)]],3,0),"")</f>
        <v>0.25624999999999998</v>
      </c>
      <c r="J1602" s="32">
        <f>IFERROR(VLOOKUP(TA[[#This Row],[Date]],Raw_Data[[Date]:[Sunset Time (POA&lt;20 W/m2)]],4,0),"")</f>
        <v>0.71597222222222223</v>
      </c>
      <c r="K1602" s="27">
        <f>IFERROR((TA[[#This Row],[Sunset Time (POA&lt;20 W/m2)]]-TA[[#This Row],[Sunrise Time (POA&gt;20 W/m2)]])*24,"")</f>
        <v>11.033333333333335</v>
      </c>
      <c r="L1602" s="2" t="s">
        <v>303</v>
      </c>
      <c r="M1602" s="33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321</v>
      </c>
      <c r="Q1602" s="2" t="s">
        <v>314</v>
      </c>
      <c r="R1602">
        <v>27</v>
      </c>
      <c r="S1602" s="2">
        <v>42</v>
      </c>
      <c r="T1602" t="s">
        <v>288</v>
      </c>
      <c r="U1602" t="s">
        <v>291</v>
      </c>
      <c r="V1602" t="s">
        <v>292</v>
      </c>
      <c r="W1602" s="32">
        <f>IFERROR(VLOOKUP(TA[[#This Row],[Date]],Raw_Data[[Date]:[Sunset Time (POA&lt;20 W/m2)]],3,0),"")</f>
        <v>0.25624999999999998</v>
      </c>
      <c r="X1602" s="32">
        <f>IFERROR(VLOOKUP(TA[[#This Row],[Date]],Raw_Data[[Date]:[Sunset Time (POA&lt;20 W/m2)]],3,0),"")</f>
        <v>0.25624999999999998</v>
      </c>
      <c r="Y1602" s="26"/>
      <c r="Z1602" s="26">
        <v>0.76041666666666663</v>
      </c>
      <c r="AA1602" s="27">
        <f>IF(TA[[#This Row],[Work Start time on Fault]]="NA","",(TA[[#This Row],[Fault Acknowledgement Time ]]-TA[[#This Row],[Fault Time]])*24)</f>
        <v>0</v>
      </c>
      <c r="AB1602" s="27">
        <f>(TA[[#This Row],[Work Start time on Fault]]-TA[[#This Row],[Fault Time]])*24</f>
        <v>-6.1499999999999995</v>
      </c>
      <c r="AC1602" s="26">
        <f>(TA[[#This Row],[Work Completion time on fault]]-TA[[#This Row],[Fault Time]])*24</f>
        <v>12.1</v>
      </c>
      <c r="AD1602" s="27">
        <f>IFERROR((TA[[#This Row],[Work Completion time on fault]]-TA[[#This Row],[Fault Time]])*24,"")</f>
        <v>12.1</v>
      </c>
      <c r="AE1602" t="s">
        <v>300</v>
      </c>
      <c r="AF1602" t="s">
        <v>247</v>
      </c>
      <c r="AG1602" s="2"/>
      <c r="AH1602" s="35">
        <f>1-COS(RADIANS(TA[[#This Row],[Avg. Target Angle during Fault Time (Radians)]]-TA[[#This Row],[Angle of affected equipment ]]))</f>
        <v>0.11705240714107301</v>
      </c>
      <c r="AI1602" s="27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43">
        <f t="shared" ref="B1603:B1615" si="201">YEAR(H1603)+IF(MONTH(H1603)&gt;=4,1,0)</f>
        <v>2026</v>
      </c>
      <c r="C1603" s="116">
        <f t="shared" ref="C1603:C1615" si="202">YEAR(H1603)</f>
        <v>2025</v>
      </c>
      <c r="D1603" s="2" t="s">
        <v>155</v>
      </c>
      <c r="E1603" s="2" t="s">
        <v>155</v>
      </c>
      <c r="F1603" s="30">
        <v>45839</v>
      </c>
      <c r="G1603" s="2">
        <f>DAY(EOMONTH(TA[[#This Row],[Month Year]],0))</f>
        <v>31</v>
      </c>
      <c r="H1603" s="21">
        <v>45860</v>
      </c>
      <c r="I1603" s="32">
        <f>IFERROR(VLOOKUP(TA[[#This Row],[Date]],Raw_Data[[Date]:[Sunset Time (POA&lt;20 W/m2)]],3,0),"")</f>
        <v>0.25694444444444442</v>
      </c>
      <c r="J1603" s="32">
        <f>IFERROR(VLOOKUP(TA[[#This Row],[Date]],Raw_Data[[Date]:[Sunset Time (POA&lt;20 W/m2)]],4,0),"")</f>
        <v>0.78472222222222221</v>
      </c>
      <c r="K1603" s="27">
        <f>IFERROR((TA[[#This Row],[Sunset Time (POA&lt;20 W/m2)]]-TA[[#This Row],[Sunrise Time (POA&gt;20 W/m2)]])*24,"")</f>
        <v>12.666666666666668</v>
      </c>
      <c r="L1603" s="2" t="s">
        <v>285</v>
      </c>
      <c r="M1603" s="33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14" t="s">
        <v>309</v>
      </c>
      <c r="Q1603" s="113" t="s">
        <v>309</v>
      </c>
      <c r="R1603">
        <v>131</v>
      </c>
      <c r="S1603" s="2">
        <v>38</v>
      </c>
      <c r="T1603" t="s">
        <v>286</v>
      </c>
      <c r="U1603" t="s">
        <v>291</v>
      </c>
      <c r="V1603" t="s">
        <v>289</v>
      </c>
      <c r="W1603" s="32"/>
      <c r="X1603" s="32"/>
      <c r="Y1603" s="26"/>
      <c r="Z1603" s="26"/>
      <c r="AA1603" s="27">
        <f>IF(TA[[#This Row],[Work Start time on Fault]]="NA","",(TA[[#This Row],[Fault Acknowledgement Time ]]-TA[[#This Row],[Fault Time]])*24)</f>
        <v>0</v>
      </c>
      <c r="AB1603" s="27">
        <f>(TA[[#This Row],[Work Start time on Fault]]-TA[[#This Row],[Fault Time]])*24</f>
        <v>0</v>
      </c>
      <c r="AC1603" s="26">
        <f>(TA[[#This Row],[Work Completion time on fault]]-TA[[#This Row],[Fault Time]])*24</f>
        <v>0</v>
      </c>
      <c r="AD1603" s="27">
        <f>IFERROR((TA[[#This Row],[Work Completion time on fault]]-TA[[#This Row],[Fault Time]])*24,"")</f>
        <v>0</v>
      </c>
      <c r="AE1603" t="s">
        <v>319</v>
      </c>
      <c r="AF1603" t="s">
        <v>247</v>
      </c>
      <c r="AG1603" s="2"/>
      <c r="AH1603" s="35">
        <f>1-COS(RADIANS(TA[[#This Row],[Avg. Target Angle during Fault Time (Radians)]]-TA[[#This Row],[Angle of affected equipment ]]))</f>
        <v>0.11705240714107301</v>
      </c>
      <c r="AI1603" s="27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43">
        <f t="shared" si="201"/>
        <v>2026</v>
      </c>
      <c r="C1604" s="116">
        <f t="shared" si="202"/>
        <v>2025</v>
      </c>
      <c r="D1604" s="2" t="s">
        <v>155</v>
      </c>
      <c r="E1604" s="2" t="s">
        <v>155</v>
      </c>
      <c r="F1604" s="30">
        <v>45839</v>
      </c>
      <c r="G1604" s="2">
        <f>DAY(EOMONTH(TA[[#This Row],[Month Year]],0))</f>
        <v>31</v>
      </c>
      <c r="H1604" s="21">
        <v>45860</v>
      </c>
      <c r="I1604" s="32">
        <f>IFERROR(VLOOKUP(TA[[#This Row],[Date]],Raw_Data[[Date]:[Sunset Time (POA&lt;20 W/m2)]],3,0),"")</f>
        <v>0.25694444444444442</v>
      </c>
      <c r="J1604" s="32">
        <f>IFERROR(VLOOKUP(TA[[#This Row],[Date]],Raw_Data[[Date]:[Sunset Time (POA&lt;20 W/m2)]],4,0),"")</f>
        <v>0.78472222222222221</v>
      </c>
      <c r="K1604" s="27">
        <f>IFERROR((TA[[#This Row],[Sunset Time (POA&lt;20 W/m2)]]-TA[[#This Row],[Sunrise Time (POA&gt;20 W/m2)]])*24,"")</f>
        <v>12.666666666666668</v>
      </c>
      <c r="L1604" s="2" t="s">
        <v>285</v>
      </c>
      <c r="M1604" s="33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14" t="s">
        <v>309</v>
      </c>
      <c r="Q1604" s="113" t="s">
        <v>309</v>
      </c>
      <c r="R1604">
        <v>131</v>
      </c>
      <c r="S1604" s="2">
        <v>39</v>
      </c>
      <c r="T1604" t="s">
        <v>286</v>
      </c>
      <c r="U1604" t="s">
        <v>291</v>
      </c>
      <c r="V1604" t="s">
        <v>289</v>
      </c>
      <c r="W1604" s="32"/>
      <c r="X1604" s="32"/>
      <c r="Y1604" s="26"/>
      <c r="Z1604" s="26"/>
      <c r="AA1604" s="27">
        <f>IF(TA[[#This Row],[Work Start time on Fault]]="NA","",(TA[[#This Row],[Fault Acknowledgement Time ]]-TA[[#This Row],[Fault Time]])*24)</f>
        <v>0</v>
      </c>
      <c r="AB1604" s="27">
        <f>(TA[[#This Row],[Work Start time on Fault]]-TA[[#This Row],[Fault Time]])*24</f>
        <v>0</v>
      </c>
      <c r="AC1604" s="26">
        <f>(TA[[#This Row],[Work Completion time on fault]]-TA[[#This Row],[Fault Time]])*24</f>
        <v>0</v>
      </c>
      <c r="AD1604" s="27">
        <f>IFERROR((TA[[#This Row],[Work Completion time on fault]]-TA[[#This Row],[Fault Time]])*24,"")</f>
        <v>0</v>
      </c>
      <c r="AE1604" t="s">
        <v>319</v>
      </c>
      <c r="AF1604" t="s">
        <v>247</v>
      </c>
      <c r="AG1604" s="2"/>
      <c r="AH1604" s="35">
        <f>1-COS(RADIANS(TA[[#This Row],[Avg. Target Angle during Fault Time (Radians)]]-TA[[#This Row],[Angle of affected equipment ]]))</f>
        <v>0.11705240714107301</v>
      </c>
      <c r="AI1604" s="27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43">
        <f t="shared" si="201"/>
        <v>2026</v>
      </c>
      <c r="C1605" s="116">
        <f t="shared" si="202"/>
        <v>2025</v>
      </c>
      <c r="D1605" s="2" t="s">
        <v>155</v>
      </c>
      <c r="E1605" s="2" t="s">
        <v>155</v>
      </c>
      <c r="F1605" s="30">
        <v>45839</v>
      </c>
      <c r="G1605" s="2">
        <f>DAY(EOMONTH(TA[[#This Row],[Month Year]],0))</f>
        <v>31</v>
      </c>
      <c r="H1605" s="21">
        <v>45860</v>
      </c>
      <c r="I1605" s="32">
        <f>IFERROR(VLOOKUP(TA[[#This Row],[Date]],Raw_Data[[Date]:[Sunset Time (POA&lt;20 W/m2)]],3,0),"")</f>
        <v>0.25694444444444442</v>
      </c>
      <c r="J1605" s="32">
        <f>IFERROR(VLOOKUP(TA[[#This Row],[Date]],Raw_Data[[Date]:[Sunset Time (POA&lt;20 W/m2)]],4,0),"")</f>
        <v>0.78472222222222221</v>
      </c>
      <c r="K1605" s="27">
        <f>IFERROR((TA[[#This Row],[Sunset Time (POA&lt;20 W/m2)]]-TA[[#This Row],[Sunrise Time (POA&gt;20 W/m2)]])*24,"")</f>
        <v>12.666666666666668</v>
      </c>
      <c r="L1605" s="2" t="s">
        <v>287</v>
      </c>
      <c r="M1605" s="33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14" t="s">
        <v>309</v>
      </c>
      <c r="Q1605" s="2" t="s">
        <v>312</v>
      </c>
      <c r="R1605">
        <v>133</v>
      </c>
      <c r="S1605" s="2">
        <v>26</v>
      </c>
      <c r="T1605" t="s">
        <v>288</v>
      </c>
      <c r="U1605" t="s">
        <v>291</v>
      </c>
      <c r="V1605" t="s">
        <v>305</v>
      </c>
      <c r="W1605" s="32">
        <f>IFERROR(VLOOKUP(TA[[#This Row],[Date]],Raw_Data[[Date]:[Sunset Time (POA&lt;20 W/m2)]],3,0),"")</f>
        <v>0.25694444444444442</v>
      </c>
      <c r="X1605" s="32">
        <f>IFERROR(VLOOKUP(TA[[#This Row],[Date]],Raw_Data[[Date]:[Sunset Time (POA&lt;20 W/m2)]],3,0),"")</f>
        <v>0.25694444444444442</v>
      </c>
      <c r="Y1605" s="26"/>
      <c r="Z1605" s="26">
        <v>0.76041666666666663</v>
      </c>
      <c r="AA1605" s="27">
        <f>IF(TA[[#This Row],[Work Start time on Fault]]="NA","",(TA[[#This Row],[Fault Acknowledgement Time ]]-TA[[#This Row],[Fault Time]])*24)</f>
        <v>0</v>
      </c>
      <c r="AB1605" s="27">
        <f>(TA[[#This Row],[Work Start time on Fault]]-TA[[#This Row],[Fault Time]])*24</f>
        <v>-6.1666666666666661</v>
      </c>
      <c r="AC1605" s="26">
        <f>(TA[[#This Row],[Work Completion time on fault]]-TA[[#This Row],[Fault Time]])*24</f>
        <v>12.083333333333332</v>
      </c>
      <c r="AD1605" s="27">
        <f>IFERROR((TA[[#This Row],[Work Completion time on fault]]-TA[[#This Row],[Fault Time]])*24,"")</f>
        <v>12.083333333333332</v>
      </c>
      <c r="AE1605" t="s">
        <v>319</v>
      </c>
      <c r="AF1605" t="s">
        <v>247</v>
      </c>
      <c r="AG1605" s="2"/>
      <c r="AH1605" s="35">
        <f>1-COS(RADIANS(TA[[#This Row],[Avg. Target Angle during Fault Time (Radians)]]-TA[[#This Row],[Angle of affected equipment ]]))</f>
        <v>0.11705240714107301</v>
      </c>
      <c r="AI1605" s="27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43">
        <f t="shared" si="201"/>
        <v>2026</v>
      </c>
      <c r="C1606" s="116">
        <f t="shared" si="202"/>
        <v>2025</v>
      </c>
      <c r="D1606" s="2" t="s">
        <v>155</v>
      </c>
      <c r="E1606" s="2" t="s">
        <v>155</v>
      </c>
      <c r="F1606" s="30">
        <v>45839</v>
      </c>
      <c r="G1606" s="2">
        <f>DAY(EOMONTH(TA[[#This Row],[Month Year]],0))</f>
        <v>31</v>
      </c>
      <c r="H1606" s="21">
        <v>45860</v>
      </c>
      <c r="I1606" s="32">
        <f>IFERROR(VLOOKUP(TA[[#This Row],[Date]],Raw_Data[[Date]:[Sunset Time (POA&lt;20 W/m2)]],3,0),"")</f>
        <v>0.25694444444444442</v>
      </c>
      <c r="J1606" s="32">
        <f>IFERROR(VLOOKUP(TA[[#This Row],[Date]],Raw_Data[[Date]:[Sunset Time (POA&lt;20 W/m2)]],4,0),"")</f>
        <v>0.78472222222222221</v>
      </c>
      <c r="K1606" s="27">
        <f>IFERROR((TA[[#This Row],[Sunset Time (POA&lt;20 W/m2)]]-TA[[#This Row],[Sunrise Time (POA&gt;20 W/m2)]])*24,"")</f>
        <v>12.666666666666668</v>
      </c>
      <c r="L1606" s="2" t="s">
        <v>285</v>
      </c>
      <c r="M1606" s="33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14" t="s">
        <v>307</v>
      </c>
      <c r="Q1606" s="113" t="s">
        <v>308</v>
      </c>
      <c r="R1606">
        <v>7</v>
      </c>
      <c r="S1606" s="2">
        <v>32</v>
      </c>
      <c r="T1606" t="s">
        <v>286</v>
      </c>
      <c r="U1606" t="s">
        <v>291</v>
      </c>
      <c r="V1606" t="s">
        <v>289</v>
      </c>
      <c r="W1606" s="32"/>
      <c r="X1606" s="32"/>
      <c r="Y1606" s="26"/>
      <c r="Z1606" s="26"/>
      <c r="AA1606" s="27">
        <f>IF(TA[[#This Row],[Work Start time on Fault]]="NA","",(TA[[#This Row],[Fault Acknowledgement Time ]]-TA[[#This Row],[Fault Time]])*24)</f>
        <v>0</v>
      </c>
      <c r="AB1606" s="27">
        <f>(TA[[#This Row],[Work Start time on Fault]]-TA[[#This Row],[Fault Time]])*24</f>
        <v>0</v>
      </c>
      <c r="AC1606" s="26">
        <f>(TA[[#This Row],[Work Completion time on fault]]-TA[[#This Row],[Fault Time]])*24</f>
        <v>0</v>
      </c>
      <c r="AD1606" s="27">
        <f>IFERROR((TA[[#This Row],[Work Completion time on fault]]-TA[[#This Row],[Fault Time]])*24,"")</f>
        <v>0</v>
      </c>
      <c r="AE1606" t="s">
        <v>319</v>
      </c>
      <c r="AF1606" t="s">
        <v>247</v>
      </c>
      <c r="AG1606" s="2"/>
      <c r="AH1606" s="35">
        <f>1-COS(RADIANS(TA[[#This Row],[Avg. Target Angle during Fault Time (Radians)]]-TA[[#This Row],[Angle of affected equipment ]]))</f>
        <v>0.11705240714107301</v>
      </c>
      <c r="AI1606" s="27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43">
        <f t="shared" si="201"/>
        <v>2026</v>
      </c>
      <c r="C1607" s="116">
        <f t="shared" si="202"/>
        <v>2025</v>
      </c>
      <c r="D1607" s="2" t="s">
        <v>155</v>
      </c>
      <c r="E1607" s="2" t="s">
        <v>155</v>
      </c>
      <c r="F1607" s="30">
        <v>45839</v>
      </c>
      <c r="G1607" s="2">
        <f>DAY(EOMONTH(TA[[#This Row],[Month Year]],0))</f>
        <v>31</v>
      </c>
      <c r="H1607" s="21">
        <v>45860</v>
      </c>
      <c r="I1607" s="32">
        <f>IFERROR(VLOOKUP(TA[[#This Row],[Date]],Raw_Data[[Date]:[Sunset Time (POA&lt;20 W/m2)]],3,0),"")</f>
        <v>0.25694444444444442</v>
      </c>
      <c r="J1607" s="32">
        <f>IFERROR(VLOOKUP(TA[[#This Row],[Date]],Raw_Data[[Date]:[Sunset Time (POA&lt;20 W/m2)]],4,0),"")</f>
        <v>0.78472222222222221</v>
      </c>
      <c r="K1607" s="27">
        <f>IFERROR((TA[[#This Row],[Sunset Time (POA&lt;20 W/m2)]]-TA[[#This Row],[Sunrise Time (POA&gt;20 W/m2)]])*24,"")</f>
        <v>12.666666666666668</v>
      </c>
      <c r="L1607" s="2" t="s">
        <v>285</v>
      </c>
      <c r="M1607" s="33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14" t="s">
        <v>306</v>
      </c>
      <c r="Q1607" s="113" t="s">
        <v>310</v>
      </c>
      <c r="R1607">
        <v>166</v>
      </c>
      <c r="S1607" s="2">
        <v>91</v>
      </c>
      <c r="T1607" t="s">
        <v>286</v>
      </c>
      <c r="U1607" t="s">
        <v>291</v>
      </c>
      <c r="V1607" t="s">
        <v>289</v>
      </c>
      <c r="W1607" s="32"/>
      <c r="X1607" s="32"/>
      <c r="Y1607" s="26"/>
      <c r="Z1607" s="26"/>
      <c r="AA1607" s="27">
        <f>IF(TA[[#This Row],[Work Start time on Fault]]="NA","",(TA[[#This Row],[Fault Acknowledgement Time ]]-TA[[#This Row],[Fault Time]])*24)</f>
        <v>0</v>
      </c>
      <c r="AB1607" s="27">
        <f>(TA[[#This Row],[Work Start time on Fault]]-TA[[#This Row],[Fault Time]])*24</f>
        <v>0</v>
      </c>
      <c r="AC1607" s="26">
        <f>(TA[[#This Row],[Work Completion time on fault]]-TA[[#This Row],[Fault Time]])*24</f>
        <v>0</v>
      </c>
      <c r="AD1607" s="27">
        <f>IFERROR((TA[[#This Row],[Work Completion time on fault]]-TA[[#This Row],[Fault Time]])*24,"")</f>
        <v>0</v>
      </c>
      <c r="AE1607" t="s">
        <v>319</v>
      </c>
      <c r="AF1607" t="s">
        <v>247</v>
      </c>
      <c r="AG1607" s="2"/>
      <c r="AH1607" s="35">
        <f>1-COS(RADIANS(TA[[#This Row],[Avg. Target Angle during Fault Time (Radians)]]-TA[[#This Row],[Angle of affected equipment ]]))</f>
        <v>0.11705240714107301</v>
      </c>
      <c r="AI1607" s="27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43">
        <f t="shared" si="201"/>
        <v>2026</v>
      </c>
      <c r="C1608" s="116">
        <f t="shared" si="202"/>
        <v>2025</v>
      </c>
      <c r="D1608" s="2" t="s">
        <v>155</v>
      </c>
      <c r="E1608" s="2" t="s">
        <v>155</v>
      </c>
      <c r="F1608" s="30">
        <v>45839</v>
      </c>
      <c r="G1608" s="2">
        <f>DAY(EOMONTH(TA[[#This Row],[Month Year]],0))</f>
        <v>31</v>
      </c>
      <c r="H1608" s="21">
        <v>45860</v>
      </c>
      <c r="I1608" s="32">
        <f>IFERROR(VLOOKUP(TA[[#This Row],[Date]],Raw_Data[[Date]:[Sunset Time (POA&lt;20 W/m2)]],3,0),"")</f>
        <v>0.25694444444444442</v>
      </c>
      <c r="J1608" s="32">
        <f>IFERROR(VLOOKUP(TA[[#This Row],[Date]],Raw_Data[[Date]:[Sunset Time (POA&lt;20 W/m2)]],4,0),"")</f>
        <v>0.78472222222222221</v>
      </c>
      <c r="K1608" s="27">
        <f>IFERROR((TA[[#This Row],[Sunset Time (POA&lt;20 W/m2)]]-TA[[#This Row],[Sunrise Time (POA&gt;20 W/m2)]])*24,"")</f>
        <v>12.666666666666668</v>
      </c>
      <c r="L1608" s="2" t="s">
        <v>285</v>
      </c>
      <c r="M1608" s="33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14" t="s">
        <v>307</v>
      </c>
      <c r="Q1608" s="113" t="s">
        <v>307</v>
      </c>
      <c r="R1608">
        <v>117</v>
      </c>
      <c r="S1608" s="2">
        <v>20</v>
      </c>
      <c r="T1608" t="s">
        <v>286</v>
      </c>
      <c r="U1608" t="s">
        <v>291</v>
      </c>
      <c r="V1608" t="s">
        <v>289</v>
      </c>
      <c r="W1608" s="32"/>
      <c r="X1608" s="32"/>
      <c r="Y1608" s="26"/>
      <c r="Z1608" s="26"/>
      <c r="AA1608" s="27">
        <f>IF(TA[[#This Row],[Work Start time on Fault]]="NA","",(TA[[#This Row],[Fault Acknowledgement Time ]]-TA[[#This Row],[Fault Time]])*24)</f>
        <v>0</v>
      </c>
      <c r="AB1608" s="27">
        <f>(TA[[#This Row],[Work Start time on Fault]]-TA[[#This Row],[Fault Time]])*24</f>
        <v>0</v>
      </c>
      <c r="AC1608" s="26">
        <f>(TA[[#This Row],[Work Completion time on fault]]-TA[[#This Row],[Fault Time]])*24</f>
        <v>0</v>
      </c>
      <c r="AD1608" s="27">
        <f>IFERROR((TA[[#This Row],[Work Completion time on fault]]-TA[[#This Row],[Fault Time]])*24,"")</f>
        <v>0</v>
      </c>
      <c r="AE1608" t="s">
        <v>319</v>
      </c>
      <c r="AF1608" t="s">
        <v>247</v>
      </c>
      <c r="AG1608" s="2"/>
      <c r="AH1608" s="35">
        <f>1-COS(RADIANS(TA[[#This Row],[Avg. Target Angle during Fault Time (Radians)]]-TA[[#This Row],[Angle of affected equipment ]]))</f>
        <v>0.11705240714107301</v>
      </c>
      <c r="AI1608" s="27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43">
        <f t="shared" si="201"/>
        <v>2026</v>
      </c>
      <c r="C1609" s="116">
        <f t="shared" si="202"/>
        <v>2025</v>
      </c>
      <c r="D1609" s="2" t="s">
        <v>155</v>
      </c>
      <c r="E1609" s="2" t="s">
        <v>155</v>
      </c>
      <c r="F1609" s="30">
        <v>45839</v>
      </c>
      <c r="G1609" s="2">
        <f>DAY(EOMONTH(TA[[#This Row],[Month Year]],0))</f>
        <v>31</v>
      </c>
      <c r="H1609" s="21">
        <v>45860</v>
      </c>
      <c r="I1609" s="32">
        <f>IFERROR(VLOOKUP(TA[[#This Row],[Date]],Raw_Data[[Date]:[Sunset Time (POA&lt;20 W/m2)]],3,0),"")</f>
        <v>0.25694444444444442</v>
      </c>
      <c r="J1609" s="32">
        <f>IFERROR(VLOOKUP(TA[[#This Row],[Date]],Raw_Data[[Date]:[Sunset Time (POA&lt;20 W/m2)]],4,0),"")</f>
        <v>0.78472222222222221</v>
      </c>
      <c r="K1609" s="27">
        <f>IFERROR((TA[[#This Row],[Sunset Time (POA&lt;20 W/m2)]]-TA[[#This Row],[Sunrise Time (POA&gt;20 W/m2)]])*24,"")</f>
        <v>12.666666666666668</v>
      </c>
      <c r="L1609" s="2" t="s">
        <v>285</v>
      </c>
      <c r="M1609" s="33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14" t="s">
        <v>307</v>
      </c>
      <c r="Q1609" s="113" t="s">
        <v>307</v>
      </c>
      <c r="R1609">
        <v>118</v>
      </c>
      <c r="S1609" s="2">
        <v>22</v>
      </c>
      <c r="T1609" t="s">
        <v>286</v>
      </c>
      <c r="U1609" t="s">
        <v>291</v>
      </c>
      <c r="V1609" t="s">
        <v>289</v>
      </c>
      <c r="W1609" s="32"/>
      <c r="X1609" s="32"/>
      <c r="Y1609" s="26"/>
      <c r="Z1609" s="26"/>
      <c r="AA1609" s="27">
        <f>IF(TA[[#This Row],[Work Start time on Fault]]="NA","",(TA[[#This Row],[Fault Acknowledgement Time ]]-TA[[#This Row],[Fault Time]])*24)</f>
        <v>0</v>
      </c>
      <c r="AB1609" s="27">
        <f>(TA[[#This Row],[Work Start time on Fault]]-TA[[#This Row],[Fault Time]])*24</f>
        <v>0</v>
      </c>
      <c r="AC1609" s="26">
        <f>(TA[[#This Row],[Work Completion time on fault]]-TA[[#This Row],[Fault Time]])*24</f>
        <v>0</v>
      </c>
      <c r="AD1609" s="27">
        <f>IFERROR((TA[[#This Row],[Work Completion time on fault]]-TA[[#This Row],[Fault Time]])*24,"")</f>
        <v>0</v>
      </c>
      <c r="AE1609" t="s">
        <v>319</v>
      </c>
      <c r="AF1609" t="s">
        <v>247</v>
      </c>
      <c r="AG1609" s="2"/>
      <c r="AH1609" s="35">
        <f>1-COS(RADIANS(TA[[#This Row],[Avg. Target Angle during Fault Time (Radians)]]-TA[[#This Row],[Angle of affected equipment ]]))</f>
        <v>0.11705240714107301</v>
      </c>
      <c r="AI1609" s="27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43">
        <f t="shared" si="201"/>
        <v>2026</v>
      </c>
      <c r="C1610" s="116">
        <f t="shared" si="202"/>
        <v>2025</v>
      </c>
      <c r="D1610" s="2" t="s">
        <v>155</v>
      </c>
      <c r="E1610" s="2" t="s">
        <v>155</v>
      </c>
      <c r="F1610" s="30">
        <v>45839</v>
      </c>
      <c r="G1610" s="2">
        <f>DAY(EOMONTH(TA[[#This Row],[Month Year]],0))</f>
        <v>31</v>
      </c>
      <c r="H1610" s="21">
        <v>45860</v>
      </c>
      <c r="I1610" s="32">
        <f>IFERROR(VLOOKUP(TA[[#This Row],[Date]],Raw_Data[[Date]:[Sunset Time (POA&lt;20 W/m2)]],3,0),"")</f>
        <v>0.25694444444444442</v>
      </c>
      <c r="J1610" s="32">
        <f>IFERROR(VLOOKUP(TA[[#This Row],[Date]],Raw_Data[[Date]:[Sunset Time (POA&lt;20 W/m2)]],4,0),"")</f>
        <v>0.78472222222222221</v>
      </c>
      <c r="K1610" s="27">
        <f>IFERROR((TA[[#This Row],[Sunset Time (POA&lt;20 W/m2)]]-TA[[#This Row],[Sunrise Time (POA&gt;20 W/m2)]])*24,"")</f>
        <v>12.666666666666668</v>
      </c>
      <c r="L1610" s="2" t="s">
        <v>287</v>
      </c>
      <c r="M1610" s="33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314</v>
      </c>
      <c r="Q1610" s="2" t="s">
        <v>320</v>
      </c>
      <c r="R1610">
        <v>45</v>
      </c>
      <c r="S1610" s="2">
        <v>8</v>
      </c>
      <c r="T1610" t="s">
        <v>288</v>
      </c>
      <c r="U1610" t="s">
        <v>291</v>
      </c>
      <c r="V1610" t="s">
        <v>292</v>
      </c>
      <c r="W1610" s="32"/>
      <c r="X1610" s="32"/>
      <c r="Y1610" s="26"/>
      <c r="Z1610" s="26"/>
      <c r="AA1610" s="27">
        <f>IF(TA[[#This Row],[Work Start time on Fault]]="NA","",(TA[[#This Row],[Fault Acknowledgement Time ]]-TA[[#This Row],[Fault Time]])*24)</f>
        <v>0</v>
      </c>
      <c r="AB1610" s="27">
        <f>(TA[[#This Row],[Work Start time on Fault]]-TA[[#This Row],[Fault Time]])*24</f>
        <v>0</v>
      </c>
      <c r="AC1610" s="26">
        <f>(TA[[#This Row],[Work Completion time on fault]]-TA[[#This Row],[Fault Time]])*24</f>
        <v>0</v>
      </c>
      <c r="AD1610" s="27">
        <f>IFERROR((TA[[#This Row],[Work Completion time on fault]]-TA[[#This Row],[Fault Time]])*24,"")</f>
        <v>0</v>
      </c>
      <c r="AE1610" t="s">
        <v>319</v>
      </c>
      <c r="AF1610" t="s">
        <v>247</v>
      </c>
      <c r="AG1610" s="2"/>
      <c r="AH1610" s="35">
        <f>1-COS(RADIANS(TA[[#This Row],[Avg. Target Angle during Fault Time (Radians)]]-TA[[#This Row],[Angle of affected equipment ]]))</f>
        <v>0.11705240714107301</v>
      </c>
      <c r="AI1610" s="27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43">
        <f t="shared" si="201"/>
        <v>2026</v>
      </c>
      <c r="C1611" s="116">
        <f t="shared" si="202"/>
        <v>2025</v>
      </c>
      <c r="D1611" s="2" t="s">
        <v>155</v>
      </c>
      <c r="E1611" s="2" t="s">
        <v>155</v>
      </c>
      <c r="F1611" s="30">
        <v>45839</v>
      </c>
      <c r="G1611" s="2">
        <f>DAY(EOMONTH(TA[[#This Row],[Month Year]],0))</f>
        <v>31</v>
      </c>
      <c r="H1611" s="21">
        <v>45860</v>
      </c>
      <c r="I1611" s="32">
        <f>IFERROR(VLOOKUP(TA[[#This Row],[Date]],Raw_Data[[Date]:[Sunset Time (POA&lt;20 W/m2)]],3,0),"")</f>
        <v>0.25694444444444442</v>
      </c>
      <c r="J1611" s="32">
        <f>IFERROR(VLOOKUP(TA[[#This Row],[Date]],Raw_Data[[Date]:[Sunset Time (POA&lt;20 W/m2)]],4,0),"")</f>
        <v>0.78472222222222221</v>
      </c>
      <c r="K1611" s="27">
        <f>IFERROR((TA[[#This Row],[Sunset Time (POA&lt;20 W/m2)]]-TA[[#This Row],[Sunrise Time (POA&gt;20 W/m2)]])*24,"")</f>
        <v>12.666666666666668</v>
      </c>
      <c r="L1611" s="2" t="s">
        <v>287</v>
      </c>
      <c r="M1611" s="33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314</v>
      </c>
      <c r="Q1611" s="2" t="s">
        <v>320</v>
      </c>
      <c r="R1611">
        <v>47</v>
      </c>
      <c r="S1611" s="2">
        <v>18</v>
      </c>
      <c r="T1611" t="s">
        <v>288</v>
      </c>
      <c r="U1611" t="s">
        <v>291</v>
      </c>
      <c r="V1611" t="s">
        <v>292</v>
      </c>
      <c r="W1611" s="32"/>
      <c r="X1611" s="32"/>
      <c r="Y1611" s="26"/>
      <c r="Z1611" s="26"/>
      <c r="AA1611" s="27">
        <f>IF(TA[[#This Row],[Work Start time on Fault]]="NA","",(TA[[#This Row],[Fault Acknowledgement Time ]]-TA[[#This Row],[Fault Time]])*24)</f>
        <v>0</v>
      </c>
      <c r="AB1611" s="27">
        <f>(TA[[#This Row],[Work Start time on Fault]]-TA[[#This Row],[Fault Time]])*24</f>
        <v>0</v>
      </c>
      <c r="AC1611" s="26">
        <f>(TA[[#This Row],[Work Completion time on fault]]-TA[[#This Row],[Fault Time]])*24</f>
        <v>0</v>
      </c>
      <c r="AD1611" s="27">
        <f>IFERROR((TA[[#This Row],[Work Completion time on fault]]-TA[[#This Row],[Fault Time]])*24,"")</f>
        <v>0</v>
      </c>
      <c r="AE1611" t="s">
        <v>319</v>
      </c>
      <c r="AF1611" t="s">
        <v>247</v>
      </c>
      <c r="AG1611" s="2"/>
      <c r="AH1611" s="35">
        <f>1-COS(RADIANS(TA[[#This Row],[Avg. Target Angle during Fault Time (Radians)]]-TA[[#This Row],[Angle of affected equipment ]]))</f>
        <v>0.11705240714107301</v>
      </c>
      <c r="AI1611" s="27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43">
        <f t="shared" si="201"/>
        <v>2026</v>
      </c>
      <c r="C1612" s="116">
        <f t="shared" si="202"/>
        <v>2025</v>
      </c>
      <c r="D1612" s="2" t="s">
        <v>155</v>
      </c>
      <c r="E1612" s="2" t="s">
        <v>155</v>
      </c>
      <c r="F1612" s="30">
        <v>45839</v>
      </c>
      <c r="G1612" s="2">
        <f>DAY(EOMONTH(TA[[#This Row],[Month Year]],0))</f>
        <v>31</v>
      </c>
      <c r="H1612" s="21">
        <v>45860</v>
      </c>
      <c r="I1612" s="32">
        <f>IFERROR(VLOOKUP(TA[[#This Row],[Date]],Raw_Data[[Date]:[Sunset Time (POA&lt;20 W/m2)]],3,0),"")</f>
        <v>0.25694444444444442</v>
      </c>
      <c r="J1612" s="32">
        <f>IFERROR(VLOOKUP(TA[[#This Row],[Date]],Raw_Data[[Date]:[Sunset Time (POA&lt;20 W/m2)]],4,0),"")</f>
        <v>0.78472222222222221</v>
      </c>
      <c r="K1612" s="27">
        <f>IFERROR((TA[[#This Row],[Sunset Time (POA&lt;20 W/m2)]]-TA[[#This Row],[Sunrise Time (POA&gt;20 W/m2)]])*24,"")</f>
        <v>12.666666666666668</v>
      </c>
      <c r="L1612" s="2" t="s">
        <v>287</v>
      </c>
      <c r="M1612" s="33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321</v>
      </c>
      <c r="Q1612" s="2" t="s">
        <v>314</v>
      </c>
      <c r="R1612">
        <v>30</v>
      </c>
      <c r="S1612" s="2">
        <v>57</v>
      </c>
      <c r="T1612" t="s">
        <v>288</v>
      </c>
      <c r="U1612" t="s">
        <v>291</v>
      </c>
      <c r="V1612" t="s">
        <v>292</v>
      </c>
      <c r="W1612" s="32"/>
      <c r="X1612" s="32"/>
      <c r="Y1612" s="26"/>
      <c r="Z1612" s="26"/>
      <c r="AA1612" s="27">
        <f>IF(TA[[#This Row],[Work Start time on Fault]]="NA","",(TA[[#This Row],[Fault Acknowledgement Time ]]-TA[[#This Row],[Fault Time]])*24)</f>
        <v>0</v>
      </c>
      <c r="AB1612" s="27">
        <f>(TA[[#This Row],[Work Start time on Fault]]-TA[[#This Row],[Fault Time]])*24</f>
        <v>0</v>
      </c>
      <c r="AC1612" s="26">
        <f>(TA[[#This Row],[Work Completion time on fault]]-TA[[#This Row],[Fault Time]])*24</f>
        <v>0</v>
      </c>
      <c r="AD1612" s="27">
        <f>IFERROR((TA[[#This Row],[Work Completion time on fault]]-TA[[#This Row],[Fault Time]])*24,"")</f>
        <v>0</v>
      </c>
      <c r="AE1612" t="s">
        <v>319</v>
      </c>
      <c r="AF1612" t="s">
        <v>247</v>
      </c>
      <c r="AG1612" s="2"/>
      <c r="AH1612" s="35">
        <f>1-COS(RADIANS(TA[[#This Row],[Avg. Target Angle during Fault Time (Radians)]]-TA[[#This Row],[Angle of affected equipment ]]))</f>
        <v>0.11705240714107301</v>
      </c>
      <c r="AI1612" s="27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43">
        <f t="shared" si="201"/>
        <v>2026</v>
      </c>
      <c r="C1613" s="116">
        <f t="shared" si="202"/>
        <v>2025</v>
      </c>
      <c r="D1613" s="2" t="s">
        <v>155</v>
      </c>
      <c r="E1613" s="2" t="s">
        <v>155</v>
      </c>
      <c r="F1613" s="30">
        <v>45839</v>
      </c>
      <c r="G1613" s="2">
        <f>DAY(EOMONTH(TA[[#This Row],[Month Year]],0))</f>
        <v>31</v>
      </c>
      <c r="H1613" s="21">
        <v>45860</v>
      </c>
      <c r="I1613" s="32">
        <f>IFERROR(VLOOKUP(TA[[#This Row],[Date]],Raw_Data[[Date]:[Sunset Time (POA&lt;20 W/m2)]],3,0),"")</f>
        <v>0.25694444444444442</v>
      </c>
      <c r="J1613" s="32">
        <f>IFERROR(VLOOKUP(TA[[#This Row],[Date]],Raw_Data[[Date]:[Sunset Time (POA&lt;20 W/m2)]],4,0),"")</f>
        <v>0.78472222222222221</v>
      </c>
      <c r="K1613" s="27">
        <f>IFERROR((TA[[#This Row],[Sunset Time (POA&lt;20 W/m2)]]-TA[[#This Row],[Sunrise Time (POA&gt;20 W/m2)]])*24,"")</f>
        <v>12.666666666666668</v>
      </c>
      <c r="L1613" s="2" t="s">
        <v>287</v>
      </c>
      <c r="M1613" s="33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321</v>
      </c>
      <c r="Q1613" s="2" t="s">
        <v>314</v>
      </c>
      <c r="R1613">
        <v>31</v>
      </c>
      <c r="S1613" s="2">
        <v>61</v>
      </c>
      <c r="T1613" t="s">
        <v>288</v>
      </c>
      <c r="U1613" t="s">
        <v>291</v>
      </c>
      <c r="V1613" t="s">
        <v>292</v>
      </c>
      <c r="W1613" s="32"/>
      <c r="X1613" s="32"/>
      <c r="Y1613" s="26"/>
      <c r="Z1613" s="26"/>
      <c r="AA1613" s="27">
        <f>IF(TA[[#This Row],[Work Start time on Fault]]="NA","",(TA[[#This Row],[Fault Acknowledgement Time ]]-TA[[#This Row],[Fault Time]])*24)</f>
        <v>0</v>
      </c>
      <c r="AB1613" s="27">
        <f>(TA[[#This Row],[Work Start time on Fault]]-TA[[#This Row],[Fault Time]])*24</f>
        <v>0</v>
      </c>
      <c r="AC1613" s="26">
        <f>(TA[[#This Row],[Work Completion time on fault]]-TA[[#This Row],[Fault Time]])*24</f>
        <v>0</v>
      </c>
      <c r="AD1613" s="27">
        <f>IFERROR((TA[[#This Row],[Work Completion time on fault]]-TA[[#This Row],[Fault Time]])*24,"")</f>
        <v>0</v>
      </c>
      <c r="AE1613" t="s">
        <v>319</v>
      </c>
      <c r="AF1613" t="s">
        <v>247</v>
      </c>
      <c r="AG1613" s="2"/>
      <c r="AH1613" s="35">
        <f>1-COS(RADIANS(TA[[#This Row],[Avg. Target Angle during Fault Time (Radians)]]-TA[[#This Row],[Angle of affected equipment ]]))</f>
        <v>0.11705240714107301</v>
      </c>
      <c r="AI1613" s="27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43">
        <f t="shared" si="201"/>
        <v>2026</v>
      </c>
      <c r="C1614" s="116">
        <f t="shared" si="202"/>
        <v>2025</v>
      </c>
      <c r="D1614" s="2" t="s">
        <v>155</v>
      </c>
      <c r="E1614" s="2" t="s">
        <v>155</v>
      </c>
      <c r="F1614" s="30">
        <v>45839</v>
      </c>
      <c r="G1614" s="2">
        <f>DAY(EOMONTH(TA[[#This Row],[Month Year]],0))</f>
        <v>31</v>
      </c>
      <c r="H1614" s="21">
        <v>45860</v>
      </c>
      <c r="I1614" s="32">
        <f>IFERROR(VLOOKUP(TA[[#This Row],[Date]],Raw_Data[[Date]:[Sunset Time (POA&lt;20 W/m2)]],3,0),"")</f>
        <v>0.25694444444444442</v>
      </c>
      <c r="J1614" s="32">
        <f>IFERROR(VLOOKUP(TA[[#This Row],[Date]],Raw_Data[[Date]:[Sunset Time (POA&lt;20 W/m2)]],4,0),"")</f>
        <v>0.78472222222222221</v>
      </c>
      <c r="K1614" s="27">
        <f>IFERROR((TA[[#This Row],[Sunset Time (POA&lt;20 W/m2)]]-TA[[#This Row],[Sunrise Time (POA&gt;20 W/m2)]])*24,"")</f>
        <v>12.666666666666668</v>
      </c>
      <c r="L1614" s="2" t="s">
        <v>303</v>
      </c>
      <c r="M1614" s="33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321</v>
      </c>
      <c r="Q1614" s="2" t="s">
        <v>314</v>
      </c>
      <c r="R1614">
        <v>26</v>
      </c>
      <c r="S1614" s="2">
        <v>37</v>
      </c>
      <c r="T1614" t="s">
        <v>288</v>
      </c>
      <c r="U1614" t="s">
        <v>291</v>
      </c>
      <c r="V1614" t="s">
        <v>292</v>
      </c>
      <c r="W1614" s="32"/>
      <c r="X1614" s="32"/>
      <c r="Y1614" s="26"/>
      <c r="Z1614" s="26"/>
      <c r="AA1614" s="27">
        <f>IF(TA[[#This Row],[Work Start time on Fault]]="NA","",(TA[[#This Row],[Fault Acknowledgement Time ]]-TA[[#This Row],[Fault Time]])*24)</f>
        <v>0</v>
      </c>
      <c r="AB1614" s="27">
        <f>(TA[[#This Row],[Work Start time on Fault]]-TA[[#This Row],[Fault Time]])*24</f>
        <v>0</v>
      </c>
      <c r="AC1614" s="26">
        <f>(TA[[#This Row],[Work Completion time on fault]]-TA[[#This Row],[Fault Time]])*24</f>
        <v>0</v>
      </c>
      <c r="AD1614" s="27">
        <f>IFERROR((TA[[#This Row],[Work Completion time on fault]]-TA[[#This Row],[Fault Time]])*24,"")</f>
        <v>0</v>
      </c>
      <c r="AE1614" t="s">
        <v>319</v>
      </c>
      <c r="AF1614" t="s">
        <v>247</v>
      </c>
      <c r="AG1614" s="2"/>
      <c r="AH1614" s="35">
        <f>1-COS(RADIANS(TA[[#This Row],[Avg. Target Angle during Fault Time (Radians)]]-TA[[#This Row],[Angle of affected equipment ]]))</f>
        <v>0.11705240714107301</v>
      </c>
      <c r="AI1614" s="27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43">
        <f t="shared" si="201"/>
        <v>2026</v>
      </c>
      <c r="C1615" s="116">
        <f t="shared" si="202"/>
        <v>2025</v>
      </c>
      <c r="D1615" s="2" t="s">
        <v>155</v>
      </c>
      <c r="E1615" s="2" t="s">
        <v>155</v>
      </c>
      <c r="F1615" s="30">
        <v>45839</v>
      </c>
      <c r="G1615" s="2">
        <f>DAY(EOMONTH(TA[[#This Row],[Month Year]],0))</f>
        <v>31</v>
      </c>
      <c r="H1615" s="21">
        <v>45860</v>
      </c>
      <c r="I1615" s="32">
        <f>IFERROR(VLOOKUP(TA[[#This Row],[Date]],Raw_Data[[Date]:[Sunset Time (POA&lt;20 W/m2)]],3,0),"")</f>
        <v>0.25694444444444442</v>
      </c>
      <c r="J1615" s="32">
        <f>IFERROR(VLOOKUP(TA[[#This Row],[Date]],Raw_Data[[Date]:[Sunset Time (POA&lt;20 W/m2)]],4,0),"")</f>
        <v>0.78472222222222221</v>
      </c>
      <c r="K1615" s="27">
        <f>IFERROR((TA[[#This Row],[Sunset Time (POA&lt;20 W/m2)]]-TA[[#This Row],[Sunrise Time (POA&gt;20 W/m2)]])*24,"")</f>
        <v>12.666666666666668</v>
      </c>
      <c r="L1615" s="2" t="s">
        <v>303</v>
      </c>
      <c r="M1615" s="33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321</v>
      </c>
      <c r="Q1615" s="2" t="s">
        <v>314</v>
      </c>
      <c r="R1615">
        <v>27</v>
      </c>
      <c r="S1615" s="2">
        <v>42</v>
      </c>
      <c r="T1615" t="s">
        <v>288</v>
      </c>
      <c r="U1615" t="s">
        <v>291</v>
      </c>
      <c r="V1615" t="s">
        <v>292</v>
      </c>
      <c r="W1615" s="32">
        <f>IFERROR(VLOOKUP(TA[[#This Row],[Date]],Raw_Data[[Date]:[Sunset Time (POA&lt;20 W/m2)]],3,0),"")</f>
        <v>0.25694444444444442</v>
      </c>
      <c r="X1615" s="32">
        <f>IFERROR(VLOOKUP(TA[[#This Row],[Date]],Raw_Data[[Date]:[Sunset Time (POA&lt;20 W/m2)]],3,0),"")</f>
        <v>0.25694444444444442</v>
      </c>
      <c r="Y1615" s="26"/>
      <c r="Z1615" s="26">
        <v>0.76041666666666663</v>
      </c>
      <c r="AA1615" s="27">
        <f>IF(TA[[#This Row],[Work Start time on Fault]]="NA","",(TA[[#This Row],[Fault Acknowledgement Time ]]-TA[[#This Row],[Fault Time]])*24)</f>
        <v>0</v>
      </c>
      <c r="AB1615" s="27">
        <f>(TA[[#This Row],[Work Start time on Fault]]-TA[[#This Row],[Fault Time]])*24</f>
        <v>-6.1666666666666661</v>
      </c>
      <c r="AC1615" s="26">
        <f>(TA[[#This Row],[Work Completion time on fault]]-TA[[#This Row],[Fault Time]])*24</f>
        <v>12.083333333333332</v>
      </c>
      <c r="AD1615" s="27">
        <f>IFERROR((TA[[#This Row],[Work Completion time on fault]]-TA[[#This Row],[Fault Time]])*24,"")</f>
        <v>12.083333333333332</v>
      </c>
      <c r="AE1615" t="s">
        <v>300</v>
      </c>
      <c r="AF1615" t="s">
        <v>247</v>
      </c>
      <c r="AG1615" s="2"/>
      <c r="AH1615" s="35">
        <f>1-COS(RADIANS(TA[[#This Row],[Avg. Target Angle during Fault Time (Radians)]]-TA[[#This Row],[Angle of affected equipment ]]))</f>
        <v>0.11705240714107301</v>
      </c>
      <c r="AI1615" s="27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43">
        <f t="shared" ref="B1616:B1628" si="203">YEAR(H1616)+IF(MONTH(H1616)&gt;=4,1,0)</f>
        <v>2026</v>
      </c>
      <c r="C1616" s="116">
        <f t="shared" ref="C1616:C1628" si="204">YEAR(H1616)</f>
        <v>2025</v>
      </c>
      <c r="D1616" s="2" t="s">
        <v>155</v>
      </c>
      <c r="E1616" s="2" t="s">
        <v>155</v>
      </c>
      <c r="F1616" s="30">
        <v>45839</v>
      </c>
      <c r="G1616" s="2">
        <f>DAY(EOMONTH(TA[[#This Row],[Month Year]],0))</f>
        <v>31</v>
      </c>
      <c r="H1616" s="21">
        <v>45861</v>
      </c>
      <c r="I1616" s="32">
        <f>IFERROR(VLOOKUP(TA[[#This Row],[Date]],Raw_Data[[Date]:[Sunset Time (POA&lt;20 W/m2)]],3,0),"")</f>
        <v>0.27152777777777776</v>
      </c>
      <c r="J1616" s="32">
        <f>IFERROR(VLOOKUP(TA[[#This Row],[Date]],Raw_Data[[Date]:[Sunset Time (POA&lt;20 W/m2)]],4,0),"")</f>
        <v>0.77361111111111114</v>
      </c>
      <c r="K1616" s="27">
        <f>IFERROR((TA[[#This Row],[Sunset Time (POA&lt;20 W/m2)]]-TA[[#This Row],[Sunrise Time (POA&gt;20 W/m2)]])*24,"")</f>
        <v>12.050000000000002</v>
      </c>
      <c r="L1616" s="2" t="s">
        <v>285</v>
      </c>
      <c r="M1616" s="33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14" t="s">
        <v>309</v>
      </c>
      <c r="Q1616" s="113" t="s">
        <v>309</v>
      </c>
      <c r="R1616">
        <v>131</v>
      </c>
      <c r="S1616" s="2">
        <v>38</v>
      </c>
      <c r="T1616" t="s">
        <v>286</v>
      </c>
      <c r="U1616" t="s">
        <v>291</v>
      </c>
      <c r="V1616" t="s">
        <v>289</v>
      </c>
      <c r="W1616" s="32"/>
      <c r="X1616" s="32"/>
      <c r="Y1616" s="26"/>
      <c r="Z1616" s="26"/>
      <c r="AA1616" s="27">
        <f>IF(TA[[#This Row],[Work Start time on Fault]]="NA","",(TA[[#This Row],[Fault Acknowledgement Time ]]-TA[[#This Row],[Fault Time]])*24)</f>
        <v>0</v>
      </c>
      <c r="AB1616" s="27">
        <f>(TA[[#This Row],[Work Start time on Fault]]-TA[[#This Row],[Fault Time]])*24</f>
        <v>0</v>
      </c>
      <c r="AC1616" s="26">
        <f>(TA[[#This Row],[Work Completion time on fault]]-TA[[#This Row],[Fault Time]])*24</f>
        <v>0</v>
      </c>
      <c r="AD1616" s="27">
        <f>IFERROR((TA[[#This Row],[Work Completion time on fault]]-TA[[#This Row],[Fault Time]])*24,"")</f>
        <v>0</v>
      </c>
      <c r="AE1616" t="s">
        <v>319</v>
      </c>
      <c r="AF1616" t="s">
        <v>247</v>
      </c>
      <c r="AG1616" s="2"/>
      <c r="AH1616" s="35">
        <f>1-COS(RADIANS(TA[[#This Row],[Avg. Target Angle during Fault Time (Radians)]]-TA[[#This Row],[Angle of affected equipment ]]))</f>
        <v>0.11705240714107301</v>
      </c>
      <c r="AI1616" s="27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43">
        <f t="shared" si="203"/>
        <v>2026</v>
      </c>
      <c r="C1617" s="116">
        <f t="shared" si="204"/>
        <v>2025</v>
      </c>
      <c r="D1617" s="2" t="s">
        <v>155</v>
      </c>
      <c r="E1617" s="2" t="s">
        <v>155</v>
      </c>
      <c r="F1617" s="30">
        <v>45839</v>
      </c>
      <c r="G1617" s="2">
        <f>DAY(EOMONTH(TA[[#This Row],[Month Year]],0))</f>
        <v>31</v>
      </c>
      <c r="H1617" s="21">
        <v>45861</v>
      </c>
      <c r="I1617" s="32">
        <f>IFERROR(VLOOKUP(TA[[#This Row],[Date]],Raw_Data[[Date]:[Sunset Time (POA&lt;20 W/m2)]],3,0),"")</f>
        <v>0.27152777777777776</v>
      </c>
      <c r="J1617" s="32">
        <f>IFERROR(VLOOKUP(TA[[#This Row],[Date]],Raw_Data[[Date]:[Sunset Time (POA&lt;20 W/m2)]],4,0),"")</f>
        <v>0.77361111111111114</v>
      </c>
      <c r="K1617" s="27">
        <f>IFERROR((TA[[#This Row],[Sunset Time (POA&lt;20 W/m2)]]-TA[[#This Row],[Sunrise Time (POA&gt;20 W/m2)]])*24,"")</f>
        <v>12.050000000000002</v>
      </c>
      <c r="L1617" s="2" t="s">
        <v>285</v>
      </c>
      <c r="M1617" s="33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14" t="s">
        <v>309</v>
      </c>
      <c r="Q1617" s="113" t="s">
        <v>309</v>
      </c>
      <c r="R1617">
        <v>131</v>
      </c>
      <c r="S1617" s="2">
        <v>39</v>
      </c>
      <c r="T1617" t="s">
        <v>286</v>
      </c>
      <c r="U1617" t="s">
        <v>291</v>
      </c>
      <c r="V1617" t="s">
        <v>289</v>
      </c>
      <c r="W1617" s="32"/>
      <c r="X1617" s="32"/>
      <c r="Y1617" s="26"/>
      <c r="Z1617" s="26"/>
      <c r="AA1617" s="27">
        <f>IF(TA[[#This Row],[Work Start time on Fault]]="NA","",(TA[[#This Row],[Fault Acknowledgement Time ]]-TA[[#This Row],[Fault Time]])*24)</f>
        <v>0</v>
      </c>
      <c r="AB1617" s="27">
        <f>(TA[[#This Row],[Work Start time on Fault]]-TA[[#This Row],[Fault Time]])*24</f>
        <v>0</v>
      </c>
      <c r="AC1617" s="26">
        <f>(TA[[#This Row],[Work Completion time on fault]]-TA[[#This Row],[Fault Time]])*24</f>
        <v>0</v>
      </c>
      <c r="AD1617" s="27">
        <f>IFERROR((TA[[#This Row],[Work Completion time on fault]]-TA[[#This Row],[Fault Time]])*24,"")</f>
        <v>0</v>
      </c>
      <c r="AE1617" t="s">
        <v>319</v>
      </c>
      <c r="AF1617" t="s">
        <v>247</v>
      </c>
      <c r="AG1617" s="2"/>
      <c r="AH1617" s="35">
        <f>1-COS(RADIANS(TA[[#This Row],[Avg. Target Angle during Fault Time (Radians)]]-TA[[#This Row],[Angle of affected equipment ]]))</f>
        <v>0.11705240714107301</v>
      </c>
      <c r="AI1617" s="27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43">
        <f t="shared" si="203"/>
        <v>2026</v>
      </c>
      <c r="C1618" s="116">
        <f t="shared" si="204"/>
        <v>2025</v>
      </c>
      <c r="D1618" s="2" t="s">
        <v>155</v>
      </c>
      <c r="E1618" s="2" t="s">
        <v>155</v>
      </c>
      <c r="F1618" s="30">
        <v>45839</v>
      </c>
      <c r="G1618" s="2">
        <f>DAY(EOMONTH(TA[[#This Row],[Month Year]],0))</f>
        <v>31</v>
      </c>
      <c r="H1618" s="21">
        <v>45861</v>
      </c>
      <c r="I1618" s="32">
        <f>IFERROR(VLOOKUP(TA[[#This Row],[Date]],Raw_Data[[Date]:[Sunset Time (POA&lt;20 W/m2)]],3,0),"")</f>
        <v>0.27152777777777776</v>
      </c>
      <c r="J1618" s="32">
        <f>IFERROR(VLOOKUP(TA[[#This Row],[Date]],Raw_Data[[Date]:[Sunset Time (POA&lt;20 W/m2)]],4,0),"")</f>
        <v>0.77361111111111114</v>
      </c>
      <c r="K1618" s="27">
        <f>IFERROR((TA[[#This Row],[Sunset Time (POA&lt;20 W/m2)]]-TA[[#This Row],[Sunrise Time (POA&gt;20 W/m2)]])*24,"")</f>
        <v>12.050000000000002</v>
      </c>
      <c r="L1618" s="2" t="s">
        <v>287</v>
      </c>
      <c r="M1618" s="33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14" t="s">
        <v>309</v>
      </c>
      <c r="Q1618" s="2" t="s">
        <v>312</v>
      </c>
      <c r="R1618">
        <v>133</v>
      </c>
      <c r="S1618" s="2">
        <v>26</v>
      </c>
      <c r="T1618" t="s">
        <v>288</v>
      </c>
      <c r="U1618" t="s">
        <v>291</v>
      </c>
      <c r="V1618" t="s">
        <v>305</v>
      </c>
      <c r="W1618" s="32">
        <f>IFERROR(VLOOKUP(TA[[#This Row],[Date]],Raw_Data[[Date]:[Sunset Time (POA&lt;20 W/m2)]],3,0),"")</f>
        <v>0.27152777777777776</v>
      </c>
      <c r="X1618" s="32">
        <f>IFERROR(VLOOKUP(TA[[#This Row],[Date]],Raw_Data[[Date]:[Sunset Time (POA&lt;20 W/m2)]],3,0),"")</f>
        <v>0.27152777777777776</v>
      </c>
      <c r="Y1618" s="26"/>
      <c r="Z1618" s="26">
        <v>0.76041666666666663</v>
      </c>
      <c r="AA1618" s="27">
        <f>IF(TA[[#This Row],[Work Start time on Fault]]="NA","",(TA[[#This Row],[Fault Acknowledgement Time ]]-TA[[#This Row],[Fault Time]])*24)</f>
        <v>0</v>
      </c>
      <c r="AB1618" s="27">
        <f>(TA[[#This Row],[Work Start time on Fault]]-TA[[#This Row],[Fault Time]])*24</f>
        <v>-6.5166666666666657</v>
      </c>
      <c r="AC1618" s="26">
        <f>(TA[[#This Row],[Work Completion time on fault]]-TA[[#This Row],[Fault Time]])*24</f>
        <v>11.733333333333333</v>
      </c>
      <c r="AD1618" s="27">
        <f>IFERROR((TA[[#This Row],[Work Completion time on fault]]-TA[[#This Row],[Fault Time]])*24,"")</f>
        <v>11.733333333333333</v>
      </c>
      <c r="AE1618" t="s">
        <v>319</v>
      </c>
      <c r="AF1618" t="s">
        <v>247</v>
      </c>
      <c r="AG1618" s="2"/>
      <c r="AH1618" s="35">
        <f>1-COS(RADIANS(TA[[#This Row],[Avg. Target Angle during Fault Time (Radians)]]-TA[[#This Row],[Angle of affected equipment ]]))</f>
        <v>0.11705240714107301</v>
      </c>
      <c r="AI1618" s="27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43">
        <f t="shared" si="203"/>
        <v>2026</v>
      </c>
      <c r="C1619" s="116">
        <f t="shared" si="204"/>
        <v>2025</v>
      </c>
      <c r="D1619" s="2" t="s">
        <v>155</v>
      </c>
      <c r="E1619" s="2" t="s">
        <v>155</v>
      </c>
      <c r="F1619" s="30">
        <v>45839</v>
      </c>
      <c r="G1619" s="2">
        <f>DAY(EOMONTH(TA[[#This Row],[Month Year]],0))</f>
        <v>31</v>
      </c>
      <c r="H1619" s="21">
        <v>45861</v>
      </c>
      <c r="I1619" s="32">
        <f>IFERROR(VLOOKUP(TA[[#This Row],[Date]],Raw_Data[[Date]:[Sunset Time (POA&lt;20 W/m2)]],3,0),"")</f>
        <v>0.27152777777777776</v>
      </c>
      <c r="J1619" s="32">
        <f>IFERROR(VLOOKUP(TA[[#This Row],[Date]],Raw_Data[[Date]:[Sunset Time (POA&lt;20 W/m2)]],4,0),"")</f>
        <v>0.77361111111111114</v>
      </c>
      <c r="K1619" s="27">
        <f>IFERROR((TA[[#This Row],[Sunset Time (POA&lt;20 W/m2)]]-TA[[#This Row],[Sunrise Time (POA&gt;20 W/m2)]])*24,"")</f>
        <v>12.050000000000002</v>
      </c>
      <c r="L1619" s="2" t="s">
        <v>285</v>
      </c>
      <c r="M1619" s="33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14" t="s">
        <v>307</v>
      </c>
      <c r="Q1619" s="113" t="s">
        <v>308</v>
      </c>
      <c r="R1619">
        <v>7</v>
      </c>
      <c r="S1619" s="2">
        <v>32</v>
      </c>
      <c r="T1619" t="s">
        <v>286</v>
      </c>
      <c r="U1619" t="s">
        <v>291</v>
      </c>
      <c r="V1619" t="s">
        <v>289</v>
      </c>
      <c r="W1619" s="32"/>
      <c r="X1619" s="32"/>
      <c r="Y1619" s="26"/>
      <c r="Z1619" s="26"/>
      <c r="AA1619" s="27">
        <f>IF(TA[[#This Row],[Work Start time on Fault]]="NA","",(TA[[#This Row],[Fault Acknowledgement Time ]]-TA[[#This Row],[Fault Time]])*24)</f>
        <v>0</v>
      </c>
      <c r="AB1619" s="27">
        <f>(TA[[#This Row],[Work Start time on Fault]]-TA[[#This Row],[Fault Time]])*24</f>
        <v>0</v>
      </c>
      <c r="AC1619" s="26">
        <f>(TA[[#This Row],[Work Completion time on fault]]-TA[[#This Row],[Fault Time]])*24</f>
        <v>0</v>
      </c>
      <c r="AD1619" s="27">
        <f>IFERROR((TA[[#This Row],[Work Completion time on fault]]-TA[[#This Row],[Fault Time]])*24,"")</f>
        <v>0</v>
      </c>
      <c r="AE1619" t="s">
        <v>319</v>
      </c>
      <c r="AF1619" t="s">
        <v>247</v>
      </c>
      <c r="AG1619" s="2"/>
      <c r="AH1619" s="35">
        <f>1-COS(RADIANS(TA[[#This Row],[Avg. Target Angle during Fault Time (Radians)]]-TA[[#This Row],[Angle of affected equipment ]]))</f>
        <v>0.11705240714107301</v>
      </c>
      <c r="AI1619" s="27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43">
        <f t="shared" si="203"/>
        <v>2026</v>
      </c>
      <c r="C1620" s="116">
        <f t="shared" si="204"/>
        <v>2025</v>
      </c>
      <c r="D1620" s="2" t="s">
        <v>155</v>
      </c>
      <c r="E1620" s="2" t="s">
        <v>155</v>
      </c>
      <c r="F1620" s="30">
        <v>45839</v>
      </c>
      <c r="G1620" s="2">
        <f>DAY(EOMONTH(TA[[#This Row],[Month Year]],0))</f>
        <v>31</v>
      </c>
      <c r="H1620" s="21">
        <v>45861</v>
      </c>
      <c r="I1620" s="32">
        <f>IFERROR(VLOOKUP(TA[[#This Row],[Date]],Raw_Data[[Date]:[Sunset Time (POA&lt;20 W/m2)]],3,0),"")</f>
        <v>0.27152777777777776</v>
      </c>
      <c r="J1620" s="32">
        <f>IFERROR(VLOOKUP(TA[[#This Row],[Date]],Raw_Data[[Date]:[Sunset Time (POA&lt;20 W/m2)]],4,0),"")</f>
        <v>0.77361111111111114</v>
      </c>
      <c r="K1620" s="27">
        <f>IFERROR((TA[[#This Row],[Sunset Time (POA&lt;20 W/m2)]]-TA[[#This Row],[Sunrise Time (POA&gt;20 W/m2)]])*24,"")</f>
        <v>12.050000000000002</v>
      </c>
      <c r="L1620" s="2" t="s">
        <v>285</v>
      </c>
      <c r="M1620" s="33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14" t="s">
        <v>306</v>
      </c>
      <c r="Q1620" s="113" t="s">
        <v>310</v>
      </c>
      <c r="R1620">
        <v>166</v>
      </c>
      <c r="S1620" s="2">
        <v>91</v>
      </c>
      <c r="T1620" t="s">
        <v>286</v>
      </c>
      <c r="U1620" t="s">
        <v>291</v>
      </c>
      <c r="V1620" t="s">
        <v>289</v>
      </c>
      <c r="W1620" s="32"/>
      <c r="X1620" s="32"/>
      <c r="Y1620" s="26"/>
      <c r="Z1620" s="26"/>
      <c r="AA1620" s="27">
        <f>IF(TA[[#This Row],[Work Start time on Fault]]="NA","",(TA[[#This Row],[Fault Acknowledgement Time ]]-TA[[#This Row],[Fault Time]])*24)</f>
        <v>0</v>
      </c>
      <c r="AB1620" s="27">
        <f>(TA[[#This Row],[Work Start time on Fault]]-TA[[#This Row],[Fault Time]])*24</f>
        <v>0</v>
      </c>
      <c r="AC1620" s="26">
        <f>(TA[[#This Row],[Work Completion time on fault]]-TA[[#This Row],[Fault Time]])*24</f>
        <v>0</v>
      </c>
      <c r="AD1620" s="27">
        <f>IFERROR((TA[[#This Row],[Work Completion time on fault]]-TA[[#This Row],[Fault Time]])*24,"")</f>
        <v>0</v>
      </c>
      <c r="AE1620" t="s">
        <v>319</v>
      </c>
      <c r="AF1620" t="s">
        <v>247</v>
      </c>
      <c r="AG1620" s="2"/>
      <c r="AH1620" s="35">
        <f>1-COS(RADIANS(TA[[#This Row],[Avg. Target Angle during Fault Time (Radians)]]-TA[[#This Row],[Angle of affected equipment ]]))</f>
        <v>0.11705240714107301</v>
      </c>
      <c r="AI1620" s="27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43">
        <f t="shared" si="203"/>
        <v>2026</v>
      </c>
      <c r="C1621" s="116">
        <f t="shared" si="204"/>
        <v>2025</v>
      </c>
      <c r="D1621" s="2" t="s">
        <v>155</v>
      </c>
      <c r="E1621" s="2" t="s">
        <v>155</v>
      </c>
      <c r="F1621" s="30">
        <v>45839</v>
      </c>
      <c r="G1621" s="2">
        <f>DAY(EOMONTH(TA[[#This Row],[Month Year]],0))</f>
        <v>31</v>
      </c>
      <c r="H1621" s="21">
        <v>45861</v>
      </c>
      <c r="I1621" s="32">
        <f>IFERROR(VLOOKUP(TA[[#This Row],[Date]],Raw_Data[[Date]:[Sunset Time (POA&lt;20 W/m2)]],3,0),"")</f>
        <v>0.27152777777777776</v>
      </c>
      <c r="J1621" s="32">
        <f>IFERROR(VLOOKUP(TA[[#This Row],[Date]],Raw_Data[[Date]:[Sunset Time (POA&lt;20 W/m2)]],4,0),"")</f>
        <v>0.77361111111111114</v>
      </c>
      <c r="K1621" s="27">
        <f>IFERROR((TA[[#This Row],[Sunset Time (POA&lt;20 W/m2)]]-TA[[#This Row],[Sunrise Time (POA&gt;20 W/m2)]])*24,"")</f>
        <v>12.050000000000002</v>
      </c>
      <c r="L1621" s="2" t="s">
        <v>285</v>
      </c>
      <c r="M1621" s="33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14" t="s">
        <v>307</v>
      </c>
      <c r="Q1621" s="113" t="s">
        <v>307</v>
      </c>
      <c r="R1621">
        <v>117</v>
      </c>
      <c r="S1621" s="2">
        <v>20</v>
      </c>
      <c r="T1621" t="s">
        <v>286</v>
      </c>
      <c r="U1621" t="s">
        <v>291</v>
      </c>
      <c r="V1621" t="s">
        <v>289</v>
      </c>
      <c r="W1621" s="32"/>
      <c r="X1621" s="32"/>
      <c r="Y1621" s="26"/>
      <c r="Z1621" s="26"/>
      <c r="AA1621" s="27">
        <f>IF(TA[[#This Row],[Work Start time on Fault]]="NA","",(TA[[#This Row],[Fault Acknowledgement Time ]]-TA[[#This Row],[Fault Time]])*24)</f>
        <v>0</v>
      </c>
      <c r="AB1621" s="27">
        <f>(TA[[#This Row],[Work Start time on Fault]]-TA[[#This Row],[Fault Time]])*24</f>
        <v>0</v>
      </c>
      <c r="AC1621" s="26">
        <f>(TA[[#This Row],[Work Completion time on fault]]-TA[[#This Row],[Fault Time]])*24</f>
        <v>0</v>
      </c>
      <c r="AD1621" s="27">
        <f>IFERROR((TA[[#This Row],[Work Completion time on fault]]-TA[[#This Row],[Fault Time]])*24,"")</f>
        <v>0</v>
      </c>
      <c r="AE1621" t="s">
        <v>319</v>
      </c>
      <c r="AF1621" t="s">
        <v>247</v>
      </c>
      <c r="AG1621" s="2"/>
      <c r="AH1621" s="35">
        <f>1-COS(RADIANS(TA[[#This Row],[Avg. Target Angle during Fault Time (Radians)]]-TA[[#This Row],[Angle of affected equipment ]]))</f>
        <v>0.11705240714107301</v>
      </c>
      <c r="AI1621" s="27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43">
        <f t="shared" si="203"/>
        <v>2026</v>
      </c>
      <c r="C1622" s="116">
        <f t="shared" si="204"/>
        <v>2025</v>
      </c>
      <c r="D1622" s="2" t="s">
        <v>155</v>
      </c>
      <c r="E1622" s="2" t="s">
        <v>155</v>
      </c>
      <c r="F1622" s="30">
        <v>45839</v>
      </c>
      <c r="G1622" s="2">
        <f>DAY(EOMONTH(TA[[#This Row],[Month Year]],0))</f>
        <v>31</v>
      </c>
      <c r="H1622" s="21">
        <v>45861</v>
      </c>
      <c r="I1622" s="32">
        <f>IFERROR(VLOOKUP(TA[[#This Row],[Date]],Raw_Data[[Date]:[Sunset Time (POA&lt;20 W/m2)]],3,0),"")</f>
        <v>0.27152777777777776</v>
      </c>
      <c r="J1622" s="32">
        <f>IFERROR(VLOOKUP(TA[[#This Row],[Date]],Raw_Data[[Date]:[Sunset Time (POA&lt;20 W/m2)]],4,0),"")</f>
        <v>0.77361111111111114</v>
      </c>
      <c r="K1622" s="27">
        <f>IFERROR((TA[[#This Row],[Sunset Time (POA&lt;20 W/m2)]]-TA[[#This Row],[Sunrise Time (POA&gt;20 W/m2)]])*24,"")</f>
        <v>12.050000000000002</v>
      </c>
      <c r="L1622" s="2" t="s">
        <v>285</v>
      </c>
      <c r="M1622" s="33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14" t="s">
        <v>307</v>
      </c>
      <c r="Q1622" s="113" t="s">
        <v>307</v>
      </c>
      <c r="R1622">
        <v>118</v>
      </c>
      <c r="S1622" s="2">
        <v>22</v>
      </c>
      <c r="T1622" t="s">
        <v>286</v>
      </c>
      <c r="U1622" t="s">
        <v>291</v>
      </c>
      <c r="V1622" t="s">
        <v>289</v>
      </c>
      <c r="W1622" s="32"/>
      <c r="X1622" s="32"/>
      <c r="Y1622" s="26"/>
      <c r="Z1622" s="26"/>
      <c r="AA1622" s="27">
        <f>IF(TA[[#This Row],[Work Start time on Fault]]="NA","",(TA[[#This Row],[Fault Acknowledgement Time ]]-TA[[#This Row],[Fault Time]])*24)</f>
        <v>0</v>
      </c>
      <c r="AB1622" s="27">
        <f>(TA[[#This Row],[Work Start time on Fault]]-TA[[#This Row],[Fault Time]])*24</f>
        <v>0</v>
      </c>
      <c r="AC1622" s="26">
        <f>(TA[[#This Row],[Work Completion time on fault]]-TA[[#This Row],[Fault Time]])*24</f>
        <v>0</v>
      </c>
      <c r="AD1622" s="27">
        <f>IFERROR((TA[[#This Row],[Work Completion time on fault]]-TA[[#This Row],[Fault Time]])*24,"")</f>
        <v>0</v>
      </c>
      <c r="AE1622" t="s">
        <v>319</v>
      </c>
      <c r="AF1622" t="s">
        <v>247</v>
      </c>
      <c r="AG1622" s="2"/>
      <c r="AH1622" s="35">
        <f>1-COS(RADIANS(TA[[#This Row],[Avg. Target Angle during Fault Time (Radians)]]-TA[[#This Row],[Angle of affected equipment ]]))</f>
        <v>0.11705240714107301</v>
      </c>
      <c r="AI1622" s="27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43">
        <f t="shared" si="203"/>
        <v>2026</v>
      </c>
      <c r="C1623" s="116">
        <f t="shared" si="204"/>
        <v>2025</v>
      </c>
      <c r="D1623" s="2" t="s">
        <v>155</v>
      </c>
      <c r="E1623" s="2" t="s">
        <v>155</v>
      </c>
      <c r="F1623" s="30">
        <v>45839</v>
      </c>
      <c r="G1623" s="2">
        <f>DAY(EOMONTH(TA[[#This Row],[Month Year]],0))</f>
        <v>31</v>
      </c>
      <c r="H1623" s="21">
        <v>45861</v>
      </c>
      <c r="I1623" s="32">
        <f>IFERROR(VLOOKUP(TA[[#This Row],[Date]],Raw_Data[[Date]:[Sunset Time (POA&lt;20 W/m2)]],3,0),"")</f>
        <v>0.27152777777777776</v>
      </c>
      <c r="J1623" s="32">
        <f>IFERROR(VLOOKUP(TA[[#This Row],[Date]],Raw_Data[[Date]:[Sunset Time (POA&lt;20 W/m2)]],4,0),"")</f>
        <v>0.77361111111111114</v>
      </c>
      <c r="K1623" s="27">
        <f>IFERROR((TA[[#This Row],[Sunset Time (POA&lt;20 W/m2)]]-TA[[#This Row],[Sunrise Time (POA&gt;20 W/m2)]])*24,"")</f>
        <v>12.050000000000002</v>
      </c>
      <c r="L1623" s="2" t="s">
        <v>287</v>
      </c>
      <c r="M1623" s="33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314</v>
      </c>
      <c r="Q1623" s="2" t="s">
        <v>320</v>
      </c>
      <c r="R1623">
        <v>45</v>
      </c>
      <c r="S1623" s="2">
        <v>8</v>
      </c>
      <c r="T1623" t="s">
        <v>288</v>
      </c>
      <c r="U1623" t="s">
        <v>291</v>
      </c>
      <c r="V1623" t="s">
        <v>292</v>
      </c>
      <c r="W1623" s="32"/>
      <c r="X1623" s="32"/>
      <c r="Y1623" s="26"/>
      <c r="Z1623" s="26"/>
      <c r="AA1623" s="27">
        <f>IF(TA[[#This Row],[Work Start time on Fault]]="NA","",(TA[[#This Row],[Fault Acknowledgement Time ]]-TA[[#This Row],[Fault Time]])*24)</f>
        <v>0</v>
      </c>
      <c r="AB1623" s="27">
        <f>(TA[[#This Row],[Work Start time on Fault]]-TA[[#This Row],[Fault Time]])*24</f>
        <v>0</v>
      </c>
      <c r="AC1623" s="26">
        <f>(TA[[#This Row],[Work Completion time on fault]]-TA[[#This Row],[Fault Time]])*24</f>
        <v>0</v>
      </c>
      <c r="AD1623" s="27">
        <f>IFERROR((TA[[#This Row],[Work Completion time on fault]]-TA[[#This Row],[Fault Time]])*24,"")</f>
        <v>0</v>
      </c>
      <c r="AE1623" t="s">
        <v>319</v>
      </c>
      <c r="AF1623" t="s">
        <v>247</v>
      </c>
      <c r="AG1623" s="2"/>
      <c r="AH1623" s="35">
        <f>1-COS(RADIANS(TA[[#This Row],[Avg. Target Angle during Fault Time (Radians)]]-TA[[#This Row],[Angle of affected equipment ]]))</f>
        <v>0.11705240714107301</v>
      </c>
      <c r="AI1623" s="27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43">
        <f t="shared" si="203"/>
        <v>2026</v>
      </c>
      <c r="C1624" s="116">
        <f t="shared" si="204"/>
        <v>2025</v>
      </c>
      <c r="D1624" s="2" t="s">
        <v>155</v>
      </c>
      <c r="E1624" s="2" t="s">
        <v>155</v>
      </c>
      <c r="F1624" s="30">
        <v>45839</v>
      </c>
      <c r="G1624" s="2">
        <f>DAY(EOMONTH(TA[[#This Row],[Month Year]],0))</f>
        <v>31</v>
      </c>
      <c r="H1624" s="21">
        <v>45861</v>
      </c>
      <c r="I1624" s="32">
        <f>IFERROR(VLOOKUP(TA[[#This Row],[Date]],Raw_Data[[Date]:[Sunset Time (POA&lt;20 W/m2)]],3,0),"")</f>
        <v>0.27152777777777776</v>
      </c>
      <c r="J1624" s="32">
        <f>IFERROR(VLOOKUP(TA[[#This Row],[Date]],Raw_Data[[Date]:[Sunset Time (POA&lt;20 W/m2)]],4,0),"")</f>
        <v>0.77361111111111114</v>
      </c>
      <c r="K1624" s="27">
        <f>IFERROR((TA[[#This Row],[Sunset Time (POA&lt;20 W/m2)]]-TA[[#This Row],[Sunrise Time (POA&gt;20 W/m2)]])*24,"")</f>
        <v>12.050000000000002</v>
      </c>
      <c r="L1624" s="2" t="s">
        <v>287</v>
      </c>
      <c r="M1624" s="33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314</v>
      </c>
      <c r="Q1624" s="2" t="s">
        <v>320</v>
      </c>
      <c r="R1624">
        <v>47</v>
      </c>
      <c r="S1624" s="2">
        <v>18</v>
      </c>
      <c r="T1624" t="s">
        <v>288</v>
      </c>
      <c r="U1624" t="s">
        <v>291</v>
      </c>
      <c r="V1624" t="s">
        <v>292</v>
      </c>
      <c r="W1624" s="32"/>
      <c r="X1624" s="32"/>
      <c r="Y1624" s="26"/>
      <c r="Z1624" s="26"/>
      <c r="AA1624" s="27">
        <f>IF(TA[[#This Row],[Work Start time on Fault]]="NA","",(TA[[#This Row],[Fault Acknowledgement Time ]]-TA[[#This Row],[Fault Time]])*24)</f>
        <v>0</v>
      </c>
      <c r="AB1624" s="27">
        <f>(TA[[#This Row],[Work Start time on Fault]]-TA[[#This Row],[Fault Time]])*24</f>
        <v>0</v>
      </c>
      <c r="AC1624" s="26">
        <f>(TA[[#This Row],[Work Completion time on fault]]-TA[[#This Row],[Fault Time]])*24</f>
        <v>0</v>
      </c>
      <c r="AD1624" s="27">
        <f>IFERROR((TA[[#This Row],[Work Completion time on fault]]-TA[[#This Row],[Fault Time]])*24,"")</f>
        <v>0</v>
      </c>
      <c r="AE1624" t="s">
        <v>319</v>
      </c>
      <c r="AF1624" t="s">
        <v>247</v>
      </c>
      <c r="AG1624" s="2"/>
      <c r="AH1624" s="35">
        <f>1-COS(RADIANS(TA[[#This Row],[Avg. Target Angle during Fault Time (Radians)]]-TA[[#This Row],[Angle of affected equipment ]]))</f>
        <v>0.11705240714107301</v>
      </c>
      <c r="AI1624" s="27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43">
        <f t="shared" si="203"/>
        <v>2026</v>
      </c>
      <c r="C1625" s="116">
        <f t="shared" si="204"/>
        <v>2025</v>
      </c>
      <c r="D1625" s="2" t="s">
        <v>155</v>
      </c>
      <c r="E1625" s="2" t="s">
        <v>155</v>
      </c>
      <c r="F1625" s="30">
        <v>45839</v>
      </c>
      <c r="G1625" s="2">
        <f>DAY(EOMONTH(TA[[#This Row],[Month Year]],0))</f>
        <v>31</v>
      </c>
      <c r="H1625" s="21">
        <v>45861</v>
      </c>
      <c r="I1625" s="32">
        <f>IFERROR(VLOOKUP(TA[[#This Row],[Date]],Raw_Data[[Date]:[Sunset Time (POA&lt;20 W/m2)]],3,0),"")</f>
        <v>0.27152777777777776</v>
      </c>
      <c r="J1625" s="32">
        <f>IFERROR(VLOOKUP(TA[[#This Row],[Date]],Raw_Data[[Date]:[Sunset Time (POA&lt;20 W/m2)]],4,0),"")</f>
        <v>0.77361111111111114</v>
      </c>
      <c r="K1625" s="27">
        <f>IFERROR((TA[[#This Row],[Sunset Time (POA&lt;20 W/m2)]]-TA[[#This Row],[Sunrise Time (POA&gt;20 W/m2)]])*24,"")</f>
        <v>12.050000000000002</v>
      </c>
      <c r="L1625" s="2" t="s">
        <v>287</v>
      </c>
      <c r="M1625" s="33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321</v>
      </c>
      <c r="Q1625" s="2" t="s">
        <v>314</v>
      </c>
      <c r="R1625">
        <v>30</v>
      </c>
      <c r="S1625" s="2">
        <v>57</v>
      </c>
      <c r="T1625" t="s">
        <v>288</v>
      </c>
      <c r="U1625" t="s">
        <v>291</v>
      </c>
      <c r="V1625" t="s">
        <v>292</v>
      </c>
      <c r="W1625" s="32"/>
      <c r="X1625" s="32"/>
      <c r="Y1625" s="26"/>
      <c r="Z1625" s="26"/>
      <c r="AA1625" s="27">
        <f>IF(TA[[#This Row],[Work Start time on Fault]]="NA","",(TA[[#This Row],[Fault Acknowledgement Time ]]-TA[[#This Row],[Fault Time]])*24)</f>
        <v>0</v>
      </c>
      <c r="AB1625" s="27">
        <f>(TA[[#This Row],[Work Start time on Fault]]-TA[[#This Row],[Fault Time]])*24</f>
        <v>0</v>
      </c>
      <c r="AC1625" s="26">
        <f>(TA[[#This Row],[Work Completion time on fault]]-TA[[#This Row],[Fault Time]])*24</f>
        <v>0</v>
      </c>
      <c r="AD1625" s="27">
        <f>IFERROR((TA[[#This Row],[Work Completion time on fault]]-TA[[#This Row],[Fault Time]])*24,"")</f>
        <v>0</v>
      </c>
      <c r="AE1625" t="s">
        <v>319</v>
      </c>
      <c r="AF1625" t="s">
        <v>247</v>
      </c>
      <c r="AG1625" s="2"/>
      <c r="AH1625" s="35">
        <f>1-COS(RADIANS(TA[[#This Row],[Avg. Target Angle during Fault Time (Radians)]]-TA[[#This Row],[Angle of affected equipment ]]))</f>
        <v>0.11705240714107301</v>
      </c>
      <c r="AI1625" s="27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43">
        <f t="shared" si="203"/>
        <v>2026</v>
      </c>
      <c r="C1626" s="116">
        <f t="shared" si="204"/>
        <v>2025</v>
      </c>
      <c r="D1626" s="2" t="s">
        <v>155</v>
      </c>
      <c r="E1626" s="2" t="s">
        <v>155</v>
      </c>
      <c r="F1626" s="30">
        <v>45839</v>
      </c>
      <c r="G1626" s="2">
        <f>DAY(EOMONTH(TA[[#This Row],[Month Year]],0))</f>
        <v>31</v>
      </c>
      <c r="H1626" s="21">
        <v>45861</v>
      </c>
      <c r="I1626" s="32">
        <f>IFERROR(VLOOKUP(TA[[#This Row],[Date]],Raw_Data[[Date]:[Sunset Time (POA&lt;20 W/m2)]],3,0),"")</f>
        <v>0.27152777777777776</v>
      </c>
      <c r="J1626" s="32">
        <f>IFERROR(VLOOKUP(TA[[#This Row],[Date]],Raw_Data[[Date]:[Sunset Time (POA&lt;20 W/m2)]],4,0),"")</f>
        <v>0.77361111111111114</v>
      </c>
      <c r="K1626" s="27">
        <f>IFERROR((TA[[#This Row],[Sunset Time (POA&lt;20 W/m2)]]-TA[[#This Row],[Sunrise Time (POA&gt;20 W/m2)]])*24,"")</f>
        <v>12.050000000000002</v>
      </c>
      <c r="L1626" s="2" t="s">
        <v>287</v>
      </c>
      <c r="M1626" s="33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321</v>
      </c>
      <c r="Q1626" s="2" t="s">
        <v>314</v>
      </c>
      <c r="R1626">
        <v>31</v>
      </c>
      <c r="S1626" s="2">
        <v>61</v>
      </c>
      <c r="T1626" t="s">
        <v>288</v>
      </c>
      <c r="U1626" t="s">
        <v>291</v>
      </c>
      <c r="V1626" t="s">
        <v>292</v>
      </c>
      <c r="W1626" s="32"/>
      <c r="X1626" s="32"/>
      <c r="Y1626" s="26"/>
      <c r="Z1626" s="26"/>
      <c r="AA1626" s="27">
        <f>IF(TA[[#This Row],[Work Start time on Fault]]="NA","",(TA[[#This Row],[Fault Acknowledgement Time ]]-TA[[#This Row],[Fault Time]])*24)</f>
        <v>0</v>
      </c>
      <c r="AB1626" s="27">
        <f>(TA[[#This Row],[Work Start time on Fault]]-TA[[#This Row],[Fault Time]])*24</f>
        <v>0</v>
      </c>
      <c r="AC1626" s="26">
        <f>(TA[[#This Row],[Work Completion time on fault]]-TA[[#This Row],[Fault Time]])*24</f>
        <v>0</v>
      </c>
      <c r="AD1626" s="27">
        <f>IFERROR((TA[[#This Row],[Work Completion time on fault]]-TA[[#This Row],[Fault Time]])*24,"")</f>
        <v>0</v>
      </c>
      <c r="AE1626" t="s">
        <v>319</v>
      </c>
      <c r="AF1626" t="s">
        <v>247</v>
      </c>
      <c r="AG1626" s="2"/>
      <c r="AH1626" s="35">
        <f>1-COS(RADIANS(TA[[#This Row],[Avg. Target Angle during Fault Time (Radians)]]-TA[[#This Row],[Angle of affected equipment ]]))</f>
        <v>0.11705240714107301</v>
      </c>
      <c r="AI1626" s="27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43">
        <f t="shared" si="203"/>
        <v>2026</v>
      </c>
      <c r="C1627" s="116">
        <f t="shared" si="204"/>
        <v>2025</v>
      </c>
      <c r="D1627" s="2" t="s">
        <v>155</v>
      </c>
      <c r="E1627" s="2" t="s">
        <v>155</v>
      </c>
      <c r="F1627" s="30">
        <v>45839</v>
      </c>
      <c r="G1627" s="2">
        <f>DAY(EOMONTH(TA[[#This Row],[Month Year]],0))</f>
        <v>31</v>
      </c>
      <c r="H1627" s="21">
        <v>45861</v>
      </c>
      <c r="I1627" s="32">
        <f>IFERROR(VLOOKUP(TA[[#This Row],[Date]],Raw_Data[[Date]:[Sunset Time (POA&lt;20 W/m2)]],3,0),"")</f>
        <v>0.27152777777777776</v>
      </c>
      <c r="J1627" s="32">
        <f>IFERROR(VLOOKUP(TA[[#This Row],[Date]],Raw_Data[[Date]:[Sunset Time (POA&lt;20 W/m2)]],4,0),"")</f>
        <v>0.77361111111111114</v>
      </c>
      <c r="K1627" s="27">
        <f>IFERROR((TA[[#This Row],[Sunset Time (POA&lt;20 W/m2)]]-TA[[#This Row],[Sunrise Time (POA&gt;20 W/m2)]])*24,"")</f>
        <v>12.050000000000002</v>
      </c>
      <c r="L1627" s="2" t="s">
        <v>303</v>
      </c>
      <c r="M1627" s="33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321</v>
      </c>
      <c r="Q1627" s="2" t="s">
        <v>314</v>
      </c>
      <c r="R1627">
        <v>26</v>
      </c>
      <c r="S1627" s="2">
        <v>37</v>
      </c>
      <c r="T1627" t="s">
        <v>288</v>
      </c>
      <c r="U1627" t="s">
        <v>291</v>
      </c>
      <c r="V1627" t="s">
        <v>292</v>
      </c>
      <c r="W1627" s="32"/>
      <c r="X1627" s="32"/>
      <c r="Y1627" s="26"/>
      <c r="Z1627" s="26"/>
      <c r="AA1627" s="27">
        <f>IF(TA[[#This Row],[Work Start time on Fault]]="NA","",(TA[[#This Row],[Fault Acknowledgement Time ]]-TA[[#This Row],[Fault Time]])*24)</f>
        <v>0</v>
      </c>
      <c r="AB1627" s="27">
        <f>(TA[[#This Row],[Work Start time on Fault]]-TA[[#This Row],[Fault Time]])*24</f>
        <v>0</v>
      </c>
      <c r="AC1627" s="26">
        <f>(TA[[#This Row],[Work Completion time on fault]]-TA[[#This Row],[Fault Time]])*24</f>
        <v>0</v>
      </c>
      <c r="AD1627" s="27">
        <f>IFERROR((TA[[#This Row],[Work Completion time on fault]]-TA[[#This Row],[Fault Time]])*24,"")</f>
        <v>0</v>
      </c>
      <c r="AE1627" t="s">
        <v>319</v>
      </c>
      <c r="AF1627" t="s">
        <v>247</v>
      </c>
      <c r="AG1627" s="2"/>
      <c r="AH1627" s="35">
        <f>1-COS(RADIANS(TA[[#This Row],[Avg. Target Angle during Fault Time (Radians)]]-TA[[#This Row],[Angle of affected equipment ]]))</f>
        <v>0.11705240714107301</v>
      </c>
      <c r="AI1627" s="27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43">
        <f t="shared" si="203"/>
        <v>2026</v>
      </c>
      <c r="C1628" s="116">
        <f t="shared" si="204"/>
        <v>2025</v>
      </c>
      <c r="D1628" s="2" t="s">
        <v>155</v>
      </c>
      <c r="E1628" s="2" t="s">
        <v>155</v>
      </c>
      <c r="F1628" s="30">
        <v>45839</v>
      </c>
      <c r="G1628" s="2">
        <f>DAY(EOMONTH(TA[[#This Row],[Month Year]],0))</f>
        <v>31</v>
      </c>
      <c r="H1628" s="21">
        <v>45861</v>
      </c>
      <c r="I1628" s="32">
        <f>IFERROR(VLOOKUP(TA[[#This Row],[Date]],Raw_Data[[Date]:[Sunset Time (POA&lt;20 W/m2)]],3,0),"")</f>
        <v>0.27152777777777776</v>
      </c>
      <c r="J1628" s="32">
        <f>IFERROR(VLOOKUP(TA[[#This Row],[Date]],Raw_Data[[Date]:[Sunset Time (POA&lt;20 W/m2)]],4,0),"")</f>
        <v>0.77361111111111114</v>
      </c>
      <c r="K1628" s="27">
        <f>IFERROR((TA[[#This Row],[Sunset Time (POA&lt;20 W/m2)]]-TA[[#This Row],[Sunrise Time (POA&gt;20 W/m2)]])*24,"")</f>
        <v>12.050000000000002</v>
      </c>
      <c r="L1628" s="2" t="s">
        <v>303</v>
      </c>
      <c r="M1628" s="33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321</v>
      </c>
      <c r="Q1628" s="2" t="s">
        <v>314</v>
      </c>
      <c r="R1628">
        <v>27</v>
      </c>
      <c r="S1628" s="2">
        <v>42</v>
      </c>
      <c r="T1628" t="s">
        <v>288</v>
      </c>
      <c r="U1628" t="s">
        <v>291</v>
      </c>
      <c r="V1628" t="s">
        <v>292</v>
      </c>
      <c r="W1628" s="32">
        <f>IFERROR(VLOOKUP(TA[[#This Row],[Date]],Raw_Data[[Date]:[Sunset Time (POA&lt;20 W/m2)]],3,0),"")</f>
        <v>0.27152777777777776</v>
      </c>
      <c r="X1628" s="32">
        <f>IFERROR(VLOOKUP(TA[[#This Row],[Date]],Raw_Data[[Date]:[Sunset Time (POA&lt;20 W/m2)]],3,0),"")</f>
        <v>0.27152777777777776</v>
      </c>
      <c r="Y1628" s="26"/>
      <c r="Z1628" s="26">
        <v>0.76041666666666663</v>
      </c>
      <c r="AA1628" s="27">
        <f>IF(TA[[#This Row],[Work Start time on Fault]]="NA","",(TA[[#This Row],[Fault Acknowledgement Time ]]-TA[[#This Row],[Fault Time]])*24)</f>
        <v>0</v>
      </c>
      <c r="AB1628" s="27">
        <f>(TA[[#This Row],[Work Start time on Fault]]-TA[[#This Row],[Fault Time]])*24</f>
        <v>-6.5166666666666657</v>
      </c>
      <c r="AC1628" s="26">
        <f>(TA[[#This Row],[Work Completion time on fault]]-TA[[#This Row],[Fault Time]])*24</f>
        <v>11.733333333333333</v>
      </c>
      <c r="AD1628" s="27">
        <f>IFERROR((TA[[#This Row],[Work Completion time on fault]]-TA[[#This Row],[Fault Time]])*24,"")</f>
        <v>11.733333333333333</v>
      </c>
      <c r="AE1628" t="s">
        <v>300</v>
      </c>
      <c r="AF1628" t="s">
        <v>247</v>
      </c>
      <c r="AG1628" s="2"/>
      <c r="AH1628" s="35">
        <f>1-COS(RADIANS(TA[[#This Row],[Avg. Target Angle during Fault Time (Radians)]]-TA[[#This Row],[Angle of affected equipment ]]))</f>
        <v>0.11705240714107301</v>
      </c>
      <c r="AI1628" s="27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43">
        <f t="shared" ref="B1629:B1641" si="205">YEAR(H1629)+IF(MONTH(H1629)&gt;=4,1,0)</f>
        <v>2026</v>
      </c>
      <c r="C1629" s="116">
        <f t="shared" ref="C1629:C1641" si="206">YEAR(H1629)</f>
        <v>2025</v>
      </c>
      <c r="D1629" s="2" t="s">
        <v>155</v>
      </c>
      <c r="E1629" s="2" t="s">
        <v>155</v>
      </c>
      <c r="F1629" s="30">
        <v>45839</v>
      </c>
      <c r="G1629" s="2">
        <f>DAY(EOMONTH(TA[[#This Row],[Month Year]],0))</f>
        <v>31</v>
      </c>
      <c r="H1629" s="21">
        <v>45862</v>
      </c>
      <c r="I1629" s="32">
        <f>IFERROR(VLOOKUP(TA[[#This Row],[Date]],Raw_Data[[Date]:[Sunset Time (POA&lt;20 W/m2)]],3,0),"")</f>
        <v>0.26319444444444445</v>
      </c>
      <c r="J1629" s="32">
        <f>IFERROR(VLOOKUP(TA[[#This Row],[Date]],Raw_Data[[Date]:[Sunset Time (POA&lt;20 W/m2)]],4,0),"")</f>
        <v>0.77083333333333337</v>
      </c>
      <c r="K1629" s="27">
        <f>IFERROR((TA[[#This Row],[Sunset Time (POA&lt;20 W/m2)]]-TA[[#This Row],[Sunrise Time (POA&gt;20 W/m2)]])*24,"")</f>
        <v>12.183333333333335</v>
      </c>
      <c r="L1629" s="2" t="s">
        <v>285</v>
      </c>
      <c r="M1629" s="33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14" t="s">
        <v>309</v>
      </c>
      <c r="Q1629" s="113" t="s">
        <v>309</v>
      </c>
      <c r="R1629">
        <v>131</v>
      </c>
      <c r="S1629" s="2">
        <v>38</v>
      </c>
      <c r="T1629" t="s">
        <v>286</v>
      </c>
      <c r="U1629" t="s">
        <v>291</v>
      </c>
      <c r="V1629" t="s">
        <v>289</v>
      </c>
      <c r="W1629" s="32"/>
      <c r="X1629" s="32"/>
      <c r="Y1629" s="26"/>
      <c r="Z1629" s="26"/>
      <c r="AA1629" s="27">
        <f>IF(TA[[#This Row],[Work Start time on Fault]]="NA","",(TA[[#This Row],[Fault Acknowledgement Time ]]-TA[[#This Row],[Fault Time]])*24)</f>
        <v>0</v>
      </c>
      <c r="AB1629" s="27">
        <f>(TA[[#This Row],[Work Start time on Fault]]-TA[[#This Row],[Fault Time]])*24</f>
        <v>0</v>
      </c>
      <c r="AC1629" s="26">
        <f>(TA[[#This Row],[Work Completion time on fault]]-TA[[#This Row],[Fault Time]])*24</f>
        <v>0</v>
      </c>
      <c r="AD1629" s="27">
        <f>IFERROR((TA[[#This Row],[Work Completion time on fault]]-TA[[#This Row],[Fault Time]])*24,"")</f>
        <v>0</v>
      </c>
      <c r="AE1629" t="s">
        <v>319</v>
      </c>
      <c r="AF1629" t="s">
        <v>247</v>
      </c>
      <c r="AG1629" s="2"/>
      <c r="AH1629" s="35">
        <f>1-COS(RADIANS(TA[[#This Row],[Avg. Target Angle during Fault Time (Radians)]]-TA[[#This Row],[Angle of affected equipment ]]))</f>
        <v>0.11705240714107301</v>
      </c>
      <c r="AI1629" s="27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43">
        <f t="shared" si="205"/>
        <v>2026</v>
      </c>
      <c r="C1630" s="116">
        <f t="shared" si="206"/>
        <v>2025</v>
      </c>
      <c r="D1630" s="2" t="s">
        <v>155</v>
      </c>
      <c r="E1630" s="2" t="s">
        <v>155</v>
      </c>
      <c r="F1630" s="30">
        <v>45839</v>
      </c>
      <c r="G1630" s="2">
        <f>DAY(EOMONTH(TA[[#This Row],[Month Year]],0))</f>
        <v>31</v>
      </c>
      <c r="H1630" s="21">
        <v>45862</v>
      </c>
      <c r="I1630" s="32">
        <f>IFERROR(VLOOKUP(TA[[#This Row],[Date]],Raw_Data[[Date]:[Sunset Time (POA&lt;20 W/m2)]],3,0),"")</f>
        <v>0.26319444444444445</v>
      </c>
      <c r="J1630" s="32">
        <f>IFERROR(VLOOKUP(TA[[#This Row],[Date]],Raw_Data[[Date]:[Sunset Time (POA&lt;20 W/m2)]],4,0),"")</f>
        <v>0.77083333333333337</v>
      </c>
      <c r="K1630" s="27">
        <f>IFERROR((TA[[#This Row],[Sunset Time (POA&lt;20 W/m2)]]-TA[[#This Row],[Sunrise Time (POA&gt;20 W/m2)]])*24,"")</f>
        <v>12.183333333333335</v>
      </c>
      <c r="L1630" s="2" t="s">
        <v>285</v>
      </c>
      <c r="M1630" s="33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14" t="s">
        <v>309</v>
      </c>
      <c r="Q1630" s="113" t="s">
        <v>309</v>
      </c>
      <c r="R1630">
        <v>131</v>
      </c>
      <c r="S1630" s="2">
        <v>39</v>
      </c>
      <c r="T1630" t="s">
        <v>286</v>
      </c>
      <c r="U1630" t="s">
        <v>291</v>
      </c>
      <c r="V1630" t="s">
        <v>289</v>
      </c>
      <c r="W1630" s="32"/>
      <c r="X1630" s="32"/>
      <c r="Y1630" s="26"/>
      <c r="Z1630" s="26"/>
      <c r="AA1630" s="27">
        <f>IF(TA[[#This Row],[Work Start time on Fault]]="NA","",(TA[[#This Row],[Fault Acknowledgement Time ]]-TA[[#This Row],[Fault Time]])*24)</f>
        <v>0</v>
      </c>
      <c r="AB1630" s="27">
        <f>(TA[[#This Row],[Work Start time on Fault]]-TA[[#This Row],[Fault Time]])*24</f>
        <v>0</v>
      </c>
      <c r="AC1630" s="26">
        <f>(TA[[#This Row],[Work Completion time on fault]]-TA[[#This Row],[Fault Time]])*24</f>
        <v>0</v>
      </c>
      <c r="AD1630" s="27">
        <f>IFERROR((TA[[#This Row],[Work Completion time on fault]]-TA[[#This Row],[Fault Time]])*24,"")</f>
        <v>0</v>
      </c>
      <c r="AE1630" t="s">
        <v>319</v>
      </c>
      <c r="AF1630" t="s">
        <v>247</v>
      </c>
      <c r="AG1630" s="2"/>
      <c r="AH1630" s="35">
        <f>1-COS(RADIANS(TA[[#This Row],[Avg. Target Angle during Fault Time (Radians)]]-TA[[#This Row],[Angle of affected equipment ]]))</f>
        <v>0.11705240714107301</v>
      </c>
      <c r="AI1630" s="27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43">
        <f t="shared" si="205"/>
        <v>2026</v>
      </c>
      <c r="C1631" s="116">
        <f t="shared" si="206"/>
        <v>2025</v>
      </c>
      <c r="D1631" s="2" t="s">
        <v>155</v>
      </c>
      <c r="E1631" s="2" t="s">
        <v>155</v>
      </c>
      <c r="F1631" s="30">
        <v>45839</v>
      </c>
      <c r="G1631" s="2">
        <f>DAY(EOMONTH(TA[[#This Row],[Month Year]],0))</f>
        <v>31</v>
      </c>
      <c r="H1631" s="21">
        <v>45862</v>
      </c>
      <c r="I1631" s="32">
        <f>IFERROR(VLOOKUP(TA[[#This Row],[Date]],Raw_Data[[Date]:[Sunset Time (POA&lt;20 W/m2)]],3,0),"")</f>
        <v>0.26319444444444445</v>
      </c>
      <c r="J1631" s="32">
        <f>IFERROR(VLOOKUP(TA[[#This Row],[Date]],Raw_Data[[Date]:[Sunset Time (POA&lt;20 W/m2)]],4,0),"")</f>
        <v>0.77083333333333337</v>
      </c>
      <c r="K1631" s="27">
        <f>IFERROR((TA[[#This Row],[Sunset Time (POA&lt;20 W/m2)]]-TA[[#This Row],[Sunrise Time (POA&gt;20 W/m2)]])*24,"")</f>
        <v>12.183333333333335</v>
      </c>
      <c r="L1631" s="2" t="s">
        <v>287</v>
      </c>
      <c r="M1631" s="33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14" t="s">
        <v>309</v>
      </c>
      <c r="Q1631" s="2" t="s">
        <v>312</v>
      </c>
      <c r="R1631">
        <v>133</v>
      </c>
      <c r="S1631" s="2">
        <v>26</v>
      </c>
      <c r="T1631" t="s">
        <v>288</v>
      </c>
      <c r="U1631" t="s">
        <v>291</v>
      </c>
      <c r="V1631" t="s">
        <v>305</v>
      </c>
      <c r="W1631" s="32">
        <f>IFERROR(VLOOKUP(TA[[#This Row],[Date]],Raw_Data[[Date]:[Sunset Time (POA&lt;20 W/m2)]],3,0),"")</f>
        <v>0.26319444444444445</v>
      </c>
      <c r="X1631" s="32">
        <f>IFERROR(VLOOKUP(TA[[#This Row],[Date]],Raw_Data[[Date]:[Sunset Time (POA&lt;20 W/m2)]],3,0),"")</f>
        <v>0.26319444444444445</v>
      </c>
      <c r="Y1631" s="26"/>
      <c r="Z1631" s="26">
        <v>0.76041666666666663</v>
      </c>
      <c r="AA1631" s="27">
        <f>IF(TA[[#This Row],[Work Start time on Fault]]="NA","",(TA[[#This Row],[Fault Acknowledgement Time ]]-TA[[#This Row],[Fault Time]])*24)</f>
        <v>0</v>
      </c>
      <c r="AB1631" s="27">
        <f>(TA[[#This Row],[Work Start time on Fault]]-TA[[#This Row],[Fault Time]])*24</f>
        <v>-6.3166666666666664</v>
      </c>
      <c r="AC1631" s="26">
        <f>(TA[[#This Row],[Work Completion time on fault]]-TA[[#This Row],[Fault Time]])*24</f>
        <v>11.933333333333332</v>
      </c>
      <c r="AD1631" s="27">
        <f>IFERROR((TA[[#This Row],[Work Completion time on fault]]-TA[[#This Row],[Fault Time]])*24,"")</f>
        <v>11.933333333333332</v>
      </c>
      <c r="AE1631" t="s">
        <v>319</v>
      </c>
      <c r="AF1631" t="s">
        <v>247</v>
      </c>
      <c r="AG1631" s="2"/>
      <c r="AH1631" s="35">
        <f>1-COS(RADIANS(TA[[#This Row],[Avg. Target Angle during Fault Time (Radians)]]-TA[[#This Row],[Angle of affected equipment ]]))</f>
        <v>0.11705240714107301</v>
      </c>
      <c r="AI1631" s="27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43">
        <f t="shared" si="205"/>
        <v>2026</v>
      </c>
      <c r="C1632" s="116">
        <f t="shared" si="206"/>
        <v>2025</v>
      </c>
      <c r="D1632" s="2" t="s">
        <v>155</v>
      </c>
      <c r="E1632" s="2" t="s">
        <v>155</v>
      </c>
      <c r="F1632" s="30">
        <v>45839</v>
      </c>
      <c r="G1632" s="2">
        <f>DAY(EOMONTH(TA[[#This Row],[Month Year]],0))</f>
        <v>31</v>
      </c>
      <c r="H1632" s="21">
        <v>45862</v>
      </c>
      <c r="I1632" s="32">
        <f>IFERROR(VLOOKUP(TA[[#This Row],[Date]],Raw_Data[[Date]:[Sunset Time (POA&lt;20 W/m2)]],3,0),"")</f>
        <v>0.26319444444444445</v>
      </c>
      <c r="J1632" s="32">
        <f>IFERROR(VLOOKUP(TA[[#This Row],[Date]],Raw_Data[[Date]:[Sunset Time (POA&lt;20 W/m2)]],4,0),"")</f>
        <v>0.77083333333333337</v>
      </c>
      <c r="K1632" s="27">
        <f>IFERROR((TA[[#This Row],[Sunset Time (POA&lt;20 W/m2)]]-TA[[#This Row],[Sunrise Time (POA&gt;20 W/m2)]])*24,"")</f>
        <v>12.183333333333335</v>
      </c>
      <c r="L1632" s="2" t="s">
        <v>285</v>
      </c>
      <c r="M1632" s="33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14" t="s">
        <v>307</v>
      </c>
      <c r="Q1632" s="113" t="s">
        <v>308</v>
      </c>
      <c r="R1632">
        <v>7</v>
      </c>
      <c r="S1632" s="2">
        <v>32</v>
      </c>
      <c r="T1632" t="s">
        <v>286</v>
      </c>
      <c r="U1632" t="s">
        <v>291</v>
      </c>
      <c r="V1632" t="s">
        <v>289</v>
      </c>
      <c r="W1632" s="32"/>
      <c r="X1632" s="32"/>
      <c r="Y1632" s="26"/>
      <c r="Z1632" s="26"/>
      <c r="AA1632" s="27">
        <f>IF(TA[[#This Row],[Work Start time on Fault]]="NA","",(TA[[#This Row],[Fault Acknowledgement Time ]]-TA[[#This Row],[Fault Time]])*24)</f>
        <v>0</v>
      </c>
      <c r="AB1632" s="27">
        <f>(TA[[#This Row],[Work Start time on Fault]]-TA[[#This Row],[Fault Time]])*24</f>
        <v>0</v>
      </c>
      <c r="AC1632" s="26">
        <f>(TA[[#This Row],[Work Completion time on fault]]-TA[[#This Row],[Fault Time]])*24</f>
        <v>0</v>
      </c>
      <c r="AD1632" s="27">
        <f>IFERROR((TA[[#This Row],[Work Completion time on fault]]-TA[[#This Row],[Fault Time]])*24,"")</f>
        <v>0</v>
      </c>
      <c r="AE1632" t="s">
        <v>319</v>
      </c>
      <c r="AF1632" t="s">
        <v>247</v>
      </c>
      <c r="AG1632" s="2"/>
      <c r="AH1632" s="35">
        <f>1-COS(RADIANS(TA[[#This Row],[Avg. Target Angle during Fault Time (Radians)]]-TA[[#This Row],[Angle of affected equipment ]]))</f>
        <v>0.11705240714107301</v>
      </c>
      <c r="AI1632" s="27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43">
        <f t="shared" si="205"/>
        <v>2026</v>
      </c>
      <c r="C1633" s="116">
        <f t="shared" si="206"/>
        <v>2025</v>
      </c>
      <c r="D1633" s="2" t="s">
        <v>155</v>
      </c>
      <c r="E1633" s="2" t="s">
        <v>155</v>
      </c>
      <c r="F1633" s="30">
        <v>45839</v>
      </c>
      <c r="G1633" s="2">
        <f>DAY(EOMONTH(TA[[#This Row],[Month Year]],0))</f>
        <v>31</v>
      </c>
      <c r="H1633" s="21">
        <v>45862</v>
      </c>
      <c r="I1633" s="32">
        <f>IFERROR(VLOOKUP(TA[[#This Row],[Date]],Raw_Data[[Date]:[Sunset Time (POA&lt;20 W/m2)]],3,0),"")</f>
        <v>0.26319444444444445</v>
      </c>
      <c r="J1633" s="32">
        <f>IFERROR(VLOOKUP(TA[[#This Row],[Date]],Raw_Data[[Date]:[Sunset Time (POA&lt;20 W/m2)]],4,0),"")</f>
        <v>0.77083333333333337</v>
      </c>
      <c r="K1633" s="27">
        <f>IFERROR((TA[[#This Row],[Sunset Time (POA&lt;20 W/m2)]]-TA[[#This Row],[Sunrise Time (POA&gt;20 W/m2)]])*24,"")</f>
        <v>12.183333333333335</v>
      </c>
      <c r="L1633" s="2" t="s">
        <v>285</v>
      </c>
      <c r="M1633" s="33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14" t="s">
        <v>306</v>
      </c>
      <c r="Q1633" s="113" t="s">
        <v>310</v>
      </c>
      <c r="R1633">
        <v>166</v>
      </c>
      <c r="S1633" s="2">
        <v>91</v>
      </c>
      <c r="T1633" t="s">
        <v>286</v>
      </c>
      <c r="U1633" t="s">
        <v>291</v>
      </c>
      <c r="V1633" t="s">
        <v>289</v>
      </c>
      <c r="W1633" s="32"/>
      <c r="X1633" s="32"/>
      <c r="Y1633" s="26"/>
      <c r="Z1633" s="26"/>
      <c r="AA1633" s="27">
        <f>IF(TA[[#This Row],[Work Start time on Fault]]="NA","",(TA[[#This Row],[Fault Acknowledgement Time ]]-TA[[#This Row],[Fault Time]])*24)</f>
        <v>0</v>
      </c>
      <c r="AB1633" s="27">
        <f>(TA[[#This Row],[Work Start time on Fault]]-TA[[#This Row],[Fault Time]])*24</f>
        <v>0</v>
      </c>
      <c r="AC1633" s="26">
        <f>(TA[[#This Row],[Work Completion time on fault]]-TA[[#This Row],[Fault Time]])*24</f>
        <v>0</v>
      </c>
      <c r="AD1633" s="27">
        <f>IFERROR((TA[[#This Row],[Work Completion time on fault]]-TA[[#This Row],[Fault Time]])*24,"")</f>
        <v>0</v>
      </c>
      <c r="AE1633" t="s">
        <v>319</v>
      </c>
      <c r="AF1633" t="s">
        <v>247</v>
      </c>
      <c r="AG1633" s="2"/>
      <c r="AH1633" s="35">
        <f>1-COS(RADIANS(TA[[#This Row],[Avg. Target Angle during Fault Time (Radians)]]-TA[[#This Row],[Angle of affected equipment ]]))</f>
        <v>0.11705240714107301</v>
      </c>
      <c r="AI1633" s="27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43">
        <f t="shared" si="205"/>
        <v>2026</v>
      </c>
      <c r="C1634" s="116">
        <f t="shared" si="206"/>
        <v>2025</v>
      </c>
      <c r="D1634" s="2" t="s">
        <v>155</v>
      </c>
      <c r="E1634" s="2" t="s">
        <v>155</v>
      </c>
      <c r="F1634" s="30">
        <v>45839</v>
      </c>
      <c r="G1634" s="2">
        <f>DAY(EOMONTH(TA[[#This Row],[Month Year]],0))</f>
        <v>31</v>
      </c>
      <c r="H1634" s="21">
        <v>45862</v>
      </c>
      <c r="I1634" s="32">
        <f>IFERROR(VLOOKUP(TA[[#This Row],[Date]],Raw_Data[[Date]:[Sunset Time (POA&lt;20 W/m2)]],3,0),"")</f>
        <v>0.26319444444444445</v>
      </c>
      <c r="J1634" s="32">
        <f>IFERROR(VLOOKUP(TA[[#This Row],[Date]],Raw_Data[[Date]:[Sunset Time (POA&lt;20 W/m2)]],4,0),"")</f>
        <v>0.77083333333333337</v>
      </c>
      <c r="K1634" s="27">
        <f>IFERROR((TA[[#This Row],[Sunset Time (POA&lt;20 W/m2)]]-TA[[#This Row],[Sunrise Time (POA&gt;20 W/m2)]])*24,"")</f>
        <v>12.183333333333335</v>
      </c>
      <c r="L1634" s="2" t="s">
        <v>285</v>
      </c>
      <c r="M1634" s="33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14" t="s">
        <v>307</v>
      </c>
      <c r="Q1634" s="113" t="s">
        <v>307</v>
      </c>
      <c r="R1634">
        <v>117</v>
      </c>
      <c r="S1634" s="2">
        <v>20</v>
      </c>
      <c r="T1634" t="s">
        <v>286</v>
      </c>
      <c r="U1634" t="s">
        <v>291</v>
      </c>
      <c r="V1634" t="s">
        <v>289</v>
      </c>
      <c r="W1634" s="32"/>
      <c r="X1634" s="32"/>
      <c r="Y1634" s="26"/>
      <c r="Z1634" s="26"/>
      <c r="AA1634" s="27">
        <f>IF(TA[[#This Row],[Work Start time on Fault]]="NA","",(TA[[#This Row],[Fault Acknowledgement Time ]]-TA[[#This Row],[Fault Time]])*24)</f>
        <v>0</v>
      </c>
      <c r="AB1634" s="27">
        <f>(TA[[#This Row],[Work Start time on Fault]]-TA[[#This Row],[Fault Time]])*24</f>
        <v>0</v>
      </c>
      <c r="AC1634" s="26">
        <f>(TA[[#This Row],[Work Completion time on fault]]-TA[[#This Row],[Fault Time]])*24</f>
        <v>0</v>
      </c>
      <c r="AD1634" s="27">
        <f>IFERROR((TA[[#This Row],[Work Completion time on fault]]-TA[[#This Row],[Fault Time]])*24,"")</f>
        <v>0</v>
      </c>
      <c r="AE1634" t="s">
        <v>319</v>
      </c>
      <c r="AF1634" t="s">
        <v>247</v>
      </c>
      <c r="AG1634" s="2"/>
      <c r="AH1634" s="35">
        <f>1-COS(RADIANS(TA[[#This Row],[Avg. Target Angle during Fault Time (Radians)]]-TA[[#This Row],[Angle of affected equipment ]]))</f>
        <v>0.11705240714107301</v>
      </c>
      <c r="AI1634" s="27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43">
        <f t="shared" si="205"/>
        <v>2026</v>
      </c>
      <c r="C1635" s="116">
        <f t="shared" si="206"/>
        <v>2025</v>
      </c>
      <c r="D1635" s="2" t="s">
        <v>155</v>
      </c>
      <c r="E1635" s="2" t="s">
        <v>155</v>
      </c>
      <c r="F1635" s="30">
        <v>45839</v>
      </c>
      <c r="G1635" s="2">
        <f>DAY(EOMONTH(TA[[#This Row],[Month Year]],0))</f>
        <v>31</v>
      </c>
      <c r="H1635" s="21">
        <v>45862</v>
      </c>
      <c r="I1635" s="32">
        <f>IFERROR(VLOOKUP(TA[[#This Row],[Date]],Raw_Data[[Date]:[Sunset Time (POA&lt;20 W/m2)]],3,0),"")</f>
        <v>0.26319444444444445</v>
      </c>
      <c r="J1635" s="32">
        <f>IFERROR(VLOOKUP(TA[[#This Row],[Date]],Raw_Data[[Date]:[Sunset Time (POA&lt;20 W/m2)]],4,0),"")</f>
        <v>0.77083333333333337</v>
      </c>
      <c r="K1635" s="27">
        <f>IFERROR((TA[[#This Row],[Sunset Time (POA&lt;20 W/m2)]]-TA[[#This Row],[Sunrise Time (POA&gt;20 W/m2)]])*24,"")</f>
        <v>12.183333333333335</v>
      </c>
      <c r="L1635" s="2" t="s">
        <v>285</v>
      </c>
      <c r="M1635" s="33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14" t="s">
        <v>307</v>
      </c>
      <c r="Q1635" s="113" t="s">
        <v>307</v>
      </c>
      <c r="R1635">
        <v>118</v>
      </c>
      <c r="S1635" s="2">
        <v>22</v>
      </c>
      <c r="T1635" t="s">
        <v>286</v>
      </c>
      <c r="U1635" t="s">
        <v>291</v>
      </c>
      <c r="V1635" t="s">
        <v>289</v>
      </c>
      <c r="W1635" s="32"/>
      <c r="X1635" s="32"/>
      <c r="Y1635" s="26"/>
      <c r="Z1635" s="26"/>
      <c r="AA1635" s="27">
        <f>IF(TA[[#This Row],[Work Start time on Fault]]="NA","",(TA[[#This Row],[Fault Acknowledgement Time ]]-TA[[#This Row],[Fault Time]])*24)</f>
        <v>0</v>
      </c>
      <c r="AB1635" s="27">
        <f>(TA[[#This Row],[Work Start time on Fault]]-TA[[#This Row],[Fault Time]])*24</f>
        <v>0</v>
      </c>
      <c r="AC1635" s="26">
        <f>(TA[[#This Row],[Work Completion time on fault]]-TA[[#This Row],[Fault Time]])*24</f>
        <v>0</v>
      </c>
      <c r="AD1635" s="27">
        <f>IFERROR((TA[[#This Row],[Work Completion time on fault]]-TA[[#This Row],[Fault Time]])*24,"")</f>
        <v>0</v>
      </c>
      <c r="AE1635" t="s">
        <v>319</v>
      </c>
      <c r="AF1635" t="s">
        <v>247</v>
      </c>
      <c r="AG1635" s="2"/>
      <c r="AH1635" s="35">
        <f>1-COS(RADIANS(TA[[#This Row],[Avg. Target Angle during Fault Time (Radians)]]-TA[[#This Row],[Angle of affected equipment ]]))</f>
        <v>0.11705240714107301</v>
      </c>
      <c r="AI1635" s="27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43">
        <f t="shared" si="205"/>
        <v>2026</v>
      </c>
      <c r="C1636" s="116">
        <f t="shared" si="206"/>
        <v>2025</v>
      </c>
      <c r="D1636" s="2" t="s">
        <v>155</v>
      </c>
      <c r="E1636" s="2" t="s">
        <v>155</v>
      </c>
      <c r="F1636" s="30">
        <v>45839</v>
      </c>
      <c r="G1636" s="2">
        <f>DAY(EOMONTH(TA[[#This Row],[Month Year]],0))</f>
        <v>31</v>
      </c>
      <c r="H1636" s="21">
        <v>45862</v>
      </c>
      <c r="I1636" s="32">
        <f>IFERROR(VLOOKUP(TA[[#This Row],[Date]],Raw_Data[[Date]:[Sunset Time (POA&lt;20 W/m2)]],3,0),"")</f>
        <v>0.26319444444444445</v>
      </c>
      <c r="J1636" s="32">
        <f>IFERROR(VLOOKUP(TA[[#This Row],[Date]],Raw_Data[[Date]:[Sunset Time (POA&lt;20 W/m2)]],4,0),"")</f>
        <v>0.77083333333333337</v>
      </c>
      <c r="K1636" s="27">
        <f>IFERROR((TA[[#This Row],[Sunset Time (POA&lt;20 W/m2)]]-TA[[#This Row],[Sunrise Time (POA&gt;20 W/m2)]])*24,"")</f>
        <v>12.183333333333335</v>
      </c>
      <c r="L1636" s="2" t="s">
        <v>287</v>
      </c>
      <c r="M1636" s="33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314</v>
      </c>
      <c r="Q1636" s="2" t="s">
        <v>320</v>
      </c>
      <c r="R1636">
        <v>45</v>
      </c>
      <c r="S1636" s="2">
        <v>8</v>
      </c>
      <c r="T1636" t="s">
        <v>288</v>
      </c>
      <c r="U1636" t="s">
        <v>291</v>
      </c>
      <c r="V1636" t="s">
        <v>292</v>
      </c>
      <c r="W1636" s="32"/>
      <c r="X1636" s="32"/>
      <c r="Y1636" s="26"/>
      <c r="Z1636" s="26"/>
      <c r="AA1636" s="27">
        <f>IF(TA[[#This Row],[Work Start time on Fault]]="NA","",(TA[[#This Row],[Fault Acknowledgement Time ]]-TA[[#This Row],[Fault Time]])*24)</f>
        <v>0</v>
      </c>
      <c r="AB1636" s="27">
        <f>(TA[[#This Row],[Work Start time on Fault]]-TA[[#This Row],[Fault Time]])*24</f>
        <v>0</v>
      </c>
      <c r="AC1636" s="26">
        <f>(TA[[#This Row],[Work Completion time on fault]]-TA[[#This Row],[Fault Time]])*24</f>
        <v>0</v>
      </c>
      <c r="AD1636" s="27">
        <f>IFERROR((TA[[#This Row],[Work Completion time on fault]]-TA[[#This Row],[Fault Time]])*24,"")</f>
        <v>0</v>
      </c>
      <c r="AE1636" t="s">
        <v>319</v>
      </c>
      <c r="AF1636" t="s">
        <v>247</v>
      </c>
      <c r="AG1636" s="2"/>
      <c r="AH1636" s="35">
        <f>1-COS(RADIANS(TA[[#This Row],[Avg. Target Angle during Fault Time (Radians)]]-TA[[#This Row],[Angle of affected equipment ]]))</f>
        <v>0.11705240714107301</v>
      </c>
      <c r="AI1636" s="27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43">
        <f t="shared" si="205"/>
        <v>2026</v>
      </c>
      <c r="C1637" s="116">
        <f t="shared" si="206"/>
        <v>2025</v>
      </c>
      <c r="D1637" s="2" t="s">
        <v>155</v>
      </c>
      <c r="E1637" s="2" t="s">
        <v>155</v>
      </c>
      <c r="F1637" s="30">
        <v>45839</v>
      </c>
      <c r="G1637" s="2">
        <f>DAY(EOMONTH(TA[[#This Row],[Month Year]],0))</f>
        <v>31</v>
      </c>
      <c r="H1637" s="21">
        <v>45862</v>
      </c>
      <c r="I1637" s="32">
        <f>IFERROR(VLOOKUP(TA[[#This Row],[Date]],Raw_Data[[Date]:[Sunset Time (POA&lt;20 W/m2)]],3,0),"")</f>
        <v>0.26319444444444445</v>
      </c>
      <c r="J1637" s="32">
        <f>IFERROR(VLOOKUP(TA[[#This Row],[Date]],Raw_Data[[Date]:[Sunset Time (POA&lt;20 W/m2)]],4,0),"")</f>
        <v>0.77083333333333337</v>
      </c>
      <c r="K1637" s="27">
        <f>IFERROR((TA[[#This Row],[Sunset Time (POA&lt;20 W/m2)]]-TA[[#This Row],[Sunrise Time (POA&gt;20 W/m2)]])*24,"")</f>
        <v>12.183333333333335</v>
      </c>
      <c r="L1637" s="2" t="s">
        <v>287</v>
      </c>
      <c r="M1637" s="33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314</v>
      </c>
      <c r="Q1637" s="2" t="s">
        <v>320</v>
      </c>
      <c r="R1637">
        <v>47</v>
      </c>
      <c r="S1637" s="2">
        <v>18</v>
      </c>
      <c r="T1637" t="s">
        <v>288</v>
      </c>
      <c r="U1637" t="s">
        <v>291</v>
      </c>
      <c r="V1637" t="s">
        <v>292</v>
      </c>
      <c r="W1637" s="32"/>
      <c r="X1637" s="32"/>
      <c r="Y1637" s="26"/>
      <c r="Z1637" s="26"/>
      <c r="AA1637" s="27">
        <f>IF(TA[[#This Row],[Work Start time on Fault]]="NA","",(TA[[#This Row],[Fault Acknowledgement Time ]]-TA[[#This Row],[Fault Time]])*24)</f>
        <v>0</v>
      </c>
      <c r="AB1637" s="27">
        <f>(TA[[#This Row],[Work Start time on Fault]]-TA[[#This Row],[Fault Time]])*24</f>
        <v>0</v>
      </c>
      <c r="AC1637" s="26">
        <f>(TA[[#This Row],[Work Completion time on fault]]-TA[[#This Row],[Fault Time]])*24</f>
        <v>0</v>
      </c>
      <c r="AD1637" s="27">
        <f>IFERROR((TA[[#This Row],[Work Completion time on fault]]-TA[[#This Row],[Fault Time]])*24,"")</f>
        <v>0</v>
      </c>
      <c r="AE1637" t="s">
        <v>319</v>
      </c>
      <c r="AF1637" t="s">
        <v>247</v>
      </c>
      <c r="AG1637" s="2"/>
      <c r="AH1637" s="35">
        <f>1-COS(RADIANS(TA[[#This Row],[Avg. Target Angle during Fault Time (Radians)]]-TA[[#This Row],[Angle of affected equipment ]]))</f>
        <v>0.11705240714107301</v>
      </c>
      <c r="AI1637" s="27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43">
        <f t="shared" si="205"/>
        <v>2026</v>
      </c>
      <c r="C1638" s="116">
        <f t="shared" si="206"/>
        <v>2025</v>
      </c>
      <c r="D1638" s="2" t="s">
        <v>155</v>
      </c>
      <c r="E1638" s="2" t="s">
        <v>155</v>
      </c>
      <c r="F1638" s="30">
        <v>45839</v>
      </c>
      <c r="G1638" s="2">
        <f>DAY(EOMONTH(TA[[#This Row],[Month Year]],0))</f>
        <v>31</v>
      </c>
      <c r="H1638" s="21">
        <v>45862</v>
      </c>
      <c r="I1638" s="32">
        <f>IFERROR(VLOOKUP(TA[[#This Row],[Date]],Raw_Data[[Date]:[Sunset Time (POA&lt;20 W/m2)]],3,0),"")</f>
        <v>0.26319444444444445</v>
      </c>
      <c r="J1638" s="32">
        <f>IFERROR(VLOOKUP(TA[[#This Row],[Date]],Raw_Data[[Date]:[Sunset Time (POA&lt;20 W/m2)]],4,0),"")</f>
        <v>0.77083333333333337</v>
      </c>
      <c r="K1638" s="27">
        <f>IFERROR((TA[[#This Row],[Sunset Time (POA&lt;20 W/m2)]]-TA[[#This Row],[Sunrise Time (POA&gt;20 W/m2)]])*24,"")</f>
        <v>12.183333333333335</v>
      </c>
      <c r="L1638" s="2" t="s">
        <v>287</v>
      </c>
      <c r="M1638" s="33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321</v>
      </c>
      <c r="Q1638" s="2" t="s">
        <v>314</v>
      </c>
      <c r="R1638">
        <v>30</v>
      </c>
      <c r="S1638" s="2">
        <v>57</v>
      </c>
      <c r="T1638" t="s">
        <v>288</v>
      </c>
      <c r="U1638" t="s">
        <v>291</v>
      </c>
      <c r="V1638" t="s">
        <v>292</v>
      </c>
      <c r="W1638" s="32"/>
      <c r="X1638" s="32"/>
      <c r="Y1638" s="26"/>
      <c r="Z1638" s="26"/>
      <c r="AA1638" s="27">
        <f>IF(TA[[#This Row],[Work Start time on Fault]]="NA","",(TA[[#This Row],[Fault Acknowledgement Time ]]-TA[[#This Row],[Fault Time]])*24)</f>
        <v>0</v>
      </c>
      <c r="AB1638" s="27">
        <f>(TA[[#This Row],[Work Start time on Fault]]-TA[[#This Row],[Fault Time]])*24</f>
        <v>0</v>
      </c>
      <c r="AC1638" s="26">
        <f>(TA[[#This Row],[Work Completion time on fault]]-TA[[#This Row],[Fault Time]])*24</f>
        <v>0</v>
      </c>
      <c r="AD1638" s="27">
        <f>IFERROR((TA[[#This Row],[Work Completion time on fault]]-TA[[#This Row],[Fault Time]])*24,"")</f>
        <v>0</v>
      </c>
      <c r="AE1638" t="s">
        <v>319</v>
      </c>
      <c r="AF1638" t="s">
        <v>247</v>
      </c>
      <c r="AG1638" s="2"/>
      <c r="AH1638" s="35">
        <f>1-COS(RADIANS(TA[[#This Row],[Avg. Target Angle during Fault Time (Radians)]]-TA[[#This Row],[Angle of affected equipment ]]))</f>
        <v>0.11705240714107301</v>
      </c>
      <c r="AI1638" s="27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43">
        <f t="shared" si="205"/>
        <v>2026</v>
      </c>
      <c r="C1639" s="116">
        <f t="shared" si="206"/>
        <v>2025</v>
      </c>
      <c r="D1639" s="2" t="s">
        <v>155</v>
      </c>
      <c r="E1639" s="2" t="s">
        <v>155</v>
      </c>
      <c r="F1639" s="30">
        <v>45839</v>
      </c>
      <c r="G1639" s="2">
        <f>DAY(EOMONTH(TA[[#This Row],[Month Year]],0))</f>
        <v>31</v>
      </c>
      <c r="H1639" s="21">
        <v>45862</v>
      </c>
      <c r="I1639" s="32">
        <f>IFERROR(VLOOKUP(TA[[#This Row],[Date]],Raw_Data[[Date]:[Sunset Time (POA&lt;20 W/m2)]],3,0),"")</f>
        <v>0.26319444444444445</v>
      </c>
      <c r="J1639" s="32">
        <f>IFERROR(VLOOKUP(TA[[#This Row],[Date]],Raw_Data[[Date]:[Sunset Time (POA&lt;20 W/m2)]],4,0),"")</f>
        <v>0.77083333333333337</v>
      </c>
      <c r="K1639" s="27">
        <f>IFERROR((TA[[#This Row],[Sunset Time (POA&lt;20 W/m2)]]-TA[[#This Row],[Sunrise Time (POA&gt;20 W/m2)]])*24,"")</f>
        <v>12.183333333333335</v>
      </c>
      <c r="L1639" s="2" t="s">
        <v>287</v>
      </c>
      <c r="M1639" s="33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321</v>
      </c>
      <c r="Q1639" s="2" t="s">
        <v>314</v>
      </c>
      <c r="R1639">
        <v>31</v>
      </c>
      <c r="S1639" s="2">
        <v>61</v>
      </c>
      <c r="T1639" t="s">
        <v>288</v>
      </c>
      <c r="U1639" t="s">
        <v>291</v>
      </c>
      <c r="V1639" t="s">
        <v>292</v>
      </c>
      <c r="W1639" s="32"/>
      <c r="X1639" s="32"/>
      <c r="Y1639" s="26"/>
      <c r="Z1639" s="26"/>
      <c r="AA1639" s="27">
        <f>IF(TA[[#This Row],[Work Start time on Fault]]="NA","",(TA[[#This Row],[Fault Acknowledgement Time ]]-TA[[#This Row],[Fault Time]])*24)</f>
        <v>0</v>
      </c>
      <c r="AB1639" s="27">
        <f>(TA[[#This Row],[Work Start time on Fault]]-TA[[#This Row],[Fault Time]])*24</f>
        <v>0</v>
      </c>
      <c r="AC1639" s="26">
        <f>(TA[[#This Row],[Work Completion time on fault]]-TA[[#This Row],[Fault Time]])*24</f>
        <v>0</v>
      </c>
      <c r="AD1639" s="27">
        <f>IFERROR((TA[[#This Row],[Work Completion time on fault]]-TA[[#This Row],[Fault Time]])*24,"")</f>
        <v>0</v>
      </c>
      <c r="AE1639" t="s">
        <v>319</v>
      </c>
      <c r="AF1639" t="s">
        <v>247</v>
      </c>
      <c r="AG1639" s="2"/>
      <c r="AH1639" s="35">
        <f>1-COS(RADIANS(TA[[#This Row],[Avg. Target Angle during Fault Time (Radians)]]-TA[[#This Row],[Angle of affected equipment ]]))</f>
        <v>0.11705240714107301</v>
      </c>
      <c r="AI1639" s="27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43">
        <f t="shared" si="205"/>
        <v>2026</v>
      </c>
      <c r="C1640" s="116">
        <f t="shared" si="206"/>
        <v>2025</v>
      </c>
      <c r="D1640" s="2" t="s">
        <v>155</v>
      </c>
      <c r="E1640" s="2" t="s">
        <v>155</v>
      </c>
      <c r="F1640" s="30">
        <v>45839</v>
      </c>
      <c r="G1640" s="2">
        <f>DAY(EOMONTH(TA[[#This Row],[Month Year]],0))</f>
        <v>31</v>
      </c>
      <c r="H1640" s="21">
        <v>45862</v>
      </c>
      <c r="I1640" s="32">
        <f>IFERROR(VLOOKUP(TA[[#This Row],[Date]],Raw_Data[[Date]:[Sunset Time (POA&lt;20 W/m2)]],3,0),"")</f>
        <v>0.26319444444444445</v>
      </c>
      <c r="J1640" s="32">
        <f>IFERROR(VLOOKUP(TA[[#This Row],[Date]],Raw_Data[[Date]:[Sunset Time (POA&lt;20 W/m2)]],4,0),"")</f>
        <v>0.77083333333333337</v>
      </c>
      <c r="K1640" s="27">
        <f>IFERROR((TA[[#This Row],[Sunset Time (POA&lt;20 W/m2)]]-TA[[#This Row],[Sunrise Time (POA&gt;20 W/m2)]])*24,"")</f>
        <v>12.183333333333335</v>
      </c>
      <c r="L1640" s="2" t="s">
        <v>303</v>
      </c>
      <c r="M1640" s="33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321</v>
      </c>
      <c r="Q1640" s="2" t="s">
        <v>314</v>
      </c>
      <c r="R1640">
        <v>26</v>
      </c>
      <c r="S1640" s="2">
        <v>37</v>
      </c>
      <c r="T1640" t="s">
        <v>288</v>
      </c>
      <c r="U1640" t="s">
        <v>291</v>
      </c>
      <c r="V1640" t="s">
        <v>292</v>
      </c>
      <c r="W1640" s="32"/>
      <c r="X1640" s="32"/>
      <c r="Y1640" s="26"/>
      <c r="Z1640" s="26"/>
      <c r="AA1640" s="27">
        <f>IF(TA[[#This Row],[Work Start time on Fault]]="NA","",(TA[[#This Row],[Fault Acknowledgement Time ]]-TA[[#This Row],[Fault Time]])*24)</f>
        <v>0</v>
      </c>
      <c r="AB1640" s="27">
        <f>(TA[[#This Row],[Work Start time on Fault]]-TA[[#This Row],[Fault Time]])*24</f>
        <v>0</v>
      </c>
      <c r="AC1640" s="26">
        <f>(TA[[#This Row],[Work Completion time on fault]]-TA[[#This Row],[Fault Time]])*24</f>
        <v>0</v>
      </c>
      <c r="AD1640" s="27">
        <f>IFERROR((TA[[#This Row],[Work Completion time on fault]]-TA[[#This Row],[Fault Time]])*24,"")</f>
        <v>0</v>
      </c>
      <c r="AE1640" t="s">
        <v>319</v>
      </c>
      <c r="AF1640" t="s">
        <v>247</v>
      </c>
      <c r="AG1640" s="2"/>
      <c r="AH1640" s="35">
        <f>1-COS(RADIANS(TA[[#This Row],[Avg. Target Angle during Fault Time (Radians)]]-TA[[#This Row],[Angle of affected equipment ]]))</f>
        <v>0.11705240714107301</v>
      </c>
      <c r="AI1640" s="27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43">
        <f t="shared" si="205"/>
        <v>2026</v>
      </c>
      <c r="C1641" s="116">
        <f t="shared" si="206"/>
        <v>2025</v>
      </c>
      <c r="D1641" s="2" t="s">
        <v>155</v>
      </c>
      <c r="E1641" s="2" t="s">
        <v>155</v>
      </c>
      <c r="F1641" s="30">
        <v>45839</v>
      </c>
      <c r="G1641" s="2">
        <f>DAY(EOMONTH(TA[[#This Row],[Month Year]],0))</f>
        <v>31</v>
      </c>
      <c r="H1641" s="21">
        <v>45862</v>
      </c>
      <c r="I1641" s="32">
        <f>IFERROR(VLOOKUP(TA[[#This Row],[Date]],Raw_Data[[Date]:[Sunset Time (POA&lt;20 W/m2)]],3,0),"")</f>
        <v>0.26319444444444445</v>
      </c>
      <c r="J1641" s="32">
        <f>IFERROR(VLOOKUP(TA[[#This Row],[Date]],Raw_Data[[Date]:[Sunset Time (POA&lt;20 W/m2)]],4,0),"")</f>
        <v>0.77083333333333337</v>
      </c>
      <c r="K1641" s="27">
        <f>IFERROR((TA[[#This Row],[Sunset Time (POA&lt;20 W/m2)]]-TA[[#This Row],[Sunrise Time (POA&gt;20 W/m2)]])*24,"")</f>
        <v>12.183333333333335</v>
      </c>
      <c r="L1641" s="2" t="s">
        <v>303</v>
      </c>
      <c r="M1641" s="33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321</v>
      </c>
      <c r="Q1641" s="2" t="s">
        <v>314</v>
      </c>
      <c r="R1641">
        <v>27</v>
      </c>
      <c r="S1641" s="2">
        <v>42</v>
      </c>
      <c r="T1641" t="s">
        <v>288</v>
      </c>
      <c r="U1641" t="s">
        <v>291</v>
      </c>
      <c r="V1641" t="s">
        <v>292</v>
      </c>
      <c r="W1641" s="32">
        <f>IFERROR(VLOOKUP(TA[[#This Row],[Date]],Raw_Data[[Date]:[Sunset Time (POA&lt;20 W/m2)]],3,0),"")</f>
        <v>0.26319444444444445</v>
      </c>
      <c r="X1641" s="32">
        <f>IFERROR(VLOOKUP(TA[[#This Row],[Date]],Raw_Data[[Date]:[Sunset Time (POA&lt;20 W/m2)]],3,0),"")</f>
        <v>0.26319444444444445</v>
      </c>
      <c r="Y1641" s="26"/>
      <c r="Z1641" s="26">
        <v>0.76041666666666663</v>
      </c>
      <c r="AA1641" s="27">
        <f>IF(TA[[#This Row],[Work Start time on Fault]]="NA","",(TA[[#This Row],[Fault Acknowledgement Time ]]-TA[[#This Row],[Fault Time]])*24)</f>
        <v>0</v>
      </c>
      <c r="AB1641" s="27">
        <f>(TA[[#This Row],[Work Start time on Fault]]-TA[[#This Row],[Fault Time]])*24</f>
        <v>-6.3166666666666664</v>
      </c>
      <c r="AC1641" s="26">
        <f>(TA[[#This Row],[Work Completion time on fault]]-TA[[#This Row],[Fault Time]])*24</f>
        <v>11.933333333333332</v>
      </c>
      <c r="AD1641" s="27">
        <f>IFERROR((TA[[#This Row],[Work Completion time on fault]]-TA[[#This Row],[Fault Time]])*24,"")</f>
        <v>11.933333333333332</v>
      </c>
      <c r="AE1641" t="s">
        <v>300</v>
      </c>
      <c r="AF1641" t="s">
        <v>247</v>
      </c>
      <c r="AG1641" s="2"/>
      <c r="AH1641" s="35">
        <f>1-COS(RADIANS(TA[[#This Row],[Avg. Target Angle during Fault Time (Radians)]]-TA[[#This Row],[Angle of affected equipment ]]))</f>
        <v>0.11705240714107301</v>
      </c>
      <c r="AI1641" s="27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43">
        <f t="shared" ref="B1642:B1667" si="207">YEAR(H1642)+IF(MONTH(H1642)&gt;=4,1,0)</f>
        <v>2026</v>
      </c>
      <c r="C1642" s="116">
        <f t="shared" ref="C1642:C1667" si="208">YEAR(H1642)</f>
        <v>2025</v>
      </c>
      <c r="D1642" s="2" t="s">
        <v>155</v>
      </c>
      <c r="E1642" s="2" t="s">
        <v>155</v>
      </c>
      <c r="F1642" s="30">
        <v>45839</v>
      </c>
      <c r="G1642" s="2">
        <f>DAY(EOMONTH(TA[[#This Row],[Month Year]],0))</f>
        <v>31</v>
      </c>
      <c r="H1642" s="21">
        <v>45863</v>
      </c>
      <c r="I1642" s="32">
        <f>IFERROR(VLOOKUP(TA[[#This Row],[Date]],Raw_Data[[Date]:[Sunset Time (POA&lt;20 W/m2)]],3,0),"")</f>
        <v>0.26319444444444445</v>
      </c>
      <c r="J1642" s="32">
        <f>IFERROR(VLOOKUP(TA[[#This Row],[Date]],Raw_Data[[Date]:[Sunset Time (POA&lt;20 W/m2)]],4,0),"")</f>
        <v>0.77083333333333337</v>
      </c>
      <c r="K1642" s="27">
        <f>IFERROR((TA[[#This Row],[Sunset Time (POA&lt;20 W/m2)]]-TA[[#This Row],[Sunrise Time (POA&gt;20 W/m2)]])*24,"")</f>
        <v>12.183333333333335</v>
      </c>
      <c r="L1642" s="2" t="s">
        <v>285</v>
      </c>
      <c r="M1642" s="33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14" t="s">
        <v>309</v>
      </c>
      <c r="Q1642" s="113" t="s">
        <v>309</v>
      </c>
      <c r="R1642">
        <v>131</v>
      </c>
      <c r="S1642" s="2">
        <v>38</v>
      </c>
      <c r="T1642" t="s">
        <v>286</v>
      </c>
      <c r="U1642" t="s">
        <v>291</v>
      </c>
      <c r="V1642" t="s">
        <v>289</v>
      </c>
      <c r="W1642" s="32"/>
      <c r="X1642" s="32"/>
      <c r="Y1642" s="26"/>
      <c r="Z1642" s="26"/>
      <c r="AA1642" s="27">
        <f>IF(TA[[#This Row],[Work Start time on Fault]]="NA","",(TA[[#This Row],[Fault Acknowledgement Time ]]-TA[[#This Row],[Fault Time]])*24)</f>
        <v>0</v>
      </c>
      <c r="AB1642" s="27">
        <f>(TA[[#This Row],[Work Start time on Fault]]-TA[[#This Row],[Fault Time]])*24</f>
        <v>0</v>
      </c>
      <c r="AC1642" s="26">
        <f>(TA[[#This Row],[Work Completion time on fault]]-TA[[#This Row],[Fault Time]])*24</f>
        <v>0</v>
      </c>
      <c r="AD1642" s="27">
        <f>IFERROR((TA[[#This Row],[Work Completion time on fault]]-TA[[#This Row],[Fault Time]])*24,"")</f>
        <v>0</v>
      </c>
      <c r="AE1642" t="s">
        <v>319</v>
      </c>
      <c r="AF1642" t="s">
        <v>247</v>
      </c>
      <c r="AG1642" s="2"/>
      <c r="AH1642" s="35">
        <f>1-COS(RADIANS(TA[[#This Row],[Avg. Target Angle during Fault Time (Radians)]]-TA[[#This Row],[Angle of affected equipment ]]))</f>
        <v>0.11705240714107301</v>
      </c>
      <c r="AI1642" s="27">
        <f>IFERROR(TA[[#This Row],[Breakdown Time]]*TA[[#This Row],[Plant Equivalent Weightage]],"")</f>
        <v>0</v>
      </c>
    </row>
    <row r="1643" spans="1:35">
      <c r="A1643" s="2">
        <f t="shared" ref="A1643:A1707" si="209">A1642+1</f>
        <v>1640</v>
      </c>
      <c r="B1643" s="143">
        <f t="shared" si="207"/>
        <v>2026</v>
      </c>
      <c r="C1643" s="116">
        <f t="shared" si="208"/>
        <v>2025</v>
      </c>
      <c r="D1643" s="2" t="s">
        <v>155</v>
      </c>
      <c r="E1643" s="2" t="s">
        <v>155</v>
      </c>
      <c r="F1643" s="30">
        <v>45839</v>
      </c>
      <c r="G1643" s="2">
        <f>DAY(EOMONTH(TA[[#This Row],[Month Year]],0))</f>
        <v>31</v>
      </c>
      <c r="H1643" s="21">
        <v>45863</v>
      </c>
      <c r="I1643" s="32">
        <f>IFERROR(VLOOKUP(TA[[#This Row],[Date]],Raw_Data[[Date]:[Sunset Time (POA&lt;20 W/m2)]],3,0),"")</f>
        <v>0.26319444444444445</v>
      </c>
      <c r="J1643" s="32">
        <f>IFERROR(VLOOKUP(TA[[#This Row],[Date]],Raw_Data[[Date]:[Sunset Time (POA&lt;20 W/m2)]],4,0),"")</f>
        <v>0.77083333333333337</v>
      </c>
      <c r="K1643" s="27">
        <f>IFERROR((TA[[#This Row],[Sunset Time (POA&lt;20 W/m2)]]-TA[[#This Row],[Sunrise Time (POA&gt;20 W/m2)]])*24,"")</f>
        <v>12.183333333333335</v>
      </c>
      <c r="L1643" s="2" t="s">
        <v>285</v>
      </c>
      <c r="M1643" s="33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14" t="s">
        <v>309</v>
      </c>
      <c r="Q1643" s="113" t="s">
        <v>309</v>
      </c>
      <c r="R1643">
        <v>131</v>
      </c>
      <c r="S1643" s="2">
        <v>39</v>
      </c>
      <c r="T1643" t="s">
        <v>286</v>
      </c>
      <c r="U1643" t="s">
        <v>291</v>
      </c>
      <c r="V1643" t="s">
        <v>289</v>
      </c>
      <c r="W1643" s="32"/>
      <c r="X1643" s="32"/>
      <c r="Y1643" s="26"/>
      <c r="Z1643" s="26"/>
      <c r="AA1643" s="27">
        <f>IF(TA[[#This Row],[Work Start time on Fault]]="NA","",(TA[[#This Row],[Fault Acknowledgement Time ]]-TA[[#This Row],[Fault Time]])*24)</f>
        <v>0</v>
      </c>
      <c r="AB1643" s="27">
        <f>(TA[[#This Row],[Work Start time on Fault]]-TA[[#This Row],[Fault Time]])*24</f>
        <v>0</v>
      </c>
      <c r="AC1643" s="26">
        <f>(TA[[#This Row],[Work Completion time on fault]]-TA[[#This Row],[Fault Time]])*24</f>
        <v>0</v>
      </c>
      <c r="AD1643" s="27">
        <f>IFERROR((TA[[#This Row],[Work Completion time on fault]]-TA[[#This Row],[Fault Time]])*24,"")</f>
        <v>0</v>
      </c>
      <c r="AE1643" t="s">
        <v>319</v>
      </c>
      <c r="AF1643" t="s">
        <v>247</v>
      </c>
      <c r="AG1643" s="2"/>
      <c r="AH1643" s="35">
        <f>1-COS(RADIANS(TA[[#This Row],[Avg. Target Angle during Fault Time (Radians)]]-TA[[#This Row],[Angle of affected equipment ]]))</f>
        <v>0.11705240714107301</v>
      </c>
      <c r="AI1643" s="27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43">
        <f t="shared" si="207"/>
        <v>2026</v>
      </c>
      <c r="C1644" s="116">
        <f t="shared" si="208"/>
        <v>2025</v>
      </c>
      <c r="D1644" s="2" t="s">
        <v>155</v>
      </c>
      <c r="E1644" s="2" t="s">
        <v>155</v>
      </c>
      <c r="F1644" s="30">
        <v>45839</v>
      </c>
      <c r="G1644" s="2">
        <f>DAY(EOMONTH(TA[[#This Row],[Month Year]],0))</f>
        <v>31</v>
      </c>
      <c r="H1644" s="21">
        <v>45863</v>
      </c>
      <c r="I1644" s="32">
        <f>IFERROR(VLOOKUP(TA[[#This Row],[Date]],Raw_Data[[Date]:[Sunset Time (POA&lt;20 W/m2)]],3,0),"")</f>
        <v>0.26319444444444445</v>
      </c>
      <c r="J1644" s="32">
        <f>IFERROR(VLOOKUP(TA[[#This Row],[Date]],Raw_Data[[Date]:[Sunset Time (POA&lt;20 W/m2)]],4,0),"")</f>
        <v>0.77083333333333337</v>
      </c>
      <c r="K1644" s="27">
        <f>IFERROR((TA[[#This Row],[Sunset Time (POA&lt;20 W/m2)]]-TA[[#This Row],[Sunrise Time (POA&gt;20 W/m2)]])*24,"")</f>
        <v>12.183333333333335</v>
      </c>
      <c r="L1644" s="2" t="s">
        <v>287</v>
      </c>
      <c r="M1644" s="33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14" t="s">
        <v>309</v>
      </c>
      <c r="Q1644" s="2" t="s">
        <v>312</v>
      </c>
      <c r="R1644">
        <v>133</v>
      </c>
      <c r="S1644" s="2">
        <v>26</v>
      </c>
      <c r="T1644" t="s">
        <v>288</v>
      </c>
      <c r="U1644" t="s">
        <v>291</v>
      </c>
      <c r="V1644" t="s">
        <v>305</v>
      </c>
      <c r="W1644" s="32">
        <f>IFERROR(VLOOKUP(TA[[#This Row],[Date]],Raw_Data[[Date]:[Sunset Time (POA&lt;20 W/m2)]],3,0),"")</f>
        <v>0.26319444444444445</v>
      </c>
      <c r="X1644" s="32">
        <f>IFERROR(VLOOKUP(TA[[#This Row],[Date]],Raw_Data[[Date]:[Sunset Time (POA&lt;20 W/m2)]],3,0),"")</f>
        <v>0.26319444444444445</v>
      </c>
      <c r="Y1644" s="26"/>
      <c r="Z1644" s="26">
        <v>0.76041666666666663</v>
      </c>
      <c r="AA1644" s="27">
        <f>IF(TA[[#This Row],[Work Start time on Fault]]="NA","",(TA[[#This Row],[Fault Acknowledgement Time ]]-TA[[#This Row],[Fault Time]])*24)</f>
        <v>0</v>
      </c>
      <c r="AB1644" s="27">
        <f>(TA[[#This Row],[Work Start time on Fault]]-TA[[#This Row],[Fault Time]])*24</f>
        <v>-6.3166666666666664</v>
      </c>
      <c r="AC1644" s="26">
        <f>(TA[[#This Row],[Work Completion time on fault]]-TA[[#This Row],[Fault Time]])*24</f>
        <v>11.933333333333332</v>
      </c>
      <c r="AD1644" s="27">
        <f>IFERROR((TA[[#This Row],[Work Completion time on fault]]-TA[[#This Row],[Fault Time]])*24,"")</f>
        <v>11.933333333333332</v>
      </c>
      <c r="AE1644" t="s">
        <v>319</v>
      </c>
      <c r="AF1644" t="s">
        <v>247</v>
      </c>
      <c r="AG1644" s="2"/>
      <c r="AH1644" s="35">
        <f>1-COS(RADIANS(TA[[#This Row],[Avg. Target Angle during Fault Time (Radians)]]-TA[[#This Row],[Angle of affected equipment ]]))</f>
        <v>0.11705240714107301</v>
      </c>
      <c r="AI1644" s="27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43">
        <f t="shared" si="207"/>
        <v>2026</v>
      </c>
      <c r="C1645" s="116">
        <f t="shared" si="208"/>
        <v>2025</v>
      </c>
      <c r="D1645" s="2" t="s">
        <v>155</v>
      </c>
      <c r="E1645" s="2" t="s">
        <v>155</v>
      </c>
      <c r="F1645" s="30">
        <v>45839</v>
      </c>
      <c r="G1645" s="2">
        <f>DAY(EOMONTH(TA[[#This Row],[Month Year]],0))</f>
        <v>31</v>
      </c>
      <c r="H1645" s="21">
        <v>45863</v>
      </c>
      <c r="I1645" s="32">
        <f>IFERROR(VLOOKUP(TA[[#This Row],[Date]],Raw_Data[[Date]:[Sunset Time (POA&lt;20 W/m2)]],3,0),"")</f>
        <v>0.26319444444444445</v>
      </c>
      <c r="J1645" s="32">
        <f>IFERROR(VLOOKUP(TA[[#This Row],[Date]],Raw_Data[[Date]:[Sunset Time (POA&lt;20 W/m2)]],4,0),"")</f>
        <v>0.77083333333333337</v>
      </c>
      <c r="K1645" s="27">
        <f>IFERROR((TA[[#This Row],[Sunset Time (POA&lt;20 W/m2)]]-TA[[#This Row],[Sunrise Time (POA&gt;20 W/m2)]])*24,"")</f>
        <v>12.183333333333335</v>
      </c>
      <c r="L1645" s="2" t="s">
        <v>285</v>
      </c>
      <c r="M1645" s="33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14" t="s">
        <v>307</v>
      </c>
      <c r="Q1645" s="113" t="s">
        <v>308</v>
      </c>
      <c r="R1645">
        <v>7</v>
      </c>
      <c r="S1645" s="2">
        <v>32</v>
      </c>
      <c r="T1645" t="s">
        <v>286</v>
      </c>
      <c r="U1645" t="s">
        <v>291</v>
      </c>
      <c r="V1645" t="s">
        <v>289</v>
      </c>
      <c r="W1645" s="32"/>
      <c r="X1645" s="32"/>
      <c r="Y1645" s="26"/>
      <c r="Z1645" s="26"/>
      <c r="AA1645" s="27">
        <f>IF(TA[[#This Row],[Work Start time on Fault]]="NA","",(TA[[#This Row],[Fault Acknowledgement Time ]]-TA[[#This Row],[Fault Time]])*24)</f>
        <v>0</v>
      </c>
      <c r="AB1645" s="27">
        <f>(TA[[#This Row],[Work Start time on Fault]]-TA[[#This Row],[Fault Time]])*24</f>
        <v>0</v>
      </c>
      <c r="AC1645" s="26">
        <f>(TA[[#This Row],[Work Completion time on fault]]-TA[[#This Row],[Fault Time]])*24</f>
        <v>0</v>
      </c>
      <c r="AD1645" s="27">
        <f>IFERROR((TA[[#This Row],[Work Completion time on fault]]-TA[[#This Row],[Fault Time]])*24,"")</f>
        <v>0</v>
      </c>
      <c r="AE1645" t="s">
        <v>319</v>
      </c>
      <c r="AF1645" t="s">
        <v>247</v>
      </c>
      <c r="AG1645" s="2"/>
      <c r="AH1645" s="35">
        <f>1-COS(RADIANS(TA[[#This Row],[Avg. Target Angle during Fault Time (Radians)]]-TA[[#This Row],[Angle of affected equipment ]]))</f>
        <v>0.11705240714107301</v>
      </c>
      <c r="AI1645" s="27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43">
        <f t="shared" si="207"/>
        <v>2026</v>
      </c>
      <c r="C1646" s="116">
        <f t="shared" si="208"/>
        <v>2025</v>
      </c>
      <c r="D1646" s="2" t="s">
        <v>155</v>
      </c>
      <c r="E1646" s="2" t="s">
        <v>155</v>
      </c>
      <c r="F1646" s="30">
        <v>45839</v>
      </c>
      <c r="G1646" s="2">
        <f>DAY(EOMONTH(TA[[#This Row],[Month Year]],0))</f>
        <v>31</v>
      </c>
      <c r="H1646" s="21">
        <v>45863</v>
      </c>
      <c r="I1646" s="32">
        <f>IFERROR(VLOOKUP(TA[[#This Row],[Date]],Raw_Data[[Date]:[Sunset Time (POA&lt;20 W/m2)]],3,0),"")</f>
        <v>0.26319444444444445</v>
      </c>
      <c r="J1646" s="32">
        <f>IFERROR(VLOOKUP(TA[[#This Row],[Date]],Raw_Data[[Date]:[Sunset Time (POA&lt;20 W/m2)]],4,0),"")</f>
        <v>0.77083333333333337</v>
      </c>
      <c r="K1646" s="27">
        <f>IFERROR((TA[[#This Row],[Sunset Time (POA&lt;20 W/m2)]]-TA[[#This Row],[Sunrise Time (POA&gt;20 W/m2)]])*24,"")</f>
        <v>12.183333333333335</v>
      </c>
      <c r="L1646" s="2" t="s">
        <v>285</v>
      </c>
      <c r="M1646" s="33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14" t="s">
        <v>306</v>
      </c>
      <c r="Q1646" s="113" t="s">
        <v>310</v>
      </c>
      <c r="R1646">
        <v>166</v>
      </c>
      <c r="S1646" s="2">
        <v>91</v>
      </c>
      <c r="T1646" t="s">
        <v>286</v>
      </c>
      <c r="U1646" t="s">
        <v>291</v>
      </c>
      <c r="V1646" t="s">
        <v>289</v>
      </c>
      <c r="W1646" s="32"/>
      <c r="X1646" s="32"/>
      <c r="Y1646" s="26"/>
      <c r="Z1646" s="26"/>
      <c r="AA1646" s="27">
        <f>IF(TA[[#This Row],[Work Start time on Fault]]="NA","",(TA[[#This Row],[Fault Acknowledgement Time ]]-TA[[#This Row],[Fault Time]])*24)</f>
        <v>0</v>
      </c>
      <c r="AB1646" s="27">
        <f>(TA[[#This Row],[Work Start time on Fault]]-TA[[#This Row],[Fault Time]])*24</f>
        <v>0</v>
      </c>
      <c r="AC1646" s="26">
        <f>(TA[[#This Row],[Work Completion time on fault]]-TA[[#This Row],[Fault Time]])*24</f>
        <v>0</v>
      </c>
      <c r="AD1646" s="27">
        <f>IFERROR((TA[[#This Row],[Work Completion time on fault]]-TA[[#This Row],[Fault Time]])*24,"")</f>
        <v>0</v>
      </c>
      <c r="AE1646" t="s">
        <v>319</v>
      </c>
      <c r="AF1646" t="s">
        <v>247</v>
      </c>
      <c r="AG1646" s="2"/>
      <c r="AH1646" s="35">
        <f>1-COS(RADIANS(TA[[#This Row],[Avg. Target Angle during Fault Time (Radians)]]-TA[[#This Row],[Angle of affected equipment ]]))</f>
        <v>0.11705240714107301</v>
      </c>
      <c r="AI1646" s="27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43">
        <f t="shared" si="207"/>
        <v>2026</v>
      </c>
      <c r="C1647" s="116">
        <f t="shared" si="208"/>
        <v>2025</v>
      </c>
      <c r="D1647" s="2" t="s">
        <v>155</v>
      </c>
      <c r="E1647" s="2" t="s">
        <v>155</v>
      </c>
      <c r="F1647" s="30">
        <v>45839</v>
      </c>
      <c r="G1647" s="2">
        <f>DAY(EOMONTH(TA[[#This Row],[Month Year]],0))</f>
        <v>31</v>
      </c>
      <c r="H1647" s="21">
        <v>45863</v>
      </c>
      <c r="I1647" s="32">
        <f>IFERROR(VLOOKUP(TA[[#This Row],[Date]],Raw_Data[[Date]:[Sunset Time (POA&lt;20 W/m2)]],3,0),"")</f>
        <v>0.26319444444444445</v>
      </c>
      <c r="J1647" s="32">
        <f>IFERROR(VLOOKUP(TA[[#This Row],[Date]],Raw_Data[[Date]:[Sunset Time (POA&lt;20 W/m2)]],4,0),"")</f>
        <v>0.77083333333333337</v>
      </c>
      <c r="K1647" s="27">
        <f>IFERROR((TA[[#This Row],[Sunset Time (POA&lt;20 W/m2)]]-TA[[#This Row],[Sunrise Time (POA&gt;20 W/m2)]])*24,"")</f>
        <v>12.183333333333335</v>
      </c>
      <c r="L1647" s="2" t="s">
        <v>285</v>
      </c>
      <c r="M1647" s="33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14" t="s">
        <v>307</v>
      </c>
      <c r="Q1647" s="113" t="s">
        <v>307</v>
      </c>
      <c r="R1647">
        <v>117</v>
      </c>
      <c r="S1647" s="2">
        <v>20</v>
      </c>
      <c r="T1647" t="s">
        <v>286</v>
      </c>
      <c r="U1647" t="s">
        <v>291</v>
      </c>
      <c r="V1647" t="s">
        <v>289</v>
      </c>
      <c r="W1647" s="32"/>
      <c r="X1647" s="32"/>
      <c r="Y1647" s="26"/>
      <c r="Z1647" s="26"/>
      <c r="AA1647" s="27">
        <f>IF(TA[[#This Row],[Work Start time on Fault]]="NA","",(TA[[#This Row],[Fault Acknowledgement Time ]]-TA[[#This Row],[Fault Time]])*24)</f>
        <v>0</v>
      </c>
      <c r="AB1647" s="27">
        <f>(TA[[#This Row],[Work Start time on Fault]]-TA[[#This Row],[Fault Time]])*24</f>
        <v>0</v>
      </c>
      <c r="AC1647" s="26">
        <f>(TA[[#This Row],[Work Completion time on fault]]-TA[[#This Row],[Fault Time]])*24</f>
        <v>0</v>
      </c>
      <c r="AD1647" s="27">
        <f>IFERROR((TA[[#This Row],[Work Completion time on fault]]-TA[[#This Row],[Fault Time]])*24,"")</f>
        <v>0</v>
      </c>
      <c r="AE1647" t="s">
        <v>319</v>
      </c>
      <c r="AF1647" t="s">
        <v>247</v>
      </c>
      <c r="AG1647" s="2"/>
      <c r="AH1647" s="35">
        <f>1-COS(RADIANS(TA[[#This Row],[Avg. Target Angle during Fault Time (Radians)]]-TA[[#This Row],[Angle of affected equipment ]]))</f>
        <v>0.11705240714107301</v>
      </c>
      <c r="AI1647" s="27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43">
        <f t="shared" si="207"/>
        <v>2026</v>
      </c>
      <c r="C1648" s="116">
        <f t="shared" si="208"/>
        <v>2025</v>
      </c>
      <c r="D1648" s="2" t="s">
        <v>155</v>
      </c>
      <c r="E1648" s="2" t="s">
        <v>155</v>
      </c>
      <c r="F1648" s="30">
        <v>45839</v>
      </c>
      <c r="G1648" s="2">
        <f>DAY(EOMONTH(TA[[#This Row],[Month Year]],0))</f>
        <v>31</v>
      </c>
      <c r="H1648" s="21">
        <v>45863</v>
      </c>
      <c r="I1648" s="32">
        <f>IFERROR(VLOOKUP(TA[[#This Row],[Date]],Raw_Data[[Date]:[Sunset Time (POA&lt;20 W/m2)]],3,0),"")</f>
        <v>0.26319444444444445</v>
      </c>
      <c r="J1648" s="32">
        <f>IFERROR(VLOOKUP(TA[[#This Row],[Date]],Raw_Data[[Date]:[Sunset Time (POA&lt;20 W/m2)]],4,0),"")</f>
        <v>0.77083333333333337</v>
      </c>
      <c r="K1648" s="27">
        <f>IFERROR((TA[[#This Row],[Sunset Time (POA&lt;20 W/m2)]]-TA[[#This Row],[Sunrise Time (POA&gt;20 W/m2)]])*24,"")</f>
        <v>12.183333333333335</v>
      </c>
      <c r="L1648" s="2" t="s">
        <v>285</v>
      </c>
      <c r="M1648" s="33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14" t="s">
        <v>307</v>
      </c>
      <c r="Q1648" s="113" t="s">
        <v>307</v>
      </c>
      <c r="R1648">
        <v>118</v>
      </c>
      <c r="S1648" s="2">
        <v>22</v>
      </c>
      <c r="T1648" t="s">
        <v>286</v>
      </c>
      <c r="U1648" t="s">
        <v>291</v>
      </c>
      <c r="V1648" t="s">
        <v>289</v>
      </c>
      <c r="W1648" s="32"/>
      <c r="X1648" s="32"/>
      <c r="Y1648" s="26"/>
      <c r="Z1648" s="26"/>
      <c r="AA1648" s="27">
        <f>IF(TA[[#This Row],[Work Start time on Fault]]="NA","",(TA[[#This Row],[Fault Acknowledgement Time ]]-TA[[#This Row],[Fault Time]])*24)</f>
        <v>0</v>
      </c>
      <c r="AB1648" s="27">
        <f>(TA[[#This Row],[Work Start time on Fault]]-TA[[#This Row],[Fault Time]])*24</f>
        <v>0</v>
      </c>
      <c r="AC1648" s="26">
        <f>(TA[[#This Row],[Work Completion time on fault]]-TA[[#This Row],[Fault Time]])*24</f>
        <v>0</v>
      </c>
      <c r="AD1648" s="27">
        <f>IFERROR((TA[[#This Row],[Work Completion time on fault]]-TA[[#This Row],[Fault Time]])*24,"")</f>
        <v>0</v>
      </c>
      <c r="AE1648" t="s">
        <v>319</v>
      </c>
      <c r="AF1648" t="s">
        <v>247</v>
      </c>
      <c r="AG1648" s="2"/>
      <c r="AH1648" s="35">
        <f>1-COS(RADIANS(TA[[#This Row],[Avg. Target Angle during Fault Time (Radians)]]-TA[[#This Row],[Angle of affected equipment ]]))</f>
        <v>0.11705240714107301</v>
      </c>
      <c r="AI1648" s="27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43">
        <f t="shared" si="207"/>
        <v>2026</v>
      </c>
      <c r="C1649" s="116">
        <f t="shared" si="208"/>
        <v>2025</v>
      </c>
      <c r="D1649" s="2" t="s">
        <v>155</v>
      </c>
      <c r="E1649" s="2" t="s">
        <v>155</v>
      </c>
      <c r="F1649" s="30">
        <v>45839</v>
      </c>
      <c r="G1649" s="2">
        <f>DAY(EOMONTH(TA[[#This Row],[Month Year]],0))</f>
        <v>31</v>
      </c>
      <c r="H1649" s="21">
        <v>45863</v>
      </c>
      <c r="I1649" s="32">
        <f>IFERROR(VLOOKUP(TA[[#This Row],[Date]],Raw_Data[[Date]:[Sunset Time (POA&lt;20 W/m2)]],3,0),"")</f>
        <v>0.26319444444444445</v>
      </c>
      <c r="J1649" s="32">
        <f>IFERROR(VLOOKUP(TA[[#This Row],[Date]],Raw_Data[[Date]:[Sunset Time (POA&lt;20 W/m2)]],4,0),"")</f>
        <v>0.77083333333333337</v>
      </c>
      <c r="K1649" s="27">
        <f>IFERROR((TA[[#This Row],[Sunset Time (POA&lt;20 W/m2)]]-TA[[#This Row],[Sunrise Time (POA&gt;20 W/m2)]])*24,"")</f>
        <v>12.183333333333335</v>
      </c>
      <c r="L1649" s="2" t="s">
        <v>287</v>
      </c>
      <c r="M1649" s="33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314</v>
      </c>
      <c r="Q1649" s="2" t="s">
        <v>320</v>
      </c>
      <c r="R1649">
        <v>45</v>
      </c>
      <c r="S1649" s="2">
        <v>8</v>
      </c>
      <c r="T1649" t="s">
        <v>288</v>
      </c>
      <c r="U1649" t="s">
        <v>291</v>
      </c>
      <c r="V1649" t="s">
        <v>292</v>
      </c>
      <c r="W1649" s="32"/>
      <c r="X1649" s="32"/>
      <c r="Y1649" s="26"/>
      <c r="Z1649" s="26"/>
      <c r="AA1649" s="27">
        <f>IF(TA[[#This Row],[Work Start time on Fault]]="NA","",(TA[[#This Row],[Fault Acknowledgement Time ]]-TA[[#This Row],[Fault Time]])*24)</f>
        <v>0</v>
      </c>
      <c r="AB1649" s="27">
        <f>(TA[[#This Row],[Work Start time on Fault]]-TA[[#This Row],[Fault Time]])*24</f>
        <v>0</v>
      </c>
      <c r="AC1649" s="26">
        <f>(TA[[#This Row],[Work Completion time on fault]]-TA[[#This Row],[Fault Time]])*24</f>
        <v>0</v>
      </c>
      <c r="AD1649" s="27">
        <f>IFERROR((TA[[#This Row],[Work Completion time on fault]]-TA[[#This Row],[Fault Time]])*24,"")</f>
        <v>0</v>
      </c>
      <c r="AE1649" t="s">
        <v>319</v>
      </c>
      <c r="AF1649" t="s">
        <v>247</v>
      </c>
      <c r="AG1649" s="2"/>
      <c r="AH1649" s="35">
        <f>1-COS(RADIANS(TA[[#This Row],[Avg. Target Angle during Fault Time (Radians)]]-TA[[#This Row],[Angle of affected equipment ]]))</f>
        <v>0.11705240714107301</v>
      </c>
      <c r="AI1649" s="27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43">
        <f t="shared" si="207"/>
        <v>2026</v>
      </c>
      <c r="C1650" s="116">
        <f t="shared" si="208"/>
        <v>2025</v>
      </c>
      <c r="D1650" s="2" t="s">
        <v>155</v>
      </c>
      <c r="E1650" s="2" t="s">
        <v>155</v>
      </c>
      <c r="F1650" s="30">
        <v>45839</v>
      </c>
      <c r="G1650" s="2">
        <f>DAY(EOMONTH(TA[[#This Row],[Month Year]],0))</f>
        <v>31</v>
      </c>
      <c r="H1650" s="21">
        <v>45863</v>
      </c>
      <c r="I1650" s="32">
        <f>IFERROR(VLOOKUP(TA[[#This Row],[Date]],Raw_Data[[Date]:[Sunset Time (POA&lt;20 W/m2)]],3,0),"")</f>
        <v>0.26319444444444445</v>
      </c>
      <c r="J1650" s="32">
        <f>IFERROR(VLOOKUP(TA[[#This Row],[Date]],Raw_Data[[Date]:[Sunset Time (POA&lt;20 W/m2)]],4,0),"")</f>
        <v>0.77083333333333337</v>
      </c>
      <c r="K1650" s="27">
        <f>IFERROR((TA[[#This Row],[Sunset Time (POA&lt;20 W/m2)]]-TA[[#This Row],[Sunrise Time (POA&gt;20 W/m2)]])*24,"")</f>
        <v>12.183333333333335</v>
      </c>
      <c r="L1650" s="2" t="s">
        <v>287</v>
      </c>
      <c r="M1650" s="33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314</v>
      </c>
      <c r="Q1650" s="2" t="s">
        <v>320</v>
      </c>
      <c r="R1650">
        <v>47</v>
      </c>
      <c r="S1650" s="2">
        <v>18</v>
      </c>
      <c r="T1650" t="s">
        <v>288</v>
      </c>
      <c r="U1650" t="s">
        <v>291</v>
      </c>
      <c r="V1650" t="s">
        <v>292</v>
      </c>
      <c r="W1650" s="32"/>
      <c r="X1650" s="32"/>
      <c r="Y1650" s="26"/>
      <c r="Z1650" s="26"/>
      <c r="AA1650" s="27">
        <f>IF(TA[[#This Row],[Work Start time on Fault]]="NA","",(TA[[#This Row],[Fault Acknowledgement Time ]]-TA[[#This Row],[Fault Time]])*24)</f>
        <v>0</v>
      </c>
      <c r="AB1650" s="27">
        <f>(TA[[#This Row],[Work Start time on Fault]]-TA[[#This Row],[Fault Time]])*24</f>
        <v>0</v>
      </c>
      <c r="AC1650" s="26">
        <f>(TA[[#This Row],[Work Completion time on fault]]-TA[[#This Row],[Fault Time]])*24</f>
        <v>0</v>
      </c>
      <c r="AD1650" s="27">
        <f>IFERROR((TA[[#This Row],[Work Completion time on fault]]-TA[[#This Row],[Fault Time]])*24,"")</f>
        <v>0</v>
      </c>
      <c r="AE1650" t="s">
        <v>319</v>
      </c>
      <c r="AF1650" t="s">
        <v>247</v>
      </c>
      <c r="AG1650" s="2"/>
      <c r="AH1650" s="35">
        <f>1-COS(RADIANS(TA[[#This Row],[Avg. Target Angle during Fault Time (Radians)]]-TA[[#This Row],[Angle of affected equipment ]]))</f>
        <v>0.11705240714107301</v>
      </c>
      <c r="AI1650" s="27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43">
        <f t="shared" si="207"/>
        <v>2026</v>
      </c>
      <c r="C1651" s="116">
        <f t="shared" si="208"/>
        <v>2025</v>
      </c>
      <c r="D1651" s="2" t="s">
        <v>155</v>
      </c>
      <c r="E1651" s="2" t="s">
        <v>155</v>
      </c>
      <c r="F1651" s="30">
        <v>45839</v>
      </c>
      <c r="G1651" s="2">
        <f>DAY(EOMONTH(TA[[#This Row],[Month Year]],0))</f>
        <v>31</v>
      </c>
      <c r="H1651" s="21">
        <v>45863</v>
      </c>
      <c r="I1651" s="32">
        <f>IFERROR(VLOOKUP(TA[[#This Row],[Date]],Raw_Data[[Date]:[Sunset Time (POA&lt;20 W/m2)]],3,0),"")</f>
        <v>0.26319444444444445</v>
      </c>
      <c r="J1651" s="32">
        <f>IFERROR(VLOOKUP(TA[[#This Row],[Date]],Raw_Data[[Date]:[Sunset Time (POA&lt;20 W/m2)]],4,0),"")</f>
        <v>0.77083333333333337</v>
      </c>
      <c r="K1651" s="27">
        <f>IFERROR((TA[[#This Row],[Sunset Time (POA&lt;20 W/m2)]]-TA[[#This Row],[Sunrise Time (POA&gt;20 W/m2)]])*24,"")</f>
        <v>12.183333333333335</v>
      </c>
      <c r="L1651" s="2" t="s">
        <v>287</v>
      </c>
      <c r="M1651" s="33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321</v>
      </c>
      <c r="Q1651" s="2" t="s">
        <v>314</v>
      </c>
      <c r="R1651">
        <v>30</v>
      </c>
      <c r="S1651" s="2">
        <v>57</v>
      </c>
      <c r="T1651" t="s">
        <v>288</v>
      </c>
      <c r="U1651" t="s">
        <v>291</v>
      </c>
      <c r="V1651" t="s">
        <v>292</v>
      </c>
      <c r="W1651" s="32"/>
      <c r="X1651" s="32"/>
      <c r="Y1651" s="26"/>
      <c r="Z1651" s="26"/>
      <c r="AA1651" s="27">
        <f>IF(TA[[#This Row],[Work Start time on Fault]]="NA","",(TA[[#This Row],[Fault Acknowledgement Time ]]-TA[[#This Row],[Fault Time]])*24)</f>
        <v>0</v>
      </c>
      <c r="AB1651" s="27">
        <f>(TA[[#This Row],[Work Start time on Fault]]-TA[[#This Row],[Fault Time]])*24</f>
        <v>0</v>
      </c>
      <c r="AC1651" s="26">
        <f>(TA[[#This Row],[Work Completion time on fault]]-TA[[#This Row],[Fault Time]])*24</f>
        <v>0</v>
      </c>
      <c r="AD1651" s="27">
        <f>IFERROR((TA[[#This Row],[Work Completion time on fault]]-TA[[#This Row],[Fault Time]])*24,"")</f>
        <v>0</v>
      </c>
      <c r="AE1651" t="s">
        <v>319</v>
      </c>
      <c r="AF1651" t="s">
        <v>247</v>
      </c>
      <c r="AG1651" s="2"/>
      <c r="AH1651" s="35">
        <f>1-COS(RADIANS(TA[[#This Row],[Avg. Target Angle during Fault Time (Radians)]]-TA[[#This Row],[Angle of affected equipment ]]))</f>
        <v>0.11705240714107301</v>
      </c>
      <c r="AI1651" s="27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43">
        <f t="shared" si="207"/>
        <v>2026</v>
      </c>
      <c r="C1652" s="116">
        <f t="shared" si="208"/>
        <v>2025</v>
      </c>
      <c r="D1652" s="2" t="s">
        <v>155</v>
      </c>
      <c r="E1652" s="2" t="s">
        <v>155</v>
      </c>
      <c r="F1652" s="30">
        <v>45839</v>
      </c>
      <c r="G1652" s="2">
        <f>DAY(EOMONTH(TA[[#This Row],[Month Year]],0))</f>
        <v>31</v>
      </c>
      <c r="H1652" s="21">
        <v>45863</v>
      </c>
      <c r="I1652" s="32">
        <f>IFERROR(VLOOKUP(TA[[#This Row],[Date]],Raw_Data[[Date]:[Sunset Time (POA&lt;20 W/m2)]],3,0),"")</f>
        <v>0.26319444444444445</v>
      </c>
      <c r="J1652" s="32">
        <f>IFERROR(VLOOKUP(TA[[#This Row],[Date]],Raw_Data[[Date]:[Sunset Time (POA&lt;20 W/m2)]],4,0),"")</f>
        <v>0.77083333333333337</v>
      </c>
      <c r="K1652" s="27">
        <f>IFERROR((TA[[#This Row],[Sunset Time (POA&lt;20 W/m2)]]-TA[[#This Row],[Sunrise Time (POA&gt;20 W/m2)]])*24,"")</f>
        <v>12.183333333333335</v>
      </c>
      <c r="L1652" s="2" t="s">
        <v>287</v>
      </c>
      <c r="M1652" s="33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321</v>
      </c>
      <c r="Q1652" s="2" t="s">
        <v>314</v>
      </c>
      <c r="R1652">
        <v>31</v>
      </c>
      <c r="S1652" s="2">
        <v>61</v>
      </c>
      <c r="T1652" t="s">
        <v>288</v>
      </c>
      <c r="U1652" t="s">
        <v>291</v>
      </c>
      <c r="V1652" t="s">
        <v>292</v>
      </c>
      <c r="W1652" s="32"/>
      <c r="X1652" s="32"/>
      <c r="Y1652" s="26"/>
      <c r="Z1652" s="26"/>
      <c r="AA1652" s="27">
        <f>IF(TA[[#This Row],[Work Start time on Fault]]="NA","",(TA[[#This Row],[Fault Acknowledgement Time ]]-TA[[#This Row],[Fault Time]])*24)</f>
        <v>0</v>
      </c>
      <c r="AB1652" s="27">
        <f>(TA[[#This Row],[Work Start time on Fault]]-TA[[#This Row],[Fault Time]])*24</f>
        <v>0</v>
      </c>
      <c r="AC1652" s="26">
        <f>(TA[[#This Row],[Work Completion time on fault]]-TA[[#This Row],[Fault Time]])*24</f>
        <v>0</v>
      </c>
      <c r="AD1652" s="27">
        <f>IFERROR((TA[[#This Row],[Work Completion time on fault]]-TA[[#This Row],[Fault Time]])*24,"")</f>
        <v>0</v>
      </c>
      <c r="AE1652" t="s">
        <v>319</v>
      </c>
      <c r="AF1652" t="s">
        <v>247</v>
      </c>
      <c r="AG1652" s="2"/>
      <c r="AH1652" s="35">
        <f>1-COS(RADIANS(TA[[#This Row],[Avg. Target Angle during Fault Time (Radians)]]-TA[[#This Row],[Angle of affected equipment ]]))</f>
        <v>0.11705240714107301</v>
      </c>
      <c r="AI1652" s="27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43">
        <f t="shared" si="207"/>
        <v>2026</v>
      </c>
      <c r="C1653" s="116">
        <f t="shared" si="208"/>
        <v>2025</v>
      </c>
      <c r="D1653" s="2" t="s">
        <v>155</v>
      </c>
      <c r="E1653" s="2" t="s">
        <v>155</v>
      </c>
      <c r="F1653" s="30">
        <v>45839</v>
      </c>
      <c r="G1653" s="2">
        <f>DAY(EOMONTH(TA[[#This Row],[Month Year]],0))</f>
        <v>31</v>
      </c>
      <c r="H1653" s="21">
        <v>45863</v>
      </c>
      <c r="I1653" s="32">
        <f>IFERROR(VLOOKUP(TA[[#This Row],[Date]],Raw_Data[[Date]:[Sunset Time (POA&lt;20 W/m2)]],3,0),"")</f>
        <v>0.26319444444444445</v>
      </c>
      <c r="J1653" s="32">
        <f>IFERROR(VLOOKUP(TA[[#This Row],[Date]],Raw_Data[[Date]:[Sunset Time (POA&lt;20 W/m2)]],4,0),"")</f>
        <v>0.77083333333333337</v>
      </c>
      <c r="K1653" s="27">
        <f>IFERROR((TA[[#This Row],[Sunset Time (POA&lt;20 W/m2)]]-TA[[#This Row],[Sunrise Time (POA&gt;20 W/m2)]])*24,"")</f>
        <v>12.183333333333335</v>
      </c>
      <c r="L1653" s="2" t="s">
        <v>303</v>
      </c>
      <c r="M1653" s="33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321</v>
      </c>
      <c r="Q1653" s="2" t="s">
        <v>314</v>
      </c>
      <c r="R1653">
        <v>26</v>
      </c>
      <c r="S1653" s="2">
        <v>37</v>
      </c>
      <c r="T1653" t="s">
        <v>288</v>
      </c>
      <c r="U1653" t="s">
        <v>291</v>
      </c>
      <c r="V1653" t="s">
        <v>292</v>
      </c>
      <c r="W1653" s="32"/>
      <c r="X1653" s="32"/>
      <c r="Y1653" s="26"/>
      <c r="Z1653" s="26"/>
      <c r="AA1653" s="27">
        <f>IF(TA[[#This Row],[Work Start time on Fault]]="NA","",(TA[[#This Row],[Fault Acknowledgement Time ]]-TA[[#This Row],[Fault Time]])*24)</f>
        <v>0</v>
      </c>
      <c r="AB1653" s="27">
        <f>(TA[[#This Row],[Work Start time on Fault]]-TA[[#This Row],[Fault Time]])*24</f>
        <v>0</v>
      </c>
      <c r="AC1653" s="26">
        <f>(TA[[#This Row],[Work Completion time on fault]]-TA[[#This Row],[Fault Time]])*24</f>
        <v>0</v>
      </c>
      <c r="AD1653" s="27">
        <f>IFERROR((TA[[#This Row],[Work Completion time on fault]]-TA[[#This Row],[Fault Time]])*24,"")</f>
        <v>0</v>
      </c>
      <c r="AE1653" t="s">
        <v>319</v>
      </c>
      <c r="AF1653" t="s">
        <v>247</v>
      </c>
      <c r="AG1653" s="2"/>
      <c r="AH1653" s="35">
        <f>1-COS(RADIANS(TA[[#This Row],[Avg. Target Angle during Fault Time (Radians)]]-TA[[#This Row],[Angle of affected equipment ]]))</f>
        <v>0.11705240714107301</v>
      </c>
      <c r="AI1653" s="27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43">
        <f t="shared" si="207"/>
        <v>2026</v>
      </c>
      <c r="C1654" s="116">
        <f t="shared" si="208"/>
        <v>2025</v>
      </c>
      <c r="D1654" s="2" t="s">
        <v>155</v>
      </c>
      <c r="E1654" s="2" t="s">
        <v>155</v>
      </c>
      <c r="F1654" s="30">
        <v>45839</v>
      </c>
      <c r="G1654" s="2">
        <f>DAY(EOMONTH(TA[[#This Row],[Month Year]],0))</f>
        <v>31</v>
      </c>
      <c r="H1654" s="21">
        <v>45863</v>
      </c>
      <c r="I1654" s="32">
        <f>IFERROR(VLOOKUP(TA[[#This Row],[Date]],Raw_Data[[Date]:[Sunset Time (POA&lt;20 W/m2)]],3,0),"")</f>
        <v>0.26319444444444445</v>
      </c>
      <c r="J1654" s="32">
        <f>IFERROR(VLOOKUP(TA[[#This Row],[Date]],Raw_Data[[Date]:[Sunset Time (POA&lt;20 W/m2)]],4,0),"")</f>
        <v>0.77083333333333337</v>
      </c>
      <c r="K1654" s="27">
        <f>IFERROR((TA[[#This Row],[Sunset Time (POA&lt;20 W/m2)]]-TA[[#This Row],[Sunrise Time (POA&gt;20 W/m2)]])*24,"")</f>
        <v>12.183333333333335</v>
      </c>
      <c r="L1654" s="2" t="s">
        <v>303</v>
      </c>
      <c r="M1654" s="33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321</v>
      </c>
      <c r="Q1654" s="2" t="s">
        <v>314</v>
      </c>
      <c r="R1654">
        <v>27</v>
      </c>
      <c r="S1654" s="2">
        <v>42</v>
      </c>
      <c r="T1654" t="s">
        <v>288</v>
      </c>
      <c r="U1654" t="s">
        <v>291</v>
      </c>
      <c r="V1654" t="s">
        <v>292</v>
      </c>
      <c r="W1654" s="32">
        <f>IFERROR(VLOOKUP(TA[[#This Row],[Date]],Raw_Data[[Date]:[Sunset Time (POA&lt;20 W/m2)]],3,0),"")</f>
        <v>0.26319444444444445</v>
      </c>
      <c r="X1654" s="32">
        <f>IFERROR(VLOOKUP(TA[[#This Row],[Date]],Raw_Data[[Date]:[Sunset Time (POA&lt;20 W/m2)]],3,0),"")</f>
        <v>0.26319444444444445</v>
      </c>
      <c r="Y1654" s="26"/>
      <c r="Z1654" s="26">
        <v>0.76041666666666663</v>
      </c>
      <c r="AA1654" s="27">
        <f>IF(TA[[#This Row],[Work Start time on Fault]]="NA","",(TA[[#This Row],[Fault Acknowledgement Time ]]-TA[[#This Row],[Fault Time]])*24)</f>
        <v>0</v>
      </c>
      <c r="AB1654" s="27">
        <f>(TA[[#This Row],[Work Start time on Fault]]-TA[[#This Row],[Fault Time]])*24</f>
        <v>-6.3166666666666664</v>
      </c>
      <c r="AC1654" s="26">
        <f>(TA[[#This Row],[Work Completion time on fault]]-TA[[#This Row],[Fault Time]])*24</f>
        <v>11.933333333333332</v>
      </c>
      <c r="AD1654" s="27">
        <f>IFERROR((TA[[#This Row],[Work Completion time on fault]]-TA[[#This Row],[Fault Time]])*24,"")</f>
        <v>11.933333333333332</v>
      </c>
      <c r="AE1654" t="s">
        <v>300</v>
      </c>
      <c r="AF1654" t="s">
        <v>247</v>
      </c>
      <c r="AG1654" s="2"/>
      <c r="AH1654" s="35">
        <f>1-COS(RADIANS(TA[[#This Row],[Avg. Target Angle during Fault Time (Radians)]]-TA[[#This Row],[Angle of affected equipment ]]))</f>
        <v>0.11705240714107301</v>
      </c>
      <c r="AI1654" s="27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43">
        <f t="shared" si="207"/>
        <v>2026</v>
      </c>
      <c r="C1655" s="116">
        <f t="shared" si="208"/>
        <v>2025</v>
      </c>
      <c r="D1655" s="2" t="s">
        <v>155</v>
      </c>
      <c r="E1655" s="2" t="s">
        <v>155</v>
      </c>
      <c r="F1655" s="30">
        <v>45839</v>
      </c>
      <c r="G1655" s="2">
        <f>DAY(EOMONTH(TA[[#This Row],[Month Year]],0))</f>
        <v>31</v>
      </c>
      <c r="H1655" s="21">
        <v>45864</v>
      </c>
      <c r="I1655" s="32">
        <f>IFERROR(VLOOKUP(TA[[#This Row],[Date]],Raw_Data[[Date]:[Sunset Time (POA&lt;20 W/m2)]],3,0),"")</f>
        <v>0.27430555555555558</v>
      </c>
      <c r="J1655" s="32">
        <f>IFERROR(VLOOKUP(TA[[#This Row],[Date]],Raw_Data[[Date]:[Sunset Time (POA&lt;20 W/m2)]],4,0),"")</f>
        <v>0.77361111111111114</v>
      </c>
      <c r="K1655" s="27">
        <f>IFERROR((TA[[#This Row],[Sunset Time (POA&lt;20 W/m2)]]-TA[[#This Row],[Sunrise Time (POA&gt;20 W/m2)]])*24,"")</f>
        <v>11.983333333333334</v>
      </c>
      <c r="L1655" s="2" t="s">
        <v>285</v>
      </c>
      <c r="M1655" s="33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14" t="s">
        <v>309</v>
      </c>
      <c r="Q1655" s="113" t="s">
        <v>309</v>
      </c>
      <c r="R1655">
        <v>131</v>
      </c>
      <c r="S1655" s="2">
        <v>38</v>
      </c>
      <c r="T1655" t="s">
        <v>286</v>
      </c>
      <c r="U1655" t="s">
        <v>291</v>
      </c>
      <c r="V1655" t="s">
        <v>289</v>
      </c>
      <c r="W1655" s="32"/>
      <c r="X1655" s="32"/>
      <c r="Y1655" s="26"/>
      <c r="Z1655" s="26"/>
      <c r="AA1655" s="27">
        <f>IF(TA[[#This Row],[Work Start time on Fault]]="NA","",(TA[[#This Row],[Fault Acknowledgement Time ]]-TA[[#This Row],[Fault Time]])*24)</f>
        <v>0</v>
      </c>
      <c r="AB1655" s="27">
        <f>(TA[[#This Row],[Work Start time on Fault]]-TA[[#This Row],[Fault Time]])*24</f>
        <v>0</v>
      </c>
      <c r="AC1655" s="26">
        <f>(TA[[#This Row],[Work Completion time on fault]]-TA[[#This Row],[Fault Time]])*24</f>
        <v>0</v>
      </c>
      <c r="AD1655" s="27">
        <f>IFERROR((TA[[#This Row],[Work Completion time on fault]]-TA[[#This Row],[Fault Time]])*24,"")</f>
        <v>0</v>
      </c>
      <c r="AE1655" t="s">
        <v>319</v>
      </c>
      <c r="AF1655" t="s">
        <v>247</v>
      </c>
      <c r="AG1655" s="2"/>
      <c r="AH1655" s="35">
        <f>1-COS(RADIANS(TA[[#This Row],[Avg. Target Angle during Fault Time (Radians)]]-TA[[#This Row],[Angle of affected equipment ]]))</f>
        <v>0.11705240714107301</v>
      </c>
      <c r="AI1655" s="27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43">
        <f t="shared" si="207"/>
        <v>2026</v>
      </c>
      <c r="C1656" s="116">
        <f t="shared" si="208"/>
        <v>2025</v>
      </c>
      <c r="D1656" s="2" t="s">
        <v>155</v>
      </c>
      <c r="E1656" s="2" t="s">
        <v>155</v>
      </c>
      <c r="F1656" s="30">
        <v>45839</v>
      </c>
      <c r="G1656" s="2">
        <f>DAY(EOMONTH(TA[[#This Row],[Month Year]],0))</f>
        <v>31</v>
      </c>
      <c r="H1656" s="21">
        <v>45864</v>
      </c>
      <c r="I1656" s="32">
        <f>IFERROR(VLOOKUP(TA[[#This Row],[Date]],Raw_Data[[Date]:[Sunset Time (POA&lt;20 W/m2)]],3,0),"")</f>
        <v>0.27430555555555558</v>
      </c>
      <c r="J1656" s="32">
        <f>IFERROR(VLOOKUP(TA[[#This Row],[Date]],Raw_Data[[Date]:[Sunset Time (POA&lt;20 W/m2)]],4,0),"")</f>
        <v>0.77361111111111114</v>
      </c>
      <c r="K1656" s="27">
        <f>IFERROR((TA[[#This Row],[Sunset Time (POA&lt;20 W/m2)]]-TA[[#This Row],[Sunrise Time (POA&gt;20 W/m2)]])*24,"")</f>
        <v>11.983333333333334</v>
      </c>
      <c r="L1656" s="2" t="s">
        <v>285</v>
      </c>
      <c r="M1656" s="33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14" t="s">
        <v>309</v>
      </c>
      <c r="Q1656" s="113" t="s">
        <v>309</v>
      </c>
      <c r="R1656">
        <v>131</v>
      </c>
      <c r="S1656" s="2">
        <v>39</v>
      </c>
      <c r="T1656" t="s">
        <v>286</v>
      </c>
      <c r="U1656" t="s">
        <v>291</v>
      </c>
      <c r="V1656" t="s">
        <v>289</v>
      </c>
      <c r="W1656" s="32"/>
      <c r="X1656" s="32"/>
      <c r="Y1656" s="26"/>
      <c r="Z1656" s="26"/>
      <c r="AA1656" s="27">
        <f>IF(TA[[#This Row],[Work Start time on Fault]]="NA","",(TA[[#This Row],[Fault Acknowledgement Time ]]-TA[[#This Row],[Fault Time]])*24)</f>
        <v>0</v>
      </c>
      <c r="AB1656" s="27">
        <f>(TA[[#This Row],[Work Start time on Fault]]-TA[[#This Row],[Fault Time]])*24</f>
        <v>0</v>
      </c>
      <c r="AC1656" s="26">
        <f>(TA[[#This Row],[Work Completion time on fault]]-TA[[#This Row],[Fault Time]])*24</f>
        <v>0</v>
      </c>
      <c r="AD1656" s="27">
        <f>IFERROR((TA[[#This Row],[Work Completion time on fault]]-TA[[#This Row],[Fault Time]])*24,"")</f>
        <v>0</v>
      </c>
      <c r="AE1656" t="s">
        <v>319</v>
      </c>
      <c r="AF1656" t="s">
        <v>247</v>
      </c>
      <c r="AG1656" s="2"/>
      <c r="AH1656" s="35">
        <f>1-COS(RADIANS(TA[[#This Row],[Avg. Target Angle during Fault Time (Radians)]]-TA[[#This Row],[Angle of affected equipment ]]))</f>
        <v>0.11705240714107301</v>
      </c>
      <c r="AI1656" s="27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43">
        <f t="shared" si="207"/>
        <v>2026</v>
      </c>
      <c r="C1657" s="116">
        <f t="shared" si="208"/>
        <v>2025</v>
      </c>
      <c r="D1657" s="2" t="s">
        <v>155</v>
      </c>
      <c r="E1657" s="2" t="s">
        <v>155</v>
      </c>
      <c r="F1657" s="30">
        <v>45839</v>
      </c>
      <c r="G1657" s="2">
        <f>DAY(EOMONTH(TA[[#This Row],[Month Year]],0))</f>
        <v>31</v>
      </c>
      <c r="H1657" s="21">
        <v>45864</v>
      </c>
      <c r="I1657" s="32">
        <f>IFERROR(VLOOKUP(TA[[#This Row],[Date]],Raw_Data[[Date]:[Sunset Time (POA&lt;20 W/m2)]],3,0),"")</f>
        <v>0.27430555555555558</v>
      </c>
      <c r="J1657" s="32">
        <f>IFERROR(VLOOKUP(TA[[#This Row],[Date]],Raw_Data[[Date]:[Sunset Time (POA&lt;20 W/m2)]],4,0),"")</f>
        <v>0.77361111111111114</v>
      </c>
      <c r="K1657" s="27">
        <f>IFERROR((TA[[#This Row],[Sunset Time (POA&lt;20 W/m2)]]-TA[[#This Row],[Sunrise Time (POA&gt;20 W/m2)]])*24,"")</f>
        <v>11.983333333333334</v>
      </c>
      <c r="L1657" s="2" t="s">
        <v>287</v>
      </c>
      <c r="M1657" s="33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14" t="s">
        <v>309</v>
      </c>
      <c r="Q1657" s="2" t="s">
        <v>312</v>
      </c>
      <c r="R1657">
        <v>133</v>
      </c>
      <c r="S1657" s="2">
        <v>26</v>
      </c>
      <c r="T1657" t="s">
        <v>288</v>
      </c>
      <c r="U1657" t="s">
        <v>291</v>
      </c>
      <c r="V1657" t="s">
        <v>305</v>
      </c>
      <c r="W1657" s="32">
        <f>IFERROR(VLOOKUP(TA[[#This Row],[Date]],Raw_Data[[Date]:[Sunset Time (POA&lt;20 W/m2)]],3,0),"")</f>
        <v>0.27430555555555558</v>
      </c>
      <c r="X1657" s="32">
        <f>IFERROR(VLOOKUP(TA[[#This Row],[Date]],Raw_Data[[Date]:[Sunset Time (POA&lt;20 W/m2)]],3,0),"")</f>
        <v>0.27430555555555558</v>
      </c>
      <c r="Y1657" s="26"/>
      <c r="Z1657" s="26">
        <v>0.76041666666666663</v>
      </c>
      <c r="AA1657" s="27">
        <f>IF(TA[[#This Row],[Work Start time on Fault]]="NA","",(TA[[#This Row],[Fault Acknowledgement Time ]]-TA[[#This Row],[Fault Time]])*24)</f>
        <v>0</v>
      </c>
      <c r="AB1657" s="27">
        <f>(TA[[#This Row],[Work Start time on Fault]]-TA[[#This Row],[Fault Time]])*24</f>
        <v>-6.5833333333333339</v>
      </c>
      <c r="AC1657" s="26">
        <f>(TA[[#This Row],[Work Completion time on fault]]-TA[[#This Row],[Fault Time]])*24</f>
        <v>11.666666666666664</v>
      </c>
      <c r="AD1657" s="27">
        <f>IFERROR((TA[[#This Row],[Work Completion time on fault]]-TA[[#This Row],[Fault Time]])*24,"")</f>
        <v>11.666666666666664</v>
      </c>
      <c r="AE1657" t="s">
        <v>319</v>
      </c>
      <c r="AF1657" t="s">
        <v>247</v>
      </c>
      <c r="AG1657" s="2"/>
      <c r="AH1657" s="35">
        <f>1-COS(RADIANS(TA[[#This Row],[Avg. Target Angle during Fault Time (Radians)]]-TA[[#This Row],[Angle of affected equipment ]]))</f>
        <v>0.11705240714107301</v>
      </c>
      <c r="AI1657" s="27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43">
        <f t="shared" si="207"/>
        <v>2026</v>
      </c>
      <c r="C1658" s="116">
        <f t="shared" si="208"/>
        <v>2025</v>
      </c>
      <c r="D1658" s="2" t="s">
        <v>155</v>
      </c>
      <c r="E1658" s="2" t="s">
        <v>155</v>
      </c>
      <c r="F1658" s="30">
        <v>45839</v>
      </c>
      <c r="G1658" s="2">
        <f>DAY(EOMONTH(TA[[#This Row],[Month Year]],0))</f>
        <v>31</v>
      </c>
      <c r="H1658" s="21">
        <v>45864</v>
      </c>
      <c r="I1658" s="32">
        <f>IFERROR(VLOOKUP(TA[[#This Row],[Date]],Raw_Data[[Date]:[Sunset Time (POA&lt;20 W/m2)]],3,0),"")</f>
        <v>0.27430555555555558</v>
      </c>
      <c r="J1658" s="32">
        <f>IFERROR(VLOOKUP(TA[[#This Row],[Date]],Raw_Data[[Date]:[Sunset Time (POA&lt;20 W/m2)]],4,0),"")</f>
        <v>0.77361111111111114</v>
      </c>
      <c r="K1658" s="27">
        <f>IFERROR((TA[[#This Row],[Sunset Time (POA&lt;20 W/m2)]]-TA[[#This Row],[Sunrise Time (POA&gt;20 W/m2)]])*24,"")</f>
        <v>11.983333333333334</v>
      </c>
      <c r="L1658" s="2" t="s">
        <v>285</v>
      </c>
      <c r="M1658" s="33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14" t="s">
        <v>307</v>
      </c>
      <c r="Q1658" s="113" t="s">
        <v>308</v>
      </c>
      <c r="R1658">
        <v>7</v>
      </c>
      <c r="S1658" s="2">
        <v>32</v>
      </c>
      <c r="T1658" t="s">
        <v>286</v>
      </c>
      <c r="U1658" t="s">
        <v>291</v>
      </c>
      <c r="V1658" t="s">
        <v>289</v>
      </c>
      <c r="W1658" s="32"/>
      <c r="X1658" s="32"/>
      <c r="Y1658" s="26"/>
      <c r="Z1658" s="26"/>
      <c r="AA1658" s="27">
        <f>IF(TA[[#This Row],[Work Start time on Fault]]="NA","",(TA[[#This Row],[Fault Acknowledgement Time ]]-TA[[#This Row],[Fault Time]])*24)</f>
        <v>0</v>
      </c>
      <c r="AB1658" s="27">
        <f>(TA[[#This Row],[Work Start time on Fault]]-TA[[#This Row],[Fault Time]])*24</f>
        <v>0</v>
      </c>
      <c r="AC1658" s="26">
        <f>(TA[[#This Row],[Work Completion time on fault]]-TA[[#This Row],[Fault Time]])*24</f>
        <v>0</v>
      </c>
      <c r="AD1658" s="27">
        <f>IFERROR((TA[[#This Row],[Work Completion time on fault]]-TA[[#This Row],[Fault Time]])*24,"")</f>
        <v>0</v>
      </c>
      <c r="AE1658" t="s">
        <v>319</v>
      </c>
      <c r="AF1658" t="s">
        <v>247</v>
      </c>
      <c r="AG1658" s="2"/>
      <c r="AH1658" s="35">
        <f>1-COS(RADIANS(TA[[#This Row],[Avg. Target Angle during Fault Time (Radians)]]-TA[[#This Row],[Angle of affected equipment ]]))</f>
        <v>0.11705240714107301</v>
      </c>
      <c r="AI1658" s="27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43">
        <f t="shared" si="207"/>
        <v>2026</v>
      </c>
      <c r="C1659" s="116">
        <f t="shared" si="208"/>
        <v>2025</v>
      </c>
      <c r="D1659" s="2" t="s">
        <v>155</v>
      </c>
      <c r="E1659" s="2" t="s">
        <v>155</v>
      </c>
      <c r="F1659" s="30">
        <v>45839</v>
      </c>
      <c r="G1659" s="2">
        <f>DAY(EOMONTH(TA[[#This Row],[Month Year]],0))</f>
        <v>31</v>
      </c>
      <c r="H1659" s="21">
        <v>45864</v>
      </c>
      <c r="I1659" s="32">
        <f>IFERROR(VLOOKUP(TA[[#This Row],[Date]],Raw_Data[[Date]:[Sunset Time (POA&lt;20 W/m2)]],3,0),"")</f>
        <v>0.27430555555555558</v>
      </c>
      <c r="J1659" s="32">
        <f>IFERROR(VLOOKUP(TA[[#This Row],[Date]],Raw_Data[[Date]:[Sunset Time (POA&lt;20 W/m2)]],4,0),"")</f>
        <v>0.77361111111111114</v>
      </c>
      <c r="K1659" s="27">
        <f>IFERROR((TA[[#This Row],[Sunset Time (POA&lt;20 W/m2)]]-TA[[#This Row],[Sunrise Time (POA&gt;20 W/m2)]])*24,"")</f>
        <v>11.983333333333334</v>
      </c>
      <c r="L1659" s="2" t="s">
        <v>285</v>
      </c>
      <c r="M1659" s="33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14" t="s">
        <v>306</v>
      </c>
      <c r="Q1659" s="113" t="s">
        <v>310</v>
      </c>
      <c r="R1659">
        <v>166</v>
      </c>
      <c r="S1659" s="2">
        <v>91</v>
      </c>
      <c r="T1659" t="s">
        <v>286</v>
      </c>
      <c r="U1659" t="s">
        <v>291</v>
      </c>
      <c r="V1659" t="s">
        <v>289</v>
      </c>
      <c r="W1659" s="32"/>
      <c r="X1659" s="32"/>
      <c r="Y1659" s="26"/>
      <c r="Z1659" s="26"/>
      <c r="AA1659" s="27">
        <f>IF(TA[[#This Row],[Work Start time on Fault]]="NA","",(TA[[#This Row],[Fault Acknowledgement Time ]]-TA[[#This Row],[Fault Time]])*24)</f>
        <v>0</v>
      </c>
      <c r="AB1659" s="27">
        <f>(TA[[#This Row],[Work Start time on Fault]]-TA[[#This Row],[Fault Time]])*24</f>
        <v>0</v>
      </c>
      <c r="AC1659" s="26">
        <f>(TA[[#This Row],[Work Completion time on fault]]-TA[[#This Row],[Fault Time]])*24</f>
        <v>0</v>
      </c>
      <c r="AD1659" s="27">
        <f>IFERROR((TA[[#This Row],[Work Completion time on fault]]-TA[[#This Row],[Fault Time]])*24,"")</f>
        <v>0</v>
      </c>
      <c r="AE1659" t="s">
        <v>319</v>
      </c>
      <c r="AF1659" t="s">
        <v>247</v>
      </c>
      <c r="AG1659" s="2"/>
      <c r="AH1659" s="35">
        <f>1-COS(RADIANS(TA[[#This Row],[Avg. Target Angle during Fault Time (Radians)]]-TA[[#This Row],[Angle of affected equipment ]]))</f>
        <v>0.11705240714107301</v>
      </c>
      <c r="AI1659" s="27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43">
        <f t="shared" si="207"/>
        <v>2026</v>
      </c>
      <c r="C1660" s="116">
        <f t="shared" si="208"/>
        <v>2025</v>
      </c>
      <c r="D1660" s="2" t="s">
        <v>155</v>
      </c>
      <c r="E1660" s="2" t="s">
        <v>155</v>
      </c>
      <c r="F1660" s="30">
        <v>45839</v>
      </c>
      <c r="G1660" s="2">
        <f>DAY(EOMONTH(TA[[#This Row],[Month Year]],0))</f>
        <v>31</v>
      </c>
      <c r="H1660" s="21">
        <v>45864</v>
      </c>
      <c r="I1660" s="32">
        <f>IFERROR(VLOOKUP(TA[[#This Row],[Date]],Raw_Data[[Date]:[Sunset Time (POA&lt;20 W/m2)]],3,0),"")</f>
        <v>0.27430555555555558</v>
      </c>
      <c r="J1660" s="32">
        <f>IFERROR(VLOOKUP(TA[[#This Row],[Date]],Raw_Data[[Date]:[Sunset Time (POA&lt;20 W/m2)]],4,0),"")</f>
        <v>0.77361111111111114</v>
      </c>
      <c r="K1660" s="27">
        <f>IFERROR((TA[[#This Row],[Sunset Time (POA&lt;20 W/m2)]]-TA[[#This Row],[Sunrise Time (POA&gt;20 W/m2)]])*24,"")</f>
        <v>11.983333333333334</v>
      </c>
      <c r="L1660" s="2" t="s">
        <v>285</v>
      </c>
      <c r="M1660" s="33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14" t="s">
        <v>307</v>
      </c>
      <c r="Q1660" s="113" t="s">
        <v>307</v>
      </c>
      <c r="R1660">
        <v>117</v>
      </c>
      <c r="S1660" s="2">
        <v>20</v>
      </c>
      <c r="T1660" t="s">
        <v>286</v>
      </c>
      <c r="U1660" t="s">
        <v>291</v>
      </c>
      <c r="V1660" t="s">
        <v>289</v>
      </c>
      <c r="W1660" s="32"/>
      <c r="X1660" s="32"/>
      <c r="Y1660" s="26"/>
      <c r="Z1660" s="26"/>
      <c r="AA1660" s="27">
        <f>IF(TA[[#This Row],[Work Start time on Fault]]="NA","",(TA[[#This Row],[Fault Acknowledgement Time ]]-TA[[#This Row],[Fault Time]])*24)</f>
        <v>0</v>
      </c>
      <c r="AB1660" s="27">
        <f>(TA[[#This Row],[Work Start time on Fault]]-TA[[#This Row],[Fault Time]])*24</f>
        <v>0</v>
      </c>
      <c r="AC1660" s="26">
        <f>(TA[[#This Row],[Work Completion time on fault]]-TA[[#This Row],[Fault Time]])*24</f>
        <v>0</v>
      </c>
      <c r="AD1660" s="27">
        <f>IFERROR((TA[[#This Row],[Work Completion time on fault]]-TA[[#This Row],[Fault Time]])*24,"")</f>
        <v>0</v>
      </c>
      <c r="AE1660" t="s">
        <v>319</v>
      </c>
      <c r="AF1660" t="s">
        <v>247</v>
      </c>
      <c r="AG1660" s="2"/>
      <c r="AH1660" s="35">
        <f>1-COS(RADIANS(TA[[#This Row],[Avg. Target Angle during Fault Time (Radians)]]-TA[[#This Row],[Angle of affected equipment ]]))</f>
        <v>0.11705240714107301</v>
      </c>
      <c r="AI1660" s="27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43">
        <f t="shared" si="207"/>
        <v>2026</v>
      </c>
      <c r="C1661" s="116">
        <f t="shared" si="208"/>
        <v>2025</v>
      </c>
      <c r="D1661" s="2" t="s">
        <v>155</v>
      </c>
      <c r="E1661" s="2" t="s">
        <v>155</v>
      </c>
      <c r="F1661" s="30">
        <v>45839</v>
      </c>
      <c r="G1661" s="2">
        <f>DAY(EOMONTH(TA[[#This Row],[Month Year]],0))</f>
        <v>31</v>
      </c>
      <c r="H1661" s="21">
        <v>45864</v>
      </c>
      <c r="I1661" s="32">
        <f>IFERROR(VLOOKUP(TA[[#This Row],[Date]],Raw_Data[[Date]:[Sunset Time (POA&lt;20 W/m2)]],3,0),"")</f>
        <v>0.27430555555555558</v>
      </c>
      <c r="J1661" s="32">
        <f>IFERROR(VLOOKUP(TA[[#This Row],[Date]],Raw_Data[[Date]:[Sunset Time (POA&lt;20 W/m2)]],4,0),"")</f>
        <v>0.77361111111111114</v>
      </c>
      <c r="K1661" s="27">
        <f>IFERROR((TA[[#This Row],[Sunset Time (POA&lt;20 W/m2)]]-TA[[#This Row],[Sunrise Time (POA&gt;20 W/m2)]])*24,"")</f>
        <v>11.983333333333334</v>
      </c>
      <c r="L1661" s="2" t="s">
        <v>285</v>
      </c>
      <c r="M1661" s="33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14" t="s">
        <v>307</v>
      </c>
      <c r="Q1661" s="113" t="s">
        <v>307</v>
      </c>
      <c r="R1661">
        <v>118</v>
      </c>
      <c r="S1661" s="2">
        <v>22</v>
      </c>
      <c r="T1661" t="s">
        <v>286</v>
      </c>
      <c r="U1661" t="s">
        <v>291</v>
      </c>
      <c r="V1661" t="s">
        <v>289</v>
      </c>
      <c r="W1661" s="32"/>
      <c r="X1661" s="32"/>
      <c r="Y1661" s="26"/>
      <c r="Z1661" s="26"/>
      <c r="AA1661" s="27">
        <f>IF(TA[[#This Row],[Work Start time on Fault]]="NA","",(TA[[#This Row],[Fault Acknowledgement Time ]]-TA[[#This Row],[Fault Time]])*24)</f>
        <v>0</v>
      </c>
      <c r="AB1661" s="27">
        <f>(TA[[#This Row],[Work Start time on Fault]]-TA[[#This Row],[Fault Time]])*24</f>
        <v>0</v>
      </c>
      <c r="AC1661" s="26">
        <f>(TA[[#This Row],[Work Completion time on fault]]-TA[[#This Row],[Fault Time]])*24</f>
        <v>0</v>
      </c>
      <c r="AD1661" s="27">
        <f>IFERROR((TA[[#This Row],[Work Completion time on fault]]-TA[[#This Row],[Fault Time]])*24,"")</f>
        <v>0</v>
      </c>
      <c r="AE1661" t="s">
        <v>319</v>
      </c>
      <c r="AF1661" t="s">
        <v>247</v>
      </c>
      <c r="AG1661" s="2"/>
      <c r="AH1661" s="35">
        <f>1-COS(RADIANS(TA[[#This Row],[Avg. Target Angle during Fault Time (Radians)]]-TA[[#This Row],[Angle of affected equipment ]]))</f>
        <v>0.11705240714107301</v>
      </c>
      <c r="AI1661" s="27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43">
        <f t="shared" si="207"/>
        <v>2026</v>
      </c>
      <c r="C1662" s="116">
        <f t="shared" si="208"/>
        <v>2025</v>
      </c>
      <c r="D1662" s="2" t="s">
        <v>155</v>
      </c>
      <c r="E1662" s="2" t="s">
        <v>155</v>
      </c>
      <c r="F1662" s="30">
        <v>45839</v>
      </c>
      <c r="G1662" s="2">
        <f>DAY(EOMONTH(TA[[#This Row],[Month Year]],0))</f>
        <v>31</v>
      </c>
      <c r="H1662" s="21">
        <v>45864</v>
      </c>
      <c r="I1662" s="32">
        <f>IFERROR(VLOOKUP(TA[[#This Row],[Date]],Raw_Data[[Date]:[Sunset Time (POA&lt;20 W/m2)]],3,0),"")</f>
        <v>0.27430555555555558</v>
      </c>
      <c r="J1662" s="32">
        <f>IFERROR(VLOOKUP(TA[[#This Row],[Date]],Raw_Data[[Date]:[Sunset Time (POA&lt;20 W/m2)]],4,0),"")</f>
        <v>0.77361111111111114</v>
      </c>
      <c r="K1662" s="27">
        <f>IFERROR((TA[[#This Row],[Sunset Time (POA&lt;20 W/m2)]]-TA[[#This Row],[Sunrise Time (POA&gt;20 W/m2)]])*24,"")</f>
        <v>11.983333333333334</v>
      </c>
      <c r="L1662" s="2" t="s">
        <v>287</v>
      </c>
      <c r="M1662" s="33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314</v>
      </c>
      <c r="Q1662" s="2" t="s">
        <v>320</v>
      </c>
      <c r="R1662">
        <v>45</v>
      </c>
      <c r="S1662" s="2">
        <v>8</v>
      </c>
      <c r="T1662" t="s">
        <v>288</v>
      </c>
      <c r="U1662" t="s">
        <v>291</v>
      </c>
      <c r="V1662" t="s">
        <v>292</v>
      </c>
      <c r="W1662" s="32"/>
      <c r="X1662" s="32"/>
      <c r="Y1662" s="26"/>
      <c r="Z1662" s="26"/>
      <c r="AA1662" s="27">
        <f>IF(TA[[#This Row],[Work Start time on Fault]]="NA","",(TA[[#This Row],[Fault Acknowledgement Time ]]-TA[[#This Row],[Fault Time]])*24)</f>
        <v>0</v>
      </c>
      <c r="AB1662" s="27">
        <f>(TA[[#This Row],[Work Start time on Fault]]-TA[[#This Row],[Fault Time]])*24</f>
        <v>0</v>
      </c>
      <c r="AC1662" s="26">
        <f>(TA[[#This Row],[Work Completion time on fault]]-TA[[#This Row],[Fault Time]])*24</f>
        <v>0</v>
      </c>
      <c r="AD1662" s="27">
        <f>IFERROR((TA[[#This Row],[Work Completion time on fault]]-TA[[#This Row],[Fault Time]])*24,"")</f>
        <v>0</v>
      </c>
      <c r="AE1662" t="s">
        <v>319</v>
      </c>
      <c r="AF1662" t="s">
        <v>247</v>
      </c>
      <c r="AG1662" s="2"/>
      <c r="AH1662" s="35">
        <f>1-COS(RADIANS(TA[[#This Row],[Avg. Target Angle during Fault Time (Radians)]]-TA[[#This Row],[Angle of affected equipment ]]))</f>
        <v>0.11705240714107301</v>
      </c>
      <c r="AI1662" s="27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43">
        <f t="shared" si="207"/>
        <v>2026</v>
      </c>
      <c r="C1663" s="116">
        <f t="shared" si="208"/>
        <v>2025</v>
      </c>
      <c r="D1663" s="2" t="s">
        <v>155</v>
      </c>
      <c r="E1663" s="2" t="s">
        <v>155</v>
      </c>
      <c r="F1663" s="30">
        <v>45839</v>
      </c>
      <c r="G1663" s="2">
        <f>DAY(EOMONTH(TA[[#This Row],[Month Year]],0))</f>
        <v>31</v>
      </c>
      <c r="H1663" s="21">
        <v>45864</v>
      </c>
      <c r="I1663" s="32">
        <f>IFERROR(VLOOKUP(TA[[#This Row],[Date]],Raw_Data[[Date]:[Sunset Time (POA&lt;20 W/m2)]],3,0),"")</f>
        <v>0.27430555555555558</v>
      </c>
      <c r="J1663" s="32">
        <f>IFERROR(VLOOKUP(TA[[#This Row],[Date]],Raw_Data[[Date]:[Sunset Time (POA&lt;20 W/m2)]],4,0),"")</f>
        <v>0.77361111111111114</v>
      </c>
      <c r="K1663" s="27">
        <f>IFERROR((TA[[#This Row],[Sunset Time (POA&lt;20 W/m2)]]-TA[[#This Row],[Sunrise Time (POA&gt;20 W/m2)]])*24,"")</f>
        <v>11.983333333333334</v>
      </c>
      <c r="L1663" s="2" t="s">
        <v>287</v>
      </c>
      <c r="M1663" s="33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314</v>
      </c>
      <c r="Q1663" s="2" t="s">
        <v>320</v>
      </c>
      <c r="R1663">
        <v>47</v>
      </c>
      <c r="S1663" s="2">
        <v>18</v>
      </c>
      <c r="T1663" t="s">
        <v>288</v>
      </c>
      <c r="U1663" t="s">
        <v>291</v>
      </c>
      <c r="V1663" t="s">
        <v>292</v>
      </c>
      <c r="W1663" s="32"/>
      <c r="X1663" s="32"/>
      <c r="Y1663" s="26"/>
      <c r="Z1663" s="26"/>
      <c r="AA1663" s="27">
        <f>IF(TA[[#This Row],[Work Start time on Fault]]="NA","",(TA[[#This Row],[Fault Acknowledgement Time ]]-TA[[#This Row],[Fault Time]])*24)</f>
        <v>0</v>
      </c>
      <c r="AB1663" s="27">
        <f>(TA[[#This Row],[Work Start time on Fault]]-TA[[#This Row],[Fault Time]])*24</f>
        <v>0</v>
      </c>
      <c r="AC1663" s="26">
        <f>(TA[[#This Row],[Work Completion time on fault]]-TA[[#This Row],[Fault Time]])*24</f>
        <v>0</v>
      </c>
      <c r="AD1663" s="27">
        <f>IFERROR((TA[[#This Row],[Work Completion time on fault]]-TA[[#This Row],[Fault Time]])*24,"")</f>
        <v>0</v>
      </c>
      <c r="AE1663" t="s">
        <v>319</v>
      </c>
      <c r="AF1663" t="s">
        <v>247</v>
      </c>
      <c r="AG1663" s="2"/>
      <c r="AH1663" s="35">
        <f>1-COS(RADIANS(TA[[#This Row],[Avg. Target Angle during Fault Time (Radians)]]-TA[[#This Row],[Angle of affected equipment ]]))</f>
        <v>0.11705240714107301</v>
      </c>
      <c r="AI1663" s="27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43">
        <f t="shared" si="207"/>
        <v>2026</v>
      </c>
      <c r="C1664" s="116">
        <f t="shared" si="208"/>
        <v>2025</v>
      </c>
      <c r="D1664" s="2" t="s">
        <v>155</v>
      </c>
      <c r="E1664" s="2" t="s">
        <v>155</v>
      </c>
      <c r="F1664" s="30">
        <v>45839</v>
      </c>
      <c r="G1664" s="2">
        <f>DAY(EOMONTH(TA[[#This Row],[Month Year]],0))</f>
        <v>31</v>
      </c>
      <c r="H1664" s="21">
        <v>45864</v>
      </c>
      <c r="I1664" s="32">
        <f>IFERROR(VLOOKUP(TA[[#This Row],[Date]],Raw_Data[[Date]:[Sunset Time (POA&lt;20 W/m2)]],3,0),"")</f>
        <v>0.27430555555555558</v>
      </c>
      <c r="J1664" s="32">
        <f>IFERROR(VLOOKUP(TA[[#This Row],[Date]],Raw_Data[[Date]:[Sunset Time (POA&lt;20 W/m2)]],4,0),"")</f>
        <v>0.77361111111111114</v>
      </c>
      <c r="K1664" s="27">
        <f>IFERROR((TA[[#This Row],[Sunset Time (POA&lt;20 W/m2)]]-TA[[#This Row],[Sunrise Time (POA&gt;20 W/m2)]])*24,"")</f>
        <v>11.983333333333334</v>
      </c>
      <c r="L1664" s="2" t="s">
        <v>287</v>
      </c>
      <c r="M1664" s="33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321</v>
      </c>
      <c r="Q1664" s="2" t="s">
        <v>314</v>
      </c>
      <c r="R1664">
        <v>30</v>
      </c>
      <c r="S1664" s="2">
        <v>57</v>
      </c>
      <c r="T1664" t="s">
        <v>288</v>
      </c>
      <c r="U1664" t="s">
        <v>291</v>
      </c>
      <c r="V1664" t="s">
        <v>292</v>
      </c>
      <c r="W1664" s="32"/>
      <c r="X1664" s="32"/>
      <c r="Y1664" s="26"/>
      <c r="Z1664" s="26"/>
      <c r="AA1664" s="27">
        <f>IF(TA[[#This Row],[Work Start time on Fault]]="NA","",(TA[[#This Row],[Fault Acknowledgement Time ]]-TA[[#This Row],[Fault Time]])*24)</f>
        <v>0</v>
      </c>
      <c r="AB1664" s="27">
        <f>(TA[[#This Row],[Work Start time on Fault]]-TA[[#This Row],[Fault Time]])*24</f>
        <v>0</v>
      </c>
      <c r="AC1664" s="26">
        <f>(TA[[#This Row],[Work Completion time on fault]]-TA[[#This Row],[Fault Time]])*24</f>
        <v>0</v>
      </c>
      <c r="AD1664" s="27">
        <f>IFERROR((TA[[#This Row],[Work Completion time on fault]]-TA[[#This Row],[Fault Time]])*24,"")</f>
        <v>0</v>
      </c>
      <c r="AE1664" t="s">
        <v>319</v>
      </c>
      <c r="AF1664" t="s">
        <v>247</v>
      </c>
      <c r="AG1664" s="2"/>
      <c r="AH1664" s="35">
        <f>1-COS(RADIANS(TA[[#This Row],[Avg. Target Angle during Fault Time (Radians)]]-TA[[#This Row],[Angle of affected equipment ]]))</f>
        <v>0.11705240714107301</v>
      </c>
      <c r="AI1664" s="27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43">
        <f t="shared" si="207"/>
        <v>2026</v>
      </c>
      <c r="C1665" s="116">
        <f t="shared" si="208"/>
        <v>2025</v>
      </c>
      <c r="D1665" s="2" t="s">
        <v>155</v>
      </c>
      <c r="E1665" s="2" t="s">
        <v>155</v>
      </c>
      <c r="F1665" s="30">
        <v>45839</v>
      </c>
      <c r="G1665" s="2">
        <f>DAY(EOMONTH(TA[[#This Row],[Month Year]],0))</f>
        <v>31</v>
      </c>
      <c r="H1665" s="21">
        <v>45864</v>
      </c>
      <c r="I1665" s="32">
        <f>IFERROR(VLOOKUP(TA[[#This Row],[Date]],Raw_Data[[Date]:[Sunset Time (POA&lt;20 W/m2)]],3,0),"")</f>
        <v>0.27430555555555558</v>
      </c>
      <c r="J1665" s="32">
        <f>IFERROR(VLOOKUP(TA[[#This Row],[Date]],Raw_Data[[Date]:[Sunset Time (POA&lt;20 W/m2)]],4,0),"")</f>
        <v>0.77361111111111114</v>
      </c>
      <c r="K1665" s="27">
        <f>IFERROR((TA[[#This Row],[Sunset Time (POA&lt;20 W/m2)]]-TA[[#This Row],[Sunrise Time (POA&gt;20 W/m2)]])*24,"")</f>
        <v>11.983333333333334</v>
      </c>
      <c r="L1665" s="2" t="s">
        <v>287</v>
      </c>
      <c r="M1665" s="33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321</v>
      </c>
      <c r="Q1665" s="2" t="s">
        <v>314</v>
      </c>
      <c r="R1665">
        <v>31</v>
      </c>
      <c r="S1665" s="2">
        <v>61</v>
      </c>
      <c r="T1665" t="s">
        <v>288</v>
      </c>
      <c r="U1665" t="s">
        <v>291</v>
      </c>
      <c r="V1665" t="s">
        <v>292</v>
      </c>
      <c r="W1665" s="32"/>
      <c r="X1665" s="32"/>
      <c r="Y1665" s="26"/>
      <c r="Z1665" s="26"/>
      <c r="AA1665" s="27">
        <f>IF(TA[[#This Row],[Work Start time on Fault]]="NA","",(TA[[#This Row],[Fault Acknowledgement Time ]]-TA[[#This Row],[Fault Time]])*24)</f>
        <v>0</v>
      </c>
      <c r="AB1665" s="27">
        <f>(TA[[#This Row],[Work Start time on Fault]]-TA[[#This Row],[Fault Time]])*24</f>
        <v>0</v>
      </c>
      <c r="AC1665" s="26">
        <f>(TA[[#This Row],[Work Completion time on fault]]-TA[[#This Row],[Fault Time]])*24</f>
        <v>0</v>
      </c>
      <c r="AD1665" s="27">
        <f>IFERROR((TA[[#This Row],[Work Completion time on fault]]-TA[[#This Row],[Fault Time]])*24,"")</f>
        <v>0</v>
      </c>
      <c r="AE1665" t="s">
        <v>319</v>
      </c>
      <c r="AF1665" t="s">
        <v>247</v>
      </c>
      <c r="AG1665" s="2"/>
      <c r="AH1665" s="35">
        <f>1-COS(RADIANS(TA[[#This Row],[Avg. Target Angle during Fault Time (Radians)]]-TA[[#This Row],[Angle of affected equipment ]]))</f>
        <v>0.11705240714107301</v>
      </c>
      <c r="AI1665" s="27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43">
        <f t="shared" si="207"/>
        <v>2026</v>
      </c>
      <c r="C1666" s="116">
        <f t="shared" si="208"/>
        <v>2025</v>
      </c>
      <c r="D1666" s="2" t="s">
        <v>155</v>
      </c>
      <c r="E1666" s="2" t="s">
        <v>155</v>
      </c>
      <c r="F1666" s="30">
        <v>45839</v>
      </c>
      <c r="G1666" s="2">
        <f>DAY(EOMONTH(TA[[#This Row],[Month Year]],0))</f>
        <v>31</v>
      </c>
      <c r="H1666" s="21">
        <v>45864</v>
      </c>
      <c r="I1666" s="32">
        <f>IFERROR(VLOOKUP(TA[[#This Row],[Date]],Raw_Data[[Date]:[Sunset Time (POA&lt;20 W/m2)]],3,0),"")</f>
        <v>0.27430555555555558</v>
      </c>
      <c r="J1666" s="32">
        <f>IFERROR(VLOOKUP(TA[[#This Row],[Date]],Raw_Data[[Date]:[Sunset Time (POA&lt;20 W/m2)]],4,0),"")</f>
        <v>0.77361111111111114</v>
      </c>
      <c r="K1666" s="27">
        <f>IFERROR((TA[[#This Row],[Sunset Time (POA&lt;20 W/m2)]]-TA[[#This Row],[Sunrise Time (POA&gt;20 W/m2)]])*24,"")</f>
        <v>11.983333333333334</v>
      </c>
      <c r="L1666" s="2" t="s">
        <v>303</v>
      </c>
      <c r="M1666" s="33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321</v>
      </c>
      <c r="Q1666" s="2" t="s">
        <v>314</v>
      </c>
      <c r="R1666">
        <v>26</v>
      </c>
      <c r="S1666" s="2">
        <v>37</v>
      </c>
      <c r="T1666" t="s">
        <v>288</v>
      </c>
      <c r="U1666" t="s">
        <v>291</v>
      </c>
      <c r="V1666" t="s">
        <v>292</v>
      </c>
      <c r="W1666" s="32"/>
      <c r="X1666" s="32"/>
      <c r="Y1666" s="26"/>
      <c r="Z1666" s="26"/>
      <c r="AA1666" s="27">
        <f>IF(TA[[#This Row],[Work Start time on Fault]]="NA","",(TA[[#This Row],[Fault Acknowledgement Time ]]-TA[[#This Row],[Fault Time]])*24)</f>
        <v>0</v>
      </c>
      <c r="AB1666" s="27">
        <f>(TA[[#This Row],[Work Start time on Fault]]-TA[[#This Row],[Fault Time]])*24</f>
        <v>0</v>
      </c>
      <c r="AC1666" s="26">
        <f>(TA[[#This Row],[Work Completion time on fault]]-TA[[#This Row],[Fault Time]])*24</f>
        <v>0</v>
      </c>
      <c r="AD1666" s="27">
        <f>IFERROR((TA[[#This Row],[Work Completion time on fault]]-TA[[#This Row],[Fault Time]])*24,"")</f>
        <v>0</v>
      </c>
      <c r="AE1666" t="s">
        <v>319</v>
      </c>
      <c r="AF1666" t="s">
        <v>247</v>
      </c>
      <c r="AG1666" s="2"/>
      <c r="AH1666" s="35">
        <f>1-COS(RADIANS(TA[[#This Row],[Avg. Target Angle during Fault Time (Radians)]]-TA[[#This Row],[Angle of affected equipment ]]))</f>
        <v>0.11705240714107301</v>
      </c>
      <c r="AI1666" s="27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43">
        <f t="shared" si="207"/>
        <v>2026</v>
      </c>
      <c r="C1667" s="116">
        <f t="shared" si="208"/>
        <v>2025</v>
      </c>
      <c r="D1667" s="2" t="s">
        <v>155</v>
      </c>
      <c r="E1667" s="2" t="s">
        <v>155</v>
      </c>
      <c r="F1667" s="30">
        <v>45839</v>
      </c>
      <c r="G1667" s="2">
        <f>DAY(EOMONTH(TA[[#This Row],[Month Year]],0))</f>
        <v>31</v>
      </c>
      <c r="H1667" s="21">
        <v>45864</v>
      </c>
      <c r="I1667" s="32">
        <f>IFERROR(VLOOKUP(TA[[#This Row],[Date]],Raw_Data[[Date]:[Sunset Time (POA&lt;20 W/m2)]],3,0),"")</f>
        <v>0.27430555555555558</v>
      </c>
      <c r="J1667" s="32">
        <f>IFERROR(VLOOKUP(TA[[#This Row],[Date]],Raw_Data[[Date]:[Sunset Time (POA&lt;20 W/m2)]],4,0),"")</f>
        <v>0.77361111111111114</v>
      </c>
      <c r="K1667" s="27">
        <f>IFERROR((TA[[#This Row],[Sunset Time (POA&lt;20 W/m2)]]-TA[[#This Row],[Sunrise Time (POA&gt;20 W/m2)]])*24,"")</f>
        <v>11.983333333333334</v>
      </c>
      <c r="L1667" s="2" t="s">
        <v>303</v>
      </c>
      <c r="M1667" s="33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321</v>
      </c>
      <c r="Q1667" s="2" t="s">
        <v>314</v>
      </c>
      <c r="R1667">
        <v>27</v>
      </c>
      <c r="S1667" s="2">
        <v>42</v>
      </c>
      <c r="T1667" t="s">
        <v>288</v>
      </c>
      <c r="U1667" t="s">
        <v>291</v>
      </c>
      <c r="V1667" t="s">
        <v>292</v>
      </c>
      <c r="W1667" s="32">
        <f>IFERROR(VLOOKUP(TA[[#This Row],[Date]],Raw_Data[[Date]:[Sunset Time (POA&lt;20 W/m2)]],3,0),"")</f>
        <v>0.27430555555555558</v>
      </c>
      <c r="X1667" s="32">
        <f>IFERROR(VLOOKUP(TA[[#This Row],[Date]],Raw_Data[[Date]:[Sunset Time (POA&lt;20 W/m2)]],3,0),"")</f>
        <v>0.27430555555555558</v>
      </c>
      <c r="Y1667" s="26"/>
      <c r="Z1667" s="26">
        <v>0.76041666666666663</v>
      </c>
      <c r="AA1667" s="27">
        <f>IF(TA[[#This Row],[Work Start time on Fault]]="NA","",(TA[[#This Row],[Fault Acknowledgement Time ]]-TA[[#This Row],[Fault Time]])*24)</f>
        <v>0</v>
      </c>
      <c r="AB1667" s="27">
        <f>(TA[[#This Row],[Work Start time on Fault]]-TA[[#This Row],[Fault Time]])*24</f>
        <v>-6.5833333333333339</v>
      </c>
      <c r="AC1667" s="26">
        <f>(TA[[#This Row],[Work Completion time on fault]]-TA[[#This Row],[Fault Time]])*24</f>
        <v>11.666666666666664</v>
      </c>
      <c r="AD1667" s="27">
        <f>IFERROR((TA[[#This Row],[Work Completion time on fault]]-TA[[#This Row],[Fault Time]])*24,"")</f>
        <v>11.666666666666664</v>
      </c>
      <c r="AE1667" t="s">
        <v>300</v>
      </c>
      <c r="AF1667" t="s">
        <v>247</v>
      </c>
      <c r="AG1667" s="2"/>
      <c r="AH1667" s="35">
        <f>1-COS(RADIANS(TA[[#This Row],[Avg. Target Angle during Fault Time (Radians)]]-TA[[#This Row],[Angle of affected equipment ]]))</f>
        <v>0.11705240714107301</v>
      </c>
      <c r="AI1667" s="27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43">
        <f t="shared" ref="B1668:B1680" si="210">YEAR(H1668)+IF(MONTH(H1668)&gt;=4,1,0)</f>
        <v>2026</v>
      </c>
      <c r="C1668" s="116">
        <f t="shared" ref="C1668:C1680" si="211">YEAR(H1668)</f>
        <v>2025</v>
      </c>
      <c r="D1668" s="2" t="s">
        <v>155</v>
      </c>
      <c r="E1668" s="2" t="s">
        <v>155</v>
      </c>
      <c r="F1668" s="30">
        <v>45839</v>
      </c>
      <c r="G1668" s="2">
        <f>DAY(EOMONTH(TA[[#This Row],[Month Year]],0))</f>
        <v>31</v>
      </c>
      <c r="H1668" s="21">
        <v>45865</v>
      </c>
      <c r="I1668" s="32">
        <f>IFERROR(VLOOKUP(TA[[#This Row],[Date]],Raw_Data[[Date]:[Sunset Time (POA&lt;20 W/m2)]],3,0),"")</f>
        <v>0.2590277777777778</v>
      </c>
      <c r="J1668" s="32">
        <f>IFERROR(VLOOKUP(TA[[#This Row],[Date]],Raw_Data[[Date]:[Sunset Time (POA&lt;20 W/m2)]],4,0),"")</f>
        <v>0.78402777777777777</v>
      </c>
      <c r="K1668" s="27">
        <f>IFERROR((TA[[#This Row],[Sunset Time (POA&lt;20 W/m2)]]-TA[[#This Row],[Sunrise Time (POA&gt;20 W/m2)]])*24,"")</f>
        <v>12.599999999999998</v>
      </c>
      <c r="L1668" s="2" t="s">
        <v>285</v>
      </c>
      <c r="M1668" s="33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14" t="s">
        <v>309</v>
      </c>
      <c r="Q1668" s="113" t="s">
        <v>309</v>
      </c>
      <c r="R1668">
        <v>131</v>
      </c>
      <c r="S1668" s="2">
        <v>38</v>
      </c>
      <c r="T1668" t="s">
        <v>286</v>
      </c>
      <c r="U1668" t="s">
        <v>291</v>
      </c>
      <c r="V1668" t="s">
        <v>289</v>
      </c>
      <c r="W1668" s="32"/>
      <c r="X1668" s="32"/>
      <c r="Y1668" s="26"/>
      <c r="Z1668" s="26"/>
      <c r="AA1668" s="27">
        <f>IF(TA[[#This Row],[Work Start time on Fault]]="NA","",(TA[[#This Row],[Fault Acknowledgement Time ]]-TA[[#This Row],[Fault Time]])*24)</f>
        <v>0</v>
      </c>
      <c r="AB1668" s="27">
        <f>(TA[[#This Row],[Work Start time on Fault]]-TA[[#This Row],[Fault Time]])*24</f>
        <v>0</v>
      </c>
      <c r="AC1668" s="26">
        <f>(TA[[#This Row],[Work Completion time on fault]]-TA[[#This Row],[Fault Time]])*24</f>
        <v>0</v>
      </c>
      <c r="AD1668" s="27">
        <f>IFERROR((TA[[#This Row],[Work Completion time on fault]]-TA[[#This Row],[Fault Time]])*24,"")</f>
        <v>0</v>
      </c>
      <c r="AE1668" t="s">
        <v>319</v>
      </c>
      <c r="AF1668" t="s">
        <v>247</v>
      </c>
      <c r="AG1668" s="2"/>
      <c r="AH1668" s="35">
        <f>1-COS(RADIANS(TA[[#This Row],[Avg. Target Angle during Fault Time (Radians)]]-TA[[#This Row],[Angle of affected equipment ]]))</f>
        <v>0.11705240714107301</v>
      </c>
      <c r="AI1668" s="27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43">
        <f t="shared" si="210"/>
        <v>2026</v>
      </c>
      <c r="C1669" s="116">
        <f t="shared" si="211"/>
        <v>2025</v>
      </c>
      <c r="D1669" s="2" t="s">
        <v>155</v>
      </c>
      <c r="E1669" s="2" t="s">
        <v>155</v>
      </c>
      <c r="F1669" s="30">
        <v>45839</v>
      </c>
      <c r="G1669" s="2">
        <f>DAY(EOMONTH(TA[[#This Row],[Month Year]],0))</f>
        <v>31</v>
      </c>
      <c r="H1669" s="21">
        <v>45865</v>
      </c>
      <c r="I1669" s="32">
        <f>IFERROR(VLOOKUP(TA[[#This Row],[Date]],Raw_Data[[Date]:[Sunset Time (POA&lt;20 W/m2)]],3,0),"")</f>
        <v>0.2590277777777778</v>
      </c>
      <c r="J1669" s="32">
        <f>IFERROR(VLOOKUP(TA[[#This Row],[Date]],Raw_Data[[Date]:[Sunset Time (POA&lt;20 W/m2)]],4,0),"")</f>
        <v>0.78402777777777777</v>
      </c>
      <c r="K1669" s="27">
        <f>IFERROR((TA[[#This Row],[Sunset Time (POA&lt;20 W/m2)]]-TA[[#This Row],[Sunrise Time (POA&gt;20 W/m2)]])*24,"")</f>
        <v>12.599999999999998</v>
      </c>
      <c r="L1669" s="2" t="s">
        <v>285</v>
      </c>
      <c r="M1669" s="33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14" t="s">
        <v>309</v>
      </c>
      <c r="Q1669" s="113" t="s">
        <v>309</v>
      </c>
      <c r="R1669">
        <v>131</v>
      </c>
      <c r="S1669" s="2">
        <v>39</v>
      </c>
      <c r="T1669" t="s">
        <v>286</v>
      </c>
      <c r="U1669" t="s">
        <v>291</v>
      </c>
      <c r="V1669" t="s">
        <v>289</v>
      </c>
      <c r="W1669" s="32"/>
      <c r="X1669" s="32"/>
      <c r="Y1669" s="26"/>
      <c r="Z1669" s="26"/>
      <c r="AA1669" s="27">
        <f>IF(TA[[#This Row],[Work Start time on Fault]]="NA","",(TA[[#This Row],[Fault Acknowledgement Time ]]-TA[[#This Row],[Fault Time]])*24)</f>
        <v>0</v>
      </c>
      <c r="AB1669" s="27">
        <f>(TA[[#This Row],[Work Start time on Fault]]-TA[[#This Row],[Fault Time]])*24</f>
        <v>0</v>
      </c>
      <c r="AC1669" s="26">
        <f>(TA[[#This Row],[Work Completion time on fault]]-TA[[#This Row],[Fault Time]])*24</f>
        <v>0</v>
      </c>
      <c r="AD1669" s="27">
        <f>IFERROR((TA[[#This Row],[Work Completion time on fault]]-TA[[#This Row],[Fault Time]])*24,"")</f>
        <v>0</v>
      </c>
      <c r="AE1669" t="s">
        <v>319</v>
      </c>
      <c r="AF1669" t="s">
        <v>247</v>
      </c>
      <c r="AG1669" s="2"/>
      <c r="AH1669" s="35">
        <f>1-COS(RADIANS(TA[[#This Row],[Avg. Target Angle during Fault Time (Radians)]]-TA[[#This Row],[Angle of affected equipment ]]))</f>
        <v>0.11705240714107301</v>
      </c>
      <c r="AI1669" s="27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43">
        <f t="shared" si="210"/>
        <v>2026</v>
      </c>
      <c r="C1670" s="116">
        <f t="shared" si="211"/>
        <v>2025</v>
      </c>
      <c r="D1670" s="2" t="s">
        <v>155</v>
      </c>
      <c r="E1670" s="2" t="s">
        <v>155</v>
      </c>
      <c r="F1670" s="30">
        <v>45839</v>
      </c>
      <c r="G1670" s="2">
        <f>DAY(EOMONTH(TA[[#This Row],[Month Year]],0))</f>
        <v>31</v>
      </c>
      <c r="H1670" s="21">
        <v>45865</v>
      </c>
      <c r="I1670" s="32">
        <f>IFERROR(VLOOKUP(TA[[#This Row],[Date]],Raw_Data[[Date]:[Sunset Time (POA&lt;20 W/m2)]],3,0),"")</f>
        <v>0.2590277777777778</v>
      </c>
      <c r="J1670" s="32">
        <f>IFERROR(VLOOKUP(TA[[#This Row],[Date]],Raw_Data[[Date]:[Sunset Time (POA&lt;20 W/m2)]],4,0),"")</f>
        <v>0.78402777777777777</v>
      </c>
      <c r="K1670" s="27">
        <f>IFERROR((TA[[#This Row],[Sunset Time (POA&lt;20 W/m2)]]-TA[[#This Row],[Sunrise Time (POA&gt;20 W/m2)]])*24,"")</f>
        <v>12.599999999999998</v>
      </c>
      <c r="L1670" s="2" t="s">
        <v>287</v>
      </c>
      <c r="M1670" s="33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14" t="s">
        <v>309</v>
      </c>
      <c r="Q1670" s="2" t="s">
        <v>312</v>
      </c>
      <c r="R1670">
        <v>133</v>
      </c>
      <c r="S1670" s="2">
        <v>26</v>
      </c>
      <c r="T1670" t="s">
        <v>288</v>
      </c>
      <c r="U1670" t="s">
        <v>291</v>
      </c>
      <c r="V1670" t="s">
        <v>305</v>
      </c>
      <c r="W1670" s="32">
        <f>IFERROR(VLOOKUP(TA[[#This Row],[Date]],Raw_Data[[Date]:[Sunset Time (POA&lt;20 W/m2)]],3,0),"")</f>
        <v>0.2590277777777778</v>
      </c>
      <c r="X1670" s="32">
        <f>IFERROR(VLOOKUP(TA[[#This Row],[Date]],Raw_Data[[Date]:[Sunset Time (POA&lt;20 W/m2)]],3,0),"")</f>
        <v>0.2590277777777778</v>
      </c>
      <c r="Y1670" s="26"/>
      <c r="Z1670" s="26">
        <v>0.76041666666666663</v>
      </c>
      <c r="AA1670" s="27">
        <f>IF(TA[[#This Row],[Work Start time on Fault]]="NA","",(TA[[#This Row],[Fault Acknowledgement Time ]]-TA[[#This Row],[Fault Time]])*24)</f>
        <v>0</v>
      </c>
      <c r="AB1670" s="27">
        <f>(TA[[#This Row],[Work Start time on Fault]]-TA[[#This Row],[Fault Time]])*24</f>
        <v>-6.2166666666666668</v>
      </c>
      <c r="AC1670" s="26">
        <f>(TA[[#This Row],[Work Completion time on fault]]-TA[[#This Row],[Fault Time]])*24</f>
        <v>12.033333333333333</v>
      </c>
      <c r="AD1670" s="27">
        <f>IFERROR((TA[[#This Row],[Work Completion time on fault]]-TA[[#This Row],[Fault Time]])*24,"")</f>
        <v>12.033333333333333</v>
      </c>
      <c r="AE1670" t="s">
        <v>319</v>
      </c>
      <c r="AF1670" t="s">
        <v>247</v>
      </c>
      <c r="AG1670" s="2"/>
      <c r="AH1670" s="35">
        <f>1-COS(RADIANS(TA[[#This Row],[Avg. Target Angle during Fault Time (Radians)]]-TA[[#This Row],[Angle of affected equipment ]]))</f>
        <v>0.11705240714107301</v>
      </c>
      <c r="AI1670" s="27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43">
        <f t="shared" si="210"/>
        <v>2026</v>
      </c>
      <c r="C1671" s="116">
        <f t="shared" si="211"/>
        <v>2025</v>
      </c>
      <c r="D1671" s="2" t="s">
        <v>155</v>
      </c>
      <c r="E1671" s="2" t="s">
        <v>155</v>
      </c>
      <c r="F1671" s="30">
        <v>45839</v>
      </c>
      <c r="G1671" s="2">
        <f>DAY(EOMONTH(TA[[#This Row],[Month Year]],0))</f>
        <v>31</v>
      </c>
      <c r="H1671" s="21">
        <v>45865</v>
      </c>
      <c r="I1671" s="32">
        <f>IFERROR(VLOOKUP(TA[[#This Row],[Date]],Raw_Data[[Date]:[Sunset Time (POA&lt;20 W/m2)]],3,0),"")</f>
        <v>0.2590277777777778</v>
      </c>
      <c r="J1671" s="32">
        <f>IFERROR(VLOOKUP(TA[[#This Row],[Date]],Raw_Data[[Date]:[Sunset Time (POA&lt;20 W/m2)]],4,0),"")</f>
        <v>0.78402777777777777</v>
      </c>
      <c r="K1671" s="27">
        <f>IFERROR((TA[[#This Row],[Sunset Time (POA&lt;20 W/m2)]]-TA[[#This Row],[Sunrise Time (POA&gt;20 W/m2)]])*24,"")</f>
        <v>12.599999999999998</v>
      </c>
      <c r="L1671" s="2" t="s">
        <v>285</v>
      </c>
      <c r="M1671" s="33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14" t="s">
        <v>307</v>
      </c>
      <c r="Q1671" s="113" t="s">
        <v>308</v>
      </c>
      <c r="R1671">
        <v>7</v>
      </c>
      <c r="S1671" s="2">
        <v>32</v>
      </c>
      <c r="T1671" t="s">
        <v>286</v>
      </c>
      <c r="U1671" t="s">
        <v>291</v>
      </c>
      <c r="V1671" t="s">
        <v>289</v>
      </c>
      <c r="W1671" s="32"/>
      <c r="X1671" s="32"/>
      <c r="Y1671" s="26"/>
      <c r="Z1671" s="26"/>
      <c r="AA1671" s="27">
        <f>IF(TA[[#This Row],[Work Start time on Fault]]="NA","",(TA[[#This Row],[Fault Acknowledgement Time ]]-TA[[#This Row],[Fault Time]])*24)</f>
        <v>0</v>
      </c>
      <c r="AB1671" s="27">
        <f>(TA[[#This Row],[Work Start time on Fault]]-TA[[#This Row],[Fault Time]])*24</f>
        <v>0</v>
      </c>
      <c r="AC1671" s="26">
        <f>(TA[[#This Row],[Work Completion time on fault]]-TA[[#This Row],[Fault Time]])*24</f>
        <v>0</v>
      </c>
      <c r="AD1671" s="27">
        <f>IFERROR((TA[[#This Row],[Work Completion time on fault]]-TA[[#This Row],[Fault Time]])*24,"")</f>
        <v>0</v>
      </c>
      <c r="AE1671" t="s">
        <v>319</v>
      </c>
      <c r="AF1671" t="s">
        <v>247</v>
      </c>
      <c r="AG1671" s="2"/>
      <c r="AH1671" s="35">
        <f>1-COS(RADIANS(TA[[#This Row],[Avg. Target Angle during Fault Time (Radians)]]-TA[[#This Row],[Angle of affected equipment ]]))</f>
        <v>0.11705240714107301</v>
      </c>
      <c r="AI1671" s="27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43">
        <f t="shared" si="210"/>
        <v>2026</v>
      </c>
      <c r="C1672" s="116">
        <f t="shared" si="211"/>
        <v>2025</v>
      </c>
      <c r="D1672" s="2" t="s">
        <v>155</v>
      </c>
      <c r="E1672" s="2" t="s">
        <v>155</v>
      </c>
      <c r="F1672" s="30">
        <v>45839</v>
      </c>
      <c r="G1672" s="2">
        <f>DAY(EOMONTH(TA[[#This Row],[Month Year]],0))</f>
        <v>31</v>
      </c>
      <c r="H1672" s="21">
        <v>45865</v>
      </c>
      <c r="I1672" s="32">
        <f>IFERROR(VLOOKUP(TA[[#This Row],[Date]],Raw_Data[[Date]:[Sunset Time (POA&lt;20 W/m2)]],3,0),"")</f>
        <v>0.2590277777777778</v>
      </c>
      <c r="J1672" s="32">
        <f>IFERROR(VLOOKUP(TA[[#This Row],[Date]],Raw_Data[[Date]:[Sunset Time (POA&lt;20 W/m2)]],4,0),"")</f>
        <v>0.78402777777777777</v>
      </c>
      <c r="K1672" s="27">
        <f>IFERROR((TA[[#This Row],[Sunset Time (POA&lt;20 W/m2)]]-TA[[#This Row],[Sunrise Time (POA&gt;20 W/m2)]])*24,"")</f>
        <v>12.599999999999998</v>
      </c>
      <c r="L1672" s="2" t="s">
        <v>285</v>
      </c>
      <c r="M1672" s="33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14" t="s">
        <v>306</v>
      </c>
      <c r="Q1672" s="113" t="s">
        <v>310</v>
      </c>
      <c r="R1672">
        <v>166</v>
      </c>
      <c r="S1672" s="2">
        <v>91</v>
      </c>
      <c r="T1672" t="s">
        <v>286</v>
      </c>
      <c r="U1672" t="s">
        <v>291</v>
      </c>
      <c r="V1672" t="s">
        <v>289</v>
      </c>
      <c r="W1672" s="32"/>
      <c r="X1672" s="32"/>
      <c r="Y1672" s="26"/>
      <c r="Z1672" s="26"/>
      <c r="AA1672" s="27">
        <f>IF(TA[[#This Row],[Work Start time on Fault]]="NA","",(TA[[#This Row],[Fault Acknowledgement Time ]]-TA[[#This Row],[Fault Time]])*24)</f>
        <v>0</v>
      </c>
      <c r="AB1672" s="27">
        <f>(TA[[#This Row],[Work Start time on Fault]]-TA[[#This Row],[Fault Time]])*24</f>
        <v>0</v>
      </c>
      <c r="AC1672" s="26">
        <f>(TA[[#This Row],[Work Completion time on fault]]-TA[[#This Row],[Fault Time]])*24</f>
        <v>0</v>
      </c>
      <c r="AD1672" s="27">
        <f>IFERROR((TA[[#This Row],[Work Completion time on fault]]-TA[[#This Row],[Fault Time]])*24,"")</f>
        <v>0</v>
      </c>
      <c r="AE1672" t="s">
        <v>319</v>
      </c>
      <c r="AF1672" t="s">
        <v>247</v>
      </c>
      <c r="AG1672" s="2"/>
      <c r="AH1672" s="35">
        <f>1-COS(RADIANS(TA[[#This Row],[Avg. Target Angle during Fault Time (Radians)]]-TA[[#This Row],[Angle of affected equipment ]]))</f>
        <v>0.11705240714107301</v>
      </c>
      <c r="AI1672" s="27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43">
        <f t="shared" si="210"/>
        <v>2026</v>
      </c>
      <c r="C1673" s="116">
        <f t="shared" si="211"/>
        <v>2025</v>
      </c>
      <c r="D1673" s="2" t="s">
        <v>155</v>
      </c>
      <c r="E1673" s="2" t="s">
        <v>155</v>
      </c>
      <c r="F1673" s="30">
        <v>45839</v>
      </c>
      <c r="G1673" s="2">
        <f>DAY(EOMONTH(TA[[#This Row],[Month Year]],0))</f>
        <v>31</v>
      </c>
      <c r="H1673" s="21">
        <v>45865</v>
      </c>
      <c r="I1673" s="32">
        <f>IFERROR(VLOOKUP(TA[[#This Row],[Date]],Raw_Data[[Date]:[Sunset Time (POA&lt;20 W/m2)]],3,0),"")</f>
        <v>0.2590277777777778</v>
      </c>
      <c r="J1673" s="32">
        <f>IFERROR(VLOOKUP(TA[[#This Row],[Date]],Raw_Data[[Date]:[Sunset Time (POA&lt;20 W/m2)]],4,0),"")</f>
        <v>0.78402777777777777</v>
      </c>
      <c r="K1673" s="27">
        <f>IFERROR((TA[[#This Row],[Sunset Time (POA&lt;20 W/m2)]]-TA[[#This Row],[Sunrise Time (POA&gt;20 W/m2)]])*24,"")</f>
        <v>12.599999999999998</v>
      </c>
      <c r="L1673" s="2" t="s">
        <v>285</v>
      </c>
      <c r="M1673" s="33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14" t="s">
        <v>307</v>
      </c>
      <c r="Q1673" s="113" t="s">
        <v>307</v>
      </c>
      <c r="R1673">
        <v>117</v>
      </c>
      <c r="S1673" s="2">
        <v>20</v>
      </c>
      <c r="T1673" t="s">
        <v>286</v>
      </c>
      <c r="U1673" t="s">
        <v>291</v>
      </c>
      <c r="V1673" t="s">
        <v>289</v>
      </c>
      <c r="W1673" s="32"/>
      <c r="X1673" s="32"/>
      <c r="Y1673" s="26"/>
      <c r="Z1673" s="26"/>
      <c r="AA1673" s="27">
        <f>IF(TA[[#This Row],[Work Start time on Fault]]="NA","",(TA[[#This Row],[Fault Acknowledgement Time ]]-TA[[#This Row],[Fault Time]])*24)</f>
        <v>0</v>
      </c>
      <c r="AB1673" s="27">
        <f>(TA[[#This Row],[Work Start time on Fault]]-TA[[#This Row],[Fault Time]])*24</f>
        <v>0</v>
      </c>
      <c r="AC1673" s="26">
        <f>(TA[[#This Row],[Work Completion time on fault]]-TA[[#This Row],[Fault Time]])*24</f>
        <v>0</v>
      </c>
      <c r="AD1673" s="27">
        <f>IFERROR((TA[[#This Row],[Work Completion time on fault]]-TA[[#This Row],[Fault Time]])*24,"")</f>
        <v>0</v>
      </c>
      <c r="AE1673" t="s">
        <v>319</v>
      </c>
      <c r="AF1673" t="s">
        <v>247</v>
      </c>
      <c r="AG1673" s="2"/>
      <c r="AH1673" s="35">
        <f>1-COS(RADIANS(TA[[#This Row],[Avg. Target Angle during Fault Time (Radians)]]-TA[[#This Row],[Angle of affected equipment ]]))</f>
        <v>0.11705240714107301</v>
      </c>
      <c r="AI1673" s="27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43">
        <f t="shared" si="210"/>
        <v>2026</v>
      </c>
      <c r="C1674" s="116">
        <f t="shared" si="211"/>
        <v>2025</v>
      </c>
      <c r="D1674" s="2" t="s">
        <v>155</v>
      </c>
      <c r="E1674" s="2" t="s">
        <v>155</v>
      </c>
      <c r="F1674" s="30">
        <v>45839</v>
      </c>
      <c r="G1674" s="2">
        <f>DAY(EOMONTH(TA[[#This Row],[Month Year]],0))</f>
        <v>31</v>
      </c>
      <c r="H1674" s="21">
        <v>45865</v>
      </c>
      <c r="I1674" s="32">
        <f>IFERROR(VLOOKUP(TA[[#This Row],[Date]],Raw_Data[[Date]:[Sunset Time (POA&lt;20 W/m2)]],3,0),"")</f>
        <v>0.2590277777777778</v>
      </c>
      <c r="J1674" s="32">
        <f>IFERROR(VLOOKUP(TA[[#This Row],[Date]],Raw_Data[[Date]:[Sunset Time (POA&lt;20 W/m2)]],4,0),"")</f>
        <v>0.78402777777777777</v>
      </c>
      <c r="K1674" s="27">
        <f>IFERROR((TA[[#This Row],[Sunset Time (POA&lt;20 W/m2)]]-TA[[#This Row],[Sunrise Time (POA&gt;20 W/m2)]])*24,"")</f>
        <v>12.599999999999998</v>
      </c>
      <c r="L1674" s="2" t="s">
        <v>285</v>
      </c>
      <c r="M1674" s="33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14" t="s">
        <v>307</v>
      </c>
      <c r="Q1674" s="113" t="s">
        <v>307</v>
      </c>
      <c r="R1674">
        <v>118</v>
      </c>
      <c r="S1674" s="2">
        <v>22</v>
      </c>
      <c r="T1674" t="s">
        <v>286</v>
      </c>
      <c r="U1674" t="s">
        <v>291</v>
      </c>
      <c r="V1674" t="s">
        <v>289</v>
      </c>
      <c r="W1674" s="32"/>
      <c r="X1674" s="32"/>
      <c r="Y1674" s="26"/>
      <c r="Z1674" s="26"/>
      <c r="AA1674" s="27">
        <f>IF(TA[[#This Row],[Work Start time on Fault]]="NA","",(TA[[#This Row],[Fault Acknowledgement Time ]]-TA[[#This Row],[Fault Time]])*24)</f>
        <v>0</v>
      </c>
      <c r="AB1674" s="27">
        <f>(TA[[#This Row],[Work Start time on Fault]]-TA[[#This Row],[Fault Time]])*24</f>
        <v>0</v>
      </c>
      <c r="AC1674" s="26">
        <f>(TA[[#This Row],[Work Completion time on fault]]-TA[[#This Row],[Fault Time]])*24</f>
        <v>0</v>
      </c>
      <c r="AD1674" s="27">
        <f>IFERROR((TA[[#This Row],[Work Completion time on fault]]-TA[[#This Row],[Fault Time]])*24,"")</f>
        <v>0</v>
      </c>
      <c r="AE1674" t="s">
        <v>319</v>
      </c>
      <c r="AF1674" t="s">
        <v>247</v>
      </c>
      <c r="AG1674" s="2"/>
      <c r="AH1674" s="35">
        <f>1-COS(RADIANS(TA[[#This Row],[Avg. Target Angle during Fault Time (Radians)]]-TA[[#This Row],[Angle of affected equipment ]]))</f>
        <v>0.11705240714107301</v>
      </c>
      <c r="AI1674" s="27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43">
        <f t="shared" si="210"/>
        <v>2026</v>
      </c>
      <c r="C1675" s="116">
        <f t="shared" si="211"/>
        <v>2025</v>
      </c>
      <c r="D1675" s="2" t="s">
        <v>155</v>
      </c>
      <c r="E1675" s="2" t="s">
        <v>155</v>
      </c>
      <c r="F1675" s="30">
        <v>45839</v>
      </c>
      <c r="G1675" s="2">
        <f>DAY(EOMONTH(TA[[#This Row],[Month Year]],0))</f>
        <v>31</v>
      </c>
      <c r="H1675" s="21">
        <v>45865</v>
      </c>
      <c r="I1675" s="32">
        <f>IFERROR(VLOOKUP(TA[[#This Row],[Date]],Raw_Data[[Date]:[Sunset Time (POA&lt;20 W/m2)]],3,0),"")</f>
        <v>0.2590277777777778</v>
      </c>
      <c r="J1675" s="32">
        <f>IFERROR(VLOOKUP(TA[[#This Row],[Date]],Raw_Data[[Date]:[Sunset Time (POA&lt;20 W/m2)]],4,0),"")</f>
        <v>0.78402777777777777</v>
      </c>
      <c r="K1675" s="27">
        <f>IFERROR((TA[[#This Row],[Sunset Time (POA&lt;20 W/m2)]]-TA[[#This Row],[Sunrise Time (POA&gt;20 W/m2)]])*24,"")</f>
        <v>12.599999999999998</v>
      </c>
      <c r="L1675" s="2" t="s">
        <v>287</v>
      </c>
      <c r="M1675" s="33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314</v>
      </c>
      <c r="Q1675" s="2" t="s">
        <v>320</v>
      </c>
      <c r="R1675">
        <v>45</v>
      </c>
      <c r="S1675" s="2">
        <v>8</v>
      </c>
      <c r="T1675" t="s">
        <v>288</v>
      </c>
      <c r="U1675" t="s">
        <v>291</v>
      </c>
      <c r="V1675" t="s">
        <v>292</v>
      </c>
      <c r="W1675" s="32"/>
      <c r="X1675" s="32"/>
      <c r="Y1675" s="26"/>
      <c r="Z1675" s="26"/>
      <c r="AA1675" s="27">
        <f>IF(TA[[#This Row],[Work Start time on Fault]]="NA","",(TA[[#This Row],[Fault Acknowledgement Time ]]-TA[[#This Row],[Fault Time]])*24)</f>
        <v>0</v>
      </c>
      <c r="AB1675" s="27">
        <f>(TA[[#This Row],[Work Start time on Fault]]-TA[[#This Row],[Fault Time]])*24</f>
        <v>0</v>
      </c>
      <c r="AC1675" s="26">
        <f>(TA[[#This Row],[Work Completion time on fault]]-TA[[#This Row],[Fault Time]])*24</f>
        <v>0</v>
      </c>
      <c r="AD1675" s="27">
        <f>IFERROR((TA[[#This Row],[Work Completion time on fault]]-TA[[#This Row],[Fault Time]])*24,"")</f>
        <v>0</v>
      </c>
      <c r="AE1675" t="s">
        <v>319</v>
      </c>
      <c r="AF1675" t="s">
        <v>247</v>
      </c>
      <c r="AG1675" s="2"/>
      <c r="AH1675" s="35">
        <f>1-COS(RADIANS(TA[[#This Row],[Avg. Target Angle during Fault Time (Radians)]]-TA[[#This Row],[Angle of affected equipment ]]))</f>
        <v>0.11705240714107301</v>
      </c>
      <c r="AI1675" s="27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43">
        <f t="shared" si="210"/>
        <v>2026</v>
      </c>
      <c r="C1676" s="116">
        <f t="shared" si="211"/>
        <v>2025</v>
      </c>
      <c r="D1676" s="2" t="s">
        <v>155</v>
      </c>
      <c r="E1676" s="2" t="s">
        <v>155</v>
      </c>
      <c r="F1676" s="30">
        <v>45839</v>
      </c>
      <c r="G1676" s="2">
        <f>DAY(EOMONTH(TA[[#This Row],[Month Year]],0))</f>
        <v>31</v>
      </c>
      <c r="H1676" s="21">
        <v>45865</v>
      </c>
      <c r="I1676" s="32">
        <f>IFERROR(VLOOKUP(TA[[#This Row],[Date]],Raw_Data[[Date]:[Sunset Time (POA&lt;20 W/m2)]],3,0),"")</f>
        <v>0.2590277777777778</v>
      </c>
      <c r="J1676" s="32">
        <f>IFERROR(VLOOKUP(TA[[#This Row],[Date]],Raw_Data[[Date]:[Sunset Time (POA&lt;20 W/m2)]],4,0),"")</f>
        <v>0.78402777777777777</v>
      </c>
      <c r="K1676" s="27">
        <f>IFERROR((TA[[#This Row],[Sunset Time (POA&lt;20 W/m2)]]-TA[[#This Row],[Sunrise Time (POA&gt;20 W/m2)]])*24,"")</f>
        <v>12.599999999999998</v>
      </c>
      <c r="L1676" s="2" t="s">
        <v>287</v>
      </c>
      <c r="M1676" s="33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314</v>
      </c>
      <c r="Q1676" s="2" t="s">
        <v>320</v>
      </c>
      <c r="R1676">
        <v>47</v>
      </c>
      <c r="S1676" s="2">
        <v>18</v>
      </c>
      <c r="T1676" t="s">
        <v>288</v>
      </c>
      <c r="U1676" t="s">
        <v>291</v>
      </c>
      <c r="V1676" t="s">
        <v>292</v>
      </c>
      <c r="W1676" s="32"/>
      <c r="X1676" s="32"/>
      <c r="Y1676" s="26"/>
      <c r="Z1676" s="26"/>
      <c r="AA1676" s="27">
        <f>IF(TA[[#This Row],[Work Start time on Fault]]="NA","",(TA[[#This Row],[Fault Acknowledgement Time ]]-TA[[#This Row],[Fault Time]])*24)</f>
        <v>0</v>
      </c>
      <c r="AB1676" s="27">
        <f>(TA[[#This Row],[Work Start time on Fault]]-TA[[#This Row],[Fault Time]])*24</f>
        <v>0</v>
      </c>
      <c r="AC1676" s="26">
        <f>(TA[[#This Row],[Work Completion time on fault]]-TA[[#This Row],[Fault Time]])*24</f>
        <v>0</v>
      </c>
      <c r="AD1676" s="27">
        <f>IFERROR((TA[[#This Row],[Work Completion time on fault]]-TA[[#This Row],[Fault Time]])*24,"")</f>
        <v>0</v>
      </c>
      <c r="AE1676" t="s">
        <v>319</v>
      </c>
      <c r="AF1676" t="s">
        <v>247</v>
      </c>
      <c r="AG1676" s="2"/>
      <c r="AH1676" s="35">
        <f>1-COS(RADIANS(TA[[#This Row],[Avg. Target Angle during Fault Time (Radians)]]-TA[[#This Row],[Angle of affected equipment ]]))</f>
        <v>0.11705240714107301</v>
      </c>
      <c r="AI1676" s="27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43">
        <f t="shared" si="210"/>
        <v>2026</v>
      </c>
      <c r="C1677" s="116">
        <f t="shared" si="211"/>
        <v>2025</v>
      </c>
      <c r="D1677" s="2" t="s">
        <v>155</v>
      </c>
      <c r="E1677" s="2" t="s">
        <v>155</v>
      </c>
      <c r="F1677" s="30">
        <v>45839</v>
      </c>
      <c r="G1677" s="2">
        <f>DAY(EOMONTH(TA[[#This Row],[Month Year]],0))</f>
        <v>31</v>
      </c>
      <c r="H1677" s="21">
        <v>45865</v>
      </c>
      <c r="I1677" s="32">
        <f>IFERROR(VLOOKUP(TA[[#This Row],[Date]],Raw_Data[[Date]:[Sunset Time (POA&lt;20 W/m2)]],3,0),"")</f>
        <v>0.2590277777777778</v>
      </c>
      <c r="J1677" s="32">
        <f>IFERROR(VLOOKUP(TA[[#This Row],[Date]],Raw_Data[[Date]:[Sunset Time (POA&lt;20 W/m2)]],4,0),"")</f>
        <v>0.78402777777777777</v>
      </c>
      <c r="K1677" s="27">
        <f>IFERROR((TA[[#This Row],[Sunset Time (POA&lt;20 W/m2)]]-TA[[#This Row],[Sunrise Time (POA&gt;20 W/m2)]])*24,"")</f>
        <v>12.599999999999998</v>
      </c>
      <c r="L1677" s="2" t="s">
        <v>287</v>
      </c>
      <c r="M1677" s="33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321</v>
      </c>
      <c r="Q1677" s="2" t="s">
        <v>314</v>
      </c>
      <c r="R1677">
        <v>30</v>
      </c>
      <c r="S1677" s="2">
        <v>57</v>
      </c>
      <c r="T1677" t="s">
        <v>288</v>
      </c>
      <c r="U1677" t="s">
        <v>291</v>
      </c>
      <c r="V1677" t="s">
        <v>292</v>
      </c>
      <c r="W1677" s="32"/>
      <c r="X1677" s="32"/>
      <c r="Y1677" s="26"/>
      <c r="Z1677" s="26"/>
      <c r="AA1677" s="27">
        <f>IF(TA[[#This Row],[Work Start time on Fault]]="NA","",(TA[[#This Row],[Fault Acknowledgement Time ]]-TA[[#This Row],[Fault Time]])*24)</f>
        <v>0</v>
      </c>
      <c r="AB1677" s="27">
        <f>(TA[[#This Row],[Work Start time on Fault]]-TA[[#This Row],[Fault Time]])*24</f>
        <v>0</v>
      </c>
      <c r="AC1677" s="26">
        <f>(TA[[#This Row],[Work Completion time on fault]]-TA[[#This Row],[Fault Time]])*24</f>
        <v>0</v>
      </c>
      <c r="AD1677" s="27">
        <f>IFERROR((TA[[#This Row],[Work Completion time on fault]]-TA[[#This Row],[Fault Time]])*24,"")</f>
        <v>0</v>
      </c>
      <c r="AE1677" t="s">
        <v>319</v>
      </c>
      <c r="AF1677" t="s">
        <v>247</v>
      </c>
      <c r="AG1677" s="2"/>
      <c r="AH1677" s="35">
        <f>1-COS(RADIANS(TA[[#This Row],[Avg. Target Angle during Fault Time (Radians)]]-TA[[#This Row],[Angle of affected equipment ]]))</f>
        <v>0.11705240714107301</v>
      </c>
      <c r="AI1677" s="27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43">
        <f t="shared" si="210"/>
        <v>2026</v>
      </c>
      <c r="C1678" s="116">
        <f t="shared" si="211"/>
        <v>2025</v>
      </c>
      <c r="D1678" s="2" t="s">
        <v>155</v>
      </c>
      <c r="E1678" s="2" t="s">
        <v>155</v>
      </c>
      <c r="F1678" s="30">
        <v>45839</v>
      </c>
      <c r="G1678" s="2">
        <f>DAY(EOMONTH(TA[[#This Row],[Month Year]],0))</f>
        <v>31</v>
      </c>
      <c r="H1678" s="21">
        <v>45865</v>
      </c>
      <c r="I1678" s="32">
        <f>IFERROR(VLOOKUP(TA[[#This Row],[Date]],Raw_Data[[Date]:[Sunset Time (POA&lt;20 W/m2)]],3,0),"")</f>
        <v>0.2590277777777778</v>
      </c>
      <c r="J1678" s="32">
        <f>IFERROR(VLOOKUP(TA[[#This Row],[Date]],Raw_Data[[Date]:[Sunset Time (POA&lt;20 W/m2)]],4,0),"")</f>
        <v>0.78402777777777777</v>
      </c>
      <c r="K1678" s="27">
        <f>IFERROR((TA[[#This Row],[Sunset Time (POA&lt;20 W/m2)]]-TA[[#This Row],[Sunrise Time (POA&gt;20 W/m2)]])*24,"")</f>
        <v>12.599999999999998</v>
      </c>
      <c r="L1678" s="2" t="s">
        <v>287</v>
      </c>
      <c r="M1678" s="33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321</v>
      </c>
      <c r="Q1678" s="2" t="s">
        <v>314</v>
      </c>
      <c r="R1678">
        <v>31</v>
      </c>
      <c r="S1678" s="2">
        <v>61</v>
      </c>
      <c r="T1678" t="s">
        <v>288</v>
      </c>
      <c r="U1678" t="s">
        <v>291</v>
      </c>
      <c r="V1678" t="s">
        <v>292</v>
      </c>
      <c r="W1678" s="32"/>
      <c r="X1678" s="32"/>
      <c r="Y1678" s="26"/>
      <c r="Z1678" s="26"/>
      <c r="AA1678" s="27">
        <f>IF(TA[[#This Row],[Work Start time on Fault]]="NA","",(TA[[#This Row],[Fault Acknowledgement Time ]]-TA[[#This Row],[Fault Time]])*24)</f>
        <v>0</v>
      </c>
      <c r="AB1678" s="27">
        <f>(TA[[#This Row],[Work Start time on Fault]]-TA[[#This Row],[Fault Time]])*24</f>
        <v>0</v>
      </c>
      <c r="AC1678" s="26">
        <f>(TA[[#This Row],[Work Completion time on fault]]-TA[[#This Row],[Fault Time]])*24</f>
        <v>0</v>
      </c>
      <c r="AD1678" s="27">
        <f>IFERROR((TA[[#This Row],[Work Completion time on fault]]-TA[[#This Row],[Fault Time]])*24,"")</f>
        <v>0</v>
      </c>
      <c r="AE1678" t="s">
        <v>319</v>
      </c>
      <c r="AF1678" t="s">
        <v>247</v>
      </c>
      <c r="AG1678" s="2"/>
      <c r="AH1678" s="35">
        <f>1-COS(RADIANS(TA[[#This Row],[Avg. Target Angle during Fault Time (Radians)]]-TA[[#This Row],[Angle of affected equipment ]]))</f>
        <v>0.11705240714107301</v>
      </c>
      <c r="AI1678" s="27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43">
        <f t="shared" si="210"/>
        <v>2026</v>
      </c>
      <c r="C1679" s="116">
        <f t="shared" si="211"/>
        <v>2025</v>
      </c>
      <c r="D1679" s="2" t="s">
        <v>155</v>
      </c>
      <c r="E1679" s="2" t="s">
        <v>155</v>
      </c>
      <c r="F1679" s="30">
        <v>45839</v>
      </c>
      <c r="G1679" s="2">
        <f>DAY(EOMONTH(TA[[#This Row],[Month Year]],0))</f>
        <v>31</v>
      </c>
      <c r="H1679" s="21">
        <v>45865</v>
      </c>
      <c r="I1679" s="32">
        <f>IFERROR(VLOOKUP(TA[[#This Row],[Date]],Raw_Data[[Date]:[Sunset Time (POA&lt;20 W/m2)]],3,0),"")</f>
        <v>0.2590277777777778</v>
      </c>
      <c r="J1679" s="32">
        <f>IFERROR(VLOOKUP(TA[[#This Row],[Date]],Raw_Data[[Date]:[Sunset Time (POA&lt;20 W/m2)]],4,0),"")</f>
        <v>0.78402777777777777</v>
      </c>
      <c r="K1679" s="27">
        <f>IFERROR((TA[[#This Row],[Sunset Time (POA&lt;20 W/m2)]]-TA[[#This Row],[Sunrise Time (POA&gt;20 W/m2)]])*24,"")</f>
        <v>12.599999999999998</v>
      </c>
      <c r="L1679" s="2" t="s">
        <v>303</v>
      </c>
      <c r="M1679" s="33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321</v>
      </c>
      <c r="Q1679" s="2" t="s">
        <v>314</v>
      </c>
      <c r="R1679">
        <v>26</v>
      </c>
      <c r="S1679" s="2">
        <v>37</v>
      </c>
      <c r="T1679" t="s">
        <v>288</v>
      </c>
      <c r="U1679" t="s">
        <v>291</v>
      </c>
      <c r="V1679" t="s">
        <v>292</v>
      </c>
      <c r="W1679" s="32"/>
      <c r="X1679" s="32"/>
      <c r="Y1679" s="26"/>
      <c r="Z1679" s="26"/>
      <c r="AA1679" s="27">
        <f>IF(TA[[#This Row],[Work Start time on Fault]]="NA","",(TA[[#This Row],[Fault Acknowledgement Time ]]-TA[[#This Row],[Fault Time]])*24)</f>
        <v>0</v>
      </c>
      <c r="AB1679" s="27">
        <f>(TA[[#This Row],[Work Start time on Fault]]-TA[[#This Row],[Fault Time]])*24</f>
        <v>0</v>
      </c>
      <c r="AC1679" s="26">
        <f>(TA[[#This Row],[Work Completion time on fault]]-TA[[#This Row],[Fault Time]])*24</f>
        <v>0</v>
      </c>
      <c r="AD1679" s="27">
        <f>IFERROR((TA[[#This Row],[Work Completion time on fault]]-TA[[#This Row],[Fault Time]])*24,"")</f>
        <v>0</v>
      </c>
      <c r="AE1679" t="s">
        <v>319</v>
      </c>
      <c r="AF1679" t="s">
        <v>247</v>
      </c>
      <c r="AG1679" s="2"/>
      <c r="AH1679" s="35">
        <f>1-COS(RADIANS(TA[[#This Row],[Avg. Target Angle during Fault Time (Radians)]]-TA[[#This Row],[Angle of affected equipment ]]))</f>
        <v>0.11705240714107301</v>
      </c>
      <c r="AI1679" s="27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43">
        <f t="shared" si="210"/>
        <v>2026</v>
      </c>
      <c r="C1680" s="116">
        <f t="shared" si="211"/>
        <v>2025</v>
      </c>
      <c r="D1680" s="2" t="s">
        <v>155</v>
      </c>
      <c r="E1680" s="2" t="s">
        <v>155</v>
      </c>
      <c r="F1680" s="30">
        <v>45839</v>
      </c>
      <c r="G1680" s="2">
        <f>DAY(EOMONTH(TA[[#This Row],[Month Year]],0))</f>
        <v>31</v>
      </c>
      <c r="H1680" s="21">
        <v>45865</v>
      </c>
      <c r="I1680" s="32">
        <f>IFERROR(VLOOKUP(TA[[#This Row],[Date]],Raw_Data[[Date]:[Sunset Time (POA&lt;20 W/m2)]],3,0),"")</f>
        <v>0.2590277777777778</v>
      </c>
      <c r="J1680" s="32">
        <f>IFERROR(VLOOKUP(TA[[#This Row],[Date]],Raw_Data[[Date]:[Sunset Time (POA&lt;20 W/m2)]],4,0),"")</f>
        <v>0.78402777777777777</v>
      </c>
      <c r="K1680" s="27">
        <f>IFERROR((TA[[#This Row],[Sunset Time (POA&lt;20 W/m2)]]-TA[[#This Row],[Sunrise Time (POA&gt;20 W/m2)]])*24,"")</f>
        <v>12.599999999999998</v>
      </c>
      <c r="L1680" s="2" t="s">
        <v>303</v>
      </c>
      <c r="M1680" s="33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321</v>
      </c>
      <c r="Q1680" s="2" t="s">
        <v>314</v>
      </c>
      <c r="R1680">
        <v>27</v>
      </c>
      <c r="S1680" s="2">
        <v>42</v>
      </c>
      <c r="T1680" t="s">
        <v>288</v>
      </c>
      <c r="U1680" t="s">
        <v>291</v>
      </c>
      <c r="V1680" t="s">
        <v>292</v>
      </c>
      <c r="W1680" s="32">
        <f>IFERROR(VLOOKUP(TA[[#This Row],[Date]],Raw_Data[[Date]:[Sunset Time (POA&lt;20 W/m2)]],3,0),"")</f>
        <v>0.2590277777777778</v>
      </c>
      <c r="X1680" s="32">
        <f>IFERROR(VLOOKUP(TA[[#This Row],[Date]],Raw_Data[[Date]:[Sunset Time (POA&lt;20 W/m2)]],3,0),"")</f>
        <v>0.2590277777777778</v>
      </c>
      <c r="Y1680" s="26"/>
      <c r="Z1680" s="26">
        <v>0.76041666666666663</v>
      </c>
      <c r="AA1680" s="27">
        <f>IF(TA[[#This Row],[Work Start time on Fault]]="NA","",(TA[[#This Row],[Fault Acknowledgement Time ]]-TA[[#This Row],[Fault Time]])*24)</f>
        <v>0</v>
      </c>
      <c r="AB1680" s="27">
        <f>(TA[[#This Row],[Work Start time on Fault]]-TA[[#This Row],[Fault Time]])*24</f>
        <v>-6.2166666666666668</v>
      </c>
      <c r="AC1680" s="26">
        <f>(TA[[#This Row],[Work Completion time on fault]]-TA[[#This Row],[Fault Time]])*24</f>
        <v>12.033333333333333</v>
      </c>
      <c r="AD1680" s="27">
        <f>IFERROR((TA[[#This Row],[Work Completion time on fault]]-TA[[#This Row],[Fault Time]])*24,"")</f>
        <v>12.033333333333333</v>
      </c>
      <c r="AE1680" t="s">
        <v>300</v>
      </c>
      <c r="AF1680" t="s">
        <v>247</v>
      </c>
      <c r="AG1680" s="2"/>
      <c r="AH1680" s="35">
        <f>1-COS(RADIANS(TA[[#This Row],[Avg. Target Angle during Fault Time (Radians)]]-TA[[#This Row],[Angle of affected equipment ]]))</f>
        <v>0.11705240714107301</v>
      </c>
      <c r="AI1680" s="27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43">
        <f t="shared" ref="B1681:B1693" si="212">YEAR(H1681)+IF(MONTH(H1681)&gt;=4,1,0)</f>
        <v>2026</v>
      </c>
      <c r="C1681" s="116">
        <f t="shared" ref="C1681:C1693" si="213">YEAR(H1681)</f>
        <v>2025</v>
      </c>
      <c r="D1681" s="2" t="s">
        <v>155</v>
      </c>
      <c r="E1681" s="2" t="s">
        <v>155</v>
      </c>
      <c r="F1681" s="30">
        <v>45839</v>
      </c>
      <c r="G1681" s="2">
        <f>DAY(EOMONTH(TA[[#This Row],[Month Year]],0))</f>
        <v>31</v>
      </c>
      <c r="H1681" s="21">
        <v>45866</v>
      </c>
      <c r="I1681" s="32">
        <f>IFERROR(VLOOKUP(TA[[#This Row],[Date]],Raw_Data[[Date]:[Sunset Time (POA&lt;20 W/m2)]],3,0),"")</f>
        <v>0.25624999999999998</v>
      </c>
      <c r="J1681" s="32">
        <f>IFERROR(VLOOKUP(TA[[#This Row],[Date]],Raw_Data[[Date]:[Sunset Time (POA&lt;20 W/m2)]],4,0),"")</f>
        <v>0.76944444444444449</v>
      </c>
      <c r="K1681" s="27">
        <f>IFERROR((TA[[#This Row],[Sunset Time (POA&lt;20 W/m2)]]-TA[[#This Row],[Sunrise Time (POA&gt;20 W/m2)]])*24,"")</f>
        <v>12.316666666666668</v>
      </c>
      <c r="L1681" s="2" t="s">
        <v>285</v>
      </c>
      <c r="M1681" s="33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14" t="s">
        <v>309</v>
      </c>
      <c r="Q1681" s="113" t="s">
        <v>309</v>
      </c>
      <c r="R1681">
        <v>131</v>
      </c>
      <c r="S1681" s="2">
        <v>38</v>
      </c>
      <c r="T1681" t="s">
        <v>286</v>
      </c>
      <c r="U1681" t="s">
        <v>291</v>
      </c>
      <c r="V1681" t="s">
        <v>289</v>
      </c>
      <c r="W1681" s="32"/>
      <c r="X1681" s="32"/>
      <c r="Y1681" s="26"/>
      <c r="Z1681" s="26"/>
      <c r="AA1681" s="27">
        <f>IF(TA[[#This Row],[Work Start time on Fault]]="NA","",(TA[[#This Row],[Fault Acknowledgement Time ]]-TA[[#This Row],[Fault Time]])*24)</f>
        <v>0</v>
      </c>
      <c r="AB1681" s="27">
        <f>(TA[[#This Row],[Work Start time on Fault]]-TA[[#This Row],[Fault Time]])*24</f>
        <v>0</v>
      </c>
      <c r="AC1681" s="26">
        <f>(TA[[#This Row],[Work Completion time on fault]]-TA[[#This Row],[Fault Time]])*24</f>
        <v>0</v>
      </c>
      <c r="AD1681" s="27">
        <f>IFERROR((TA[[#This Row],[Work Completion time on fault]]-TA[[#This Row],[Fault Time]])*24,"")</f>
        <v>0</v>
      </c>
      <c r="AE1681" t="s">
        <v>319</v>
      </c>
      <c r="AF1681" t="s">
        <v>247</v>
      </c>
      <c r="AG1681" s="2"/>
      <c r="AH1681" s="35">
        <f>1-COS(RADIANS(TA[[#This Row],[Avg. Target Angle during Fault Time (Radians)]]-TA[[#This Row],[Angle of affected equipment ]]))</f>
        <v>0.11705240714107301</v>
      </c>
      <c r="AI1681" s="27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43">
        <f t="shared" si="212"/>
        <v>2026</v>
      </c>
      <c r="C1682" s="116">
        <f t="shared" si="213"/>
        <v>2025</v>
      </c>
      <c r="D1682" s="2" t="s">
        <v>155</v>
      </c>
      <c r="E1682" s="2" t="s">
        <v>155</v>
      </c>
      <c r="F1682" s="30">
        <v>45839</v>
      </c>
      <c r="G1682" s="2">
        <f>DAY(EOMONTH(TA[[#This Row],[Month Year]],0))</f>
        <v>31</v>
      </c>
      <c r="H1682" s="21">
        <v>45866</v>
      </c>
      <c r="I1682" s="32">
        <f>IFERROR(VLOOKUP(TA[[#This Row],[Date]],Raw_Data[[Date]:[Sunset Time (POA&lt;20 W/m2)]],3,0),"")</f>
        <v>0.25624999999999998</v>
      </c>
      <c r="J1682" s="32">
        <f>IFERROR(VLOOKUP(TA[[#This Row],[Date]],Raw_Data[[Date]:[Sunset Time (POA&lt;20 W/m2)]],4,0),"")</f>
        <v>0.76944444444444449</v>
      </c>
      <c r="K1682" s="27">
        <f>IFERROR((TA[[#This Row],[Sunset Time (POA&lt;20 W/m2)]]-TA[[#This Row],[Sunrise Time (POA&gt;20 W/m2)]])*24,"")</f>
        <v>12.316666666666668</v>
      </c>
      <c r="L1682" s="2" t="s">
        <v>285</v>
      </c>
      <c r="M1682" s="33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14" t="s">
        <v>309</v>
      </c>
      <c r="Q1682" s="113" t="s">
        <v>309</v>
      </c>
      <c r="R1682">
        <v>131</v>
      </c>
      <c r="S1682" s="2">
        <v>39</v>
      </c>
      <c r="T1682" t="s">
        <v>286</v>
      </c>
      <c r="U1682" t="s">
        <v>291</v>
      </c>
      <c r="V1682" t="s">
        <v>289</v>
      </c>
      <c r="W1682" s="32"/>
      <c r="X1682" s="32"/>
      <c r="Y1682" s="26"/>
      <c r="Z1682" s="26"/>
      <c r="AA1682" s="27">
        <f>IF(TA[[#This Row],[Work Start time on Fault]]="NA","",(TA[[#This Row],[Fault Acknowledgement Time ]]-TA[[#This Row],[Fault Time]])*24)</f>
        <v>0</v>
      </c>
      <c r="AB1682" s="27">
        <f>(TA[[#This Row],[Work Start time on Fault]]-TA[[#This Row],[Fault Time]])*24</f>
        <v>0</v>
      </c>
      <c r="AC1682" s="26">
        <f>(TA[[#This Row],[Work Completion time on fault]]-TA[[#This Row],[Fault Time]])*24</f>
        <v>0</v>
      </c>
      <c r="AD1682" s="27">
        <f>IFERROR((TA[[#This Row],[Work Completion time on fault]]-TA[[#This Row],[Fault Time]])*24,"")</f>
        <v>0</v>
      </c>
      <c r="AE1682" t="s">
        <v>319</v>
      </c>
      <c r="AF1682" t="s">
        <v>247</v>
      </c>
      <c r="AG1682" s="2"/>
      <c r="AH1682" s="35">
        <f>1-COS(RADIANS(TA[[#This Row],[Avg. Target Angle during Fault Time (Radians)]]-TA[[#This Row],[Angle of affected equipment ]]))</f>
        <v>0.11705240714107301</v>
      </c>
      <c r="AI1682" s="27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43">
        <f t="shared" si="212"/>
        <v>2026</v>
      </c>
      <c r="C1683" s="116">
        <f t="shared" si="213"/>
        <v>2025</v>
      </c>
      <c r="D1683" s="2" t="s">
        <v>155</v>
      </c>
      <c r="E1683" s="2" t="s">
        <v>155</v>
      </c>
      <c r="F1683" s="30">
        <v>45839</v>
      </c>
      <c r="G1683" s="2">
        <f>DAY(EOMONTH(TA[[#This Row],[Month Year]],0))</f>
        <v>31</v>
      </c>
      <c r="H1683" s="21">
        <v>45866</v>
      </c>
      <c r="I1683" s="32">
        <f>IFERROR(VLOOKUP(TA[[#This Row],[Date]],Raw_Data[[Date]:[Sunset Time (POA&lt;20 W/m2)]],3,0),"")</f>
        <v>0.25624999999999998</v>
      </c>
      <c r="J1683" s="32">
        <f>IFERROR(VLOOKUP(TA[[#This Row],[Date]],Raw_Data[[Date]:[Sunset Time (POA&lt;20 W/m2)]],4,0),"")</f>
        <v>0.76944444444444449</v>
      </c>
      <c r="K1683" s="27">
        <f>IFERROR((TA[[#This Row],[Sunset Time (POA&lt;20 W/m2)]]-TA[[#This Row],[Sunrise Time (POA&gt;20 W/m2)]])*24,"")</f>
        <v>12.316666666666668</v>
      </c>
      <c r="L1683" s="2" t="s">
        <v>287</v>
      </c>
      <c r="M1683" s="33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14" t="s">
        <v>309</v>
      </c>
      <c r="Q1683" s="2" t="s">
        <v>312</v>
      </c>
      <c r="R1683">
        <v>133</v>
      </c>
      <c r="S1683" s="2">
        <v>26</v>
      </c>
      <c r="T1683" t="s">
        <v>288</v>
      </c>
      <c r="U1683" t="s">
        <v>291</v>
      </c>
      <c r="V1683" t="s">
        <v>305</v>
      </c>
      <c r="W1683" s="32">
        <f>IFERROR(VLOOKUP(TA[[#This Row],[Date]],Raw_Data[[Date]:[Sunset Time (POA&lt;20 W/m2)]],3,0),"")</f>
        <v>0.25624999999999998</v>
      </c>
      <c r="X1683" s="32">
        <f>IFERROR(VLOOKUP(TA[[#This Row],[Date]],Raw_Data[[Date]:[Sunset Time (POA&lt;20 W/m2)]],3,0),"")</f>
        <v>0.25624999999999998</v>
      </c>
      <c r="Y1683" s="26"/>
      <c r="Z1683" s="26">
        <v>0.76041666666666663</v>
      </c>
      <c r="AA1683" s="27">
        <f>IF(TA[[#This Row],[Work Start time on Fault]]="NA","",(TA[[#This Row],[Fault Acknowledgement Time ]]-TA[[#This Row],[Fault Time]])*24)</f>
        <v>0</v>
      </c>
      <c r="AB1683" s="27">
        <f>(TA[[#This Row],[Work Start time on Fault]]-TA[[#This Row],[Fault Time]])*24</f>
        <v>-6.1499999999999995</v>
      </c>
      <c r="AC1683" s="26">
        <f>(TA[[#This Row],[Work Completion time on fault]]-TA[[#This Row],[Fault Time]])*24</f>
        <v>12.1</v>
      </c>
      <c r="AD1683" s="27">
        <f>IFERROR((TA[[#This Row],[Work Completion time on fault]]-TA[[#This Row],[Fault Time]])*24,"")</f>
        <v>12.1</v>
      </c>
      <c r="AE1683" t="s">
        <v>319</v>
      </c>
      <c r="AF1683" t="s">
        <v>247</v>
      </c>
      <c r="AG1683" s="2"/>
      <c r="AH1683" s="35">
        <f>1-COS(RADIANS(TA[[#This Row],[Avg. Target Angle during Fault Time (Radians)]]-TA[[#This Row],[Angle of affected equipment ]]))</f>
        <v>0.11705240714107301</v>
      </c>
      <c r="AI1683" s="27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43">
        <f t="shared" si="212"/>
        <v>2026</v>
      </c>
      <c r="C1684" s="116">
        <f t="shared" si="213"/>
        <v>2025</v>
      </c>
      <c r="D1684" s="2" t="s">
        <v>155</v>
      </c>
      <c r="E1684" s="2" t="s">
        <v>155</v>
      </c>
      <c r="F1684" s="30">
        <v>45839</v>
      </c>
      <c r="G1684" s="2">
        <f>DAY(EOMONTH(TA[[#This Row],[Month Year]],0))</f>
        <v>31</v>
      </c>
      <c r="H1684" s="21">
        <v>45866</v>
      </c>
      <c r="I1684" s="32">
        <f>IFERROR(VLOOKUP(TA[[#This Row],[Date]],Raw_Data[[Date]:[Sunset Time (POA&lt;20 W/m2)]],3,0),"")</f>
        <v>0.25624999999999998</v>
      </c>
      <c r="J1684" s="32">
        <f>IFERROR(VLOOKUP(TA[[#This Row],[Date]],Raw_Data[[Date]:[Sunset Time (POA&lt;20 W/m2)]],4,0),"")</f>
        <v>0.76944444444444449</v>
      </c>
      <c r="K1684" s="27">
        <f>IFERROR((TA[[#This Row],[Sunset Time (POA&lt;20 W/m2)]]-TA[[#This Row],[Sunrise Time (POA&gt;20 W/m2)]])*24,"")</f>
        <v>12.316666666666668</v>
      </c>
      <c r="L1684" s="2" t="s">
        <v>285</v>
      </c>
      <c r="M1684" s="33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14" t="s">
        <v>307</v>
      </c>
      <c r="Q1684" s="113" t="s">
        <v>308</v>
      </c>
      <c r="R1684">
        <v>7</v>
      </c>
      <c r="S1684" s="2">
        <v>32</v>
      </c>
      <c r="T1684" t="s">
        <v>286</v>
      </c>
      <c r="U1684" t="s">
        <v>291</v>
      </c>
      <c r="V1684" t="s">
        <v>289</v>
      </c>
      <c r="W1684" s="32"/>
      <c r="X1684" s="32"/>
      <c r="Y1684" s="26"/>
      <c r="Z1684" s="26"/>
      <c r="AA1684" s="27">
        <f>IF(TA[[#This Row],[Work Start time on Fault]]="NA","",(TA[[#This Row],[Fault Acknowledgement Time ]]-TA[[#This Row],[Fault Time]])*24)</f>
        <v>0</v>
      </c>
      <c r="AB1684" s="27">
        <f>(TA[[#This Row],[Work Start time on Fault]]-TA[[#This Row],[Fault Time]])*24</f>
        <v>0</v>
      </c>
      <c r="AC1684" s="26">
        <f>(TA[[#This Row],[Work Completion time on fault]]-TA[[#This Row],[Fault Time]])*24</f>
        <v>0</v>
      </c>
      <c r="AD1684" s="27">
        <f>IFERROR((TA[[#This Row],[Work Completion time on fault]]-TA[[#This Row],[Fault Time]])*24,"")</f>
        <v>0</v>
      </c>
      <c r="AE1684" t="s">
        <v>319</v>
      </c>
      <c r="AF1684" t="s">
        <v>247</v>
      </c>
      <c r="AG1684" s="2"/>
      <c r="AH1684" s="35">
        <f>1-COS(RADIANS(TA[[#This Row],[Avg. Target Angle during Fault Time (Radians)]]-TA[[#This Row],[Angle of affected equipment ]]))</f>
        <v>0.11705240714107301</v>
      </c>
      <c r="AI1684" s="27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43">
        <f t="shared" si="212"/>
        <v>2026</v>
      </c>
      <c r="C1685" s="116">
        <f t="shared" si="213"/>
        <v>2025</v>
      </c>
      <c r="D1685" s="2" t="s">
        <v>155</v>
      </c>
      <c r="E1685" s="2" t="s">
        <v>155</v>
      </c>
      <c r="F1685" s="30">
        <v>45839</v>
      </c>
      <c r="G1685" s="2">
        <f>DAY(EOMONTH(TA[[#This Row],[Month Year]],0))</f>
        <v>31</v>
      </c>
      <c r="H1685" s="21">
        <v>45866</v>
      </c>
      <c r="I1685" s="32">
        <f>IFERROR(VLOOKUP(TA[[#This Row],[Date]],Raw_Data[[Date]:[Sunset Time (POA&lt;20 W/m2)]],3,0),"")</f>
        <v>0.25624999999999998</v>
      </c>
      <c r="J1685" s="32">
        <f>IFERROR(VLOOKUP(TA[[#This Row],[Date]],Raw_Data[[Date]:[Sunset Time (POA&lt;20 W/m2)]],4,0),"")</f>
        <v>0.76944444444444449</v>
      </c>
      <c r="K1685" s="27">
        <f>IFERROR((TA[[#This Row],[Sunset Time (POA&lt;20 W/m2)]]-TA[[#This Row],[Sunrise Time (POA&gt;20 W/m2)]])*24,"")</f>
        <v>12.316666666666668</v>
      </c>
      <c r="L1685" s="2" t="s">
        <v>285</v>
      </c>
      <c r="M1685" s="33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14" t="s">
        <v>306</v>
      </c>
      <c r="Q1685" s="113" t="s">
        <v>310</v>
      </c>
      <c r="R1685">
        <v>166</v>
      </c>
      <c r="S1685" s="2">
        <v>91</v>
      </c>
      <c r="T1685" t="s">
        <v>286</v>
      </c>
      <c r="U1685" t="s">
        <v>291</v>
      </c>
      <c r="V1685" t="s">
        <v>289</v>
      </c>
      <c r="W1685" s="32"/>
      <c r="X1685" s="32"/>
      <c r="Y1685" s="26"/>
      <c r="Z1685" s="26"/>
      <c r="AA1685" s="27">
        <f>IF(TA[[#This Row],[Work Start time on Fault]]="NA","",(TA[[#This Row],[Fault Acknowledgement Time ]]-TA[[#This Row],[Fault Time]])*24)</f>
        <v>0</v>
      </c>
      <c r="AB1685" s="27">
        <f>(TA[[#This Row],[Work Start time on Fault]]-TA[[#This Row],[Fault Time]])*24</f>
        <v>0</v>
      </c>
      <c r="AC1685" s="26">
        <f>(TA[[#This Row],[Work Completion time on fault]]-TA[[#This Row],[Fault Time]])*24</f>
        <v>0</v>
      </c>
      <c r="AD1685" s="27">
        <f>IFERROR((TA[[#This Row],[Work Completion time on fault]]-TA[[#This Row],[Fault Time]])*24,"")</f>
        <v>0</v>
      </c>
      <c r="AE1685" t="s">
        <v>319</v>
      </c>
      <c r="AF1685" t="s">
        <v>247</v>
      </c>
      <c r="AG1685" s="2"/>
      <c r="AH1685" s="35">
        <f>1-COS(RADIANS(TA[[#This Row],[Avg. Target Angle during Fault Time (Radians)]]-TA[[#This Row],[Angle of affected equipment ]]))</f>
        <v>0.11705240714107301</v>
      </c>
      <c r="AI1685" s="27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43">
        <f t="shared" si="212"/>
        <v>2026</v>
      </c>
      <c r="C1686" s="116">
        <f t="shared" si="213"/>
        <v>2025</v>
      </c>
      <c r="D1686" s="2" t="s">
        <v>155</v>
      </c>
      <c r="E1686" s="2" t="s">
        <v>155</v>
      </c>
      <c r="F1686" s="30">
        <v>45839</v>
      </c>
      <c r="G1686" s="2">
        <f>DAY(EOMONTH(TA[[#This Row],[Month Year]],0))</f>
        <v>31</v>
      </c>
      <c r="H1686" s="21">
        <v>45866</v>
      </c>
      <c r="I1686" s="32">
        <f>IFERROR(VLOOKUP(TA[[#This Row],[Date]],Raw_Data[[Date]:[Sunset Time (POA&lt;20 W/m2)]],3,0),"")</f>
        <v>0.25624999999999998</v>
      </c>
      <c r="J1686" s="32">
        <f>IFERROR(VLOOKUP(TA[[#This Row],[Date]],Raw_Data[[Date]:[Sunset Time (POA&lt;20 W/m2)]],4,0),"")</f>
        <v>0.76944444444444449</v>
      </c>
      <c r="K1686" s="27">
        <f>IFERROR((TA[[#This Row],[Sunset Time (POA&lt;20 W/m2)]]-TA[[#This Row],[Sunrise Time (POA&gt;20 W/m2)]])*24,"")</f>
        <v>12.316666666666668</v>
      </c>
      <c r="L1686" s="2" t="s">
        <v>285</v>
      </c>
      <c r="M1686" s="33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14" t="s">
        <v>307</v>
      </c>
      <c r="Q1686" s="113" t="s">
        <v>307</v>
      </c>
      <c r="R1686">
        <v>117</v>
      </c>
      <c r="S1686" s="2">
        <v>20</v>
      </c>
      <c r="T1686" t="s">
        <v>286</v>
      </c>
      <c r="U1686" t="s">
        <v>291</v>
      </c>
      <c r="V1686" t="s">
        <v>289</v>
      </c>
      <c r="W1686" s="32"/>
      <c r="X1686" s="32"/>
      <c r="Y1686" s="26"/>
      <c r="Z1686" s="26"/>
      <c r="AA1686" s="27">
        <f>IF(TA[[#This Row],[Work Start time on Fault]]="NA","",(TA[[#This Row],[Fault Acknowledgement Time ]]-TA[[#This Row],[Fault Time]])*24)</f>
        <v>0</v>
      </c>
      <c r="AB1686" s="27">
        <f>(TA[[#This Row],[Work Start time on Fault]]-TA[[#This Row],[Fault Time]])*24</f>
        <v>0</v>
      </c>
      <c r="AC1686" s="26">
        <f>(TA[[#This Row],[Work Completion time on fault]]-TA[[#This Row],[Fault Time]])*24</f>
        <v>0</v>
      </c>
      <c r="AD1686" s="27">
        <f>IFERROR((TA[[#This Row],[Work Completion time on fault]]-TA[[#This Row],[Fault Time]])*24,"")</f>
        <v>0</v>
      </c>
      <c r="AE1686" t="s">
        <v>319</v>
      </c>
      <c r="AF1686" t="s">
        <v>247</v>
      </c>
      <c r="AG1686" s="2"/>
      <c r="AH1686" s="35">
        <f>1-COS(RADIANS(TA[[#This Row],[Avg. Target Angle during Fault Time (Radians)]]-TA[[#This Row],[Angle of affected equipment ]]))</f>
        <v>0.11705240714107301</v>
      </c>
      <c r="AI1686" s="27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43">
        <f t="shared" si="212"/>
        <v>2026</v>
      </c>
      <c r="C1687" s="116">
        <f t="shared" si="213"/>
        <v>2025</v>
      </c>
      <c r="D1687" s="2" t="s">
        <v>155</v>
      </c>
      <c r="E1687" s="2" t="s">
        <v>155</v>
      </c>
      <c r="F1687" s="30">
        <v>45839</v>
      </c>
      <c r="G1687" s="2">
        <f>DAY(EOMONTH(TA[[#This Row],[Month Year]],0))</f>
        <v>31</v>
      </c>
      <c r="H1687" s="21">
        <v>45866</v>
      </c>
      <c r="I1687" s="32">
        <f>IFERROR(VLOOKUP(TA[[#This Row],[Date]],Raw_Data[[Date]:[Sunset Time (POA&lt;20 W/m2)]],3,0),"")</f>
        <v>0.25624999999999998</v>
      </c>
      <c r="J1687" s="32">
        <f>IFERROR(VLOOKUP(TA[[#This Row],[Date]],Raw_Data[[Date]:[Sunset Time (POA&lt;20 W/m2)]],4,0),"")</f>
        <v>0.76944444444444449</v>
      </c>
      <c r="K1687" s="27">
        <f>IFERROR((TA[[#This Row],[Sunset Time (POA&lt;20 W/m2)]]-TA[[#This Row],[Sunrise Time (POA&gt;20 W/m2)]])*24,"")</f>
        <v>12.316666666666668</v>
      </c>
      <c r="L1687" s="2" t="s">
        <v>285</v>
      </c>
      <c r="M1687" s="33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14" t="s">
        <v>307</v>
      </c>
      <c r="Q1687" s="113" t="s">
        <v>307</v>
      </c>
      <c r="R1687">
        <v>118</v>
      </c>
      <c r="S1687" s="2">
        <v>22</v>
      </c>
      <c r="T1687" t="s">
        <v>286</v>
      </c>
      <c r="U1687" t="s">
        <v>291</v>
      </c>
      <c r="V1687" t="s">
        <v>289</v>
      </c>
      <c r="W1687" s="32"/>
      <c r="X1687" s="32"/>
      <c r="Y1687" s="26"/>
      <c r="Z1687" s="26"/>
      <c r="AA1687" s="27">
        <f>IF(TA[[#This Row],[Work Start time on Fault]]="NA","",(TA[[#This Row],[Fault Acknowledgement Time ]]-TA[[#This Row],[Fault Time]])*24)</f>
        <v>0</v>
      </c>
      <c r="AB1687" s="27">
        <f>(TA[[#This Row],[Work Start time on Fault]]-TA[[#This Row],[Fault Time]])*24</f>
        <v>0</v>
      </c>
      <c r="AC1687" s="26">
        <f>(TA[[#This Row],[Work Completion time on fault]]-TA[[#This Row],[Fault Time]])*24</f>
        <v>0</v>
      </c>
      <c r="AD1687" s="27">
        <f>IFERROR((TA[[#This Row],[Work Completion time on fault]]-TA[[#This Row],[Fault Time]])*24,"")</f>
        <v>0</v>
      </c>
      <c r="AE1687" t="s">
        <v>319</v>
      </c>
      <c r="AF1687" t="s">
        <v>247</v>
      </c>
      <c r="AG1687" s="2"/>
      <c r="AH1687" s="35">
        <f>1-COS(RADIANS(TA[[#This Row],[Avg. Target Angle during Fault Time (Radians)]]-TA[[#This Row],[Angle of affected equipment ]]))</f>
        <v>0.11705240714107301</v>
      </c>
      <c r="AI1687" s="27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43">
        <f t="shared" si="212"/>
        <v>2026</v>
      </c>
      <c r="C1688" s="116">
        <f t="shared" si="213"/>
        <v>2025</v>
      </c>
      <c r="D1688" s="2" t="s">
        <v>155</v>
      </c>
      <c r="E1688" s="2" t="s">
        <v>155</v>
      </c>
      <c r="F1688" s="30">
        <v>45839</v>
      </c>
      <c r="G1688" s="2">
        <f>DAY(EOMONTH(TA[[#This Row],[Month Year]],0))</f>
        <v>31</v>
      </c>
      <c r="H1688" s="21">
        <v>45866</v>
      </c>
      <c r="I1688" s="32">
        <f>IFERROR(VLOOKUP(TA[[#This Row],[Date]],Raw_Data[[Date]:[Sunset Time (POA&lt;20 W/m2)]],3,0),"")</f>
        <v>0.25624999999999998</v>
      </c>
      <c r="J1688" s="32">
        <f>IFERROR(VLOOKUP(TA[[#This Row],[Date]],Raw_Data[[Date]:[Sunset Time (POA&lt;20 W/m2)]],4,0),"")</f>
        <v>0.76944444444444449</v>
      </c>
      <c r="K1688" s="27">
        <f>IFERROR((TA[[#This Row],[Sunset Time (POA&lt;20 W/m2)]]-TA[[#This Row],[Sunrise Time (POA&gt;20 W/m2)]])*24,"")</f>
        <v>12.316666666666668</v>
      </c>
      <c r="L1688" s="2" t="s">
        <v>287</v>
      </c>
      <c r="M1688" s="33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314</v>
      </c>
      <c r="Q1688" s="2" t="s">
        <v>320</v>
      </c>
      <c r="R1688">
        <v>45</v>
      </c>
      <c r="S1688" s="2">
        <v>8</v>
      </c>
      <c r="T1688" t="s">
        <v>288</v>
      </c>
      <c r="U1688" t="s">
        <v>291</v>
      </c>
      <c r="V1688" t="s">
        <v>292</v>
      </c>
      <c r="W1688" s="32"/>
      <c r="X1688" s="32"/>
      <c r="Y1688" s="26"/>
      <c r="Z1688" s="26"/>
      <c r="AA1688" s="27">
        <f>IF(TA[[#This Row],[Work Start time on Fault]]="NA","",(TA[[#This Row],[Fault Acknowledgement Time ]]-TA[[#This Row],[Fault Time]])*24)</f>
        <v>0</v>
      </c>
      <c r="AB1688" s="27">
        <f>(TA[[#This Row],[Work Start time on Fault]]-TA[[#This Row],[Fault Time]])*24</f>
        <v>0</v>
      </c>
      <c r="AC1688" s="26">
        <f>(TA[[#This Row],[Work Completion time on fault]]-TA[[#This Row],[Fault Time]])*24</f>
        <v>0</v>
      </c>
      <c r="AD1688" s="27">
        <f>IFERROR((TA[[#This Row],[Work Completion time on fault]]-TA[[#This Row],[Fault Time]])*24,"")</f>
        <v>0</v>
      </c>
      <c r="AE1688" t="s">
        <v>319</v>
      </c>
      <c r="AF1688" t="s">
        <v>247</v>
      </c>
      <c r="AG1688" s="2"/>
      <c r="AH1688" s="35">
        <f>1-COS(RADIANS(TA[[#This Row],[Avg. Target Angle during Fault Time (Radians)]]-TA[[#This Row],[Angle of affected equipment ]]))</f>
        <v>0.11705240714107301</v>
      </c>
      <c r="AI1688" s="27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43">
        <f t="shared" si="212"/>
        <v>2026</v>
      </c>
      <c r="C1689" s="116">
        <f t="shared" si="213"/>
        <v>2025</v>
      </c>
      <c r="D1689" s="2" t="s">
        <v>155</v>
      </c>
      <c r="E1689" s="2" t="s">
        <v>155</v>
      </c>
      <c r="F1689" s="30">
        <v>45839</v>
      </c>
      <c r="G1689" s="2">
        <f>DAY(EOMONTH(TA[[#This Row],[Month Year]],0))</f>
        <v>31</v>
      </c>
      <c r="H1689" s="21">
        <v>45866</v>
      </c>
      <c r="I1689" s="32">
        <f>IFERROR(VLOOKUP(TA[[#This Row],[Date]],Raw_Data[[Date]:[Sunset Time (POA&lt;20 W/m2)]],3,0),"")</f>
        <v>0.25624999999999998</v>
      </c>
      <c r="J1689" s="32">
        <f>IFERROR(VLOOKUP(TA[[#This Row],[Date]],Raw_Data[[Date]:[Sunset Time (POA&lt;20 W/m2)]],4,0),"")</f>
        <v>0.76944444444444449</v>
      </c>
      <c r="K1689" s="27">
        <f>IFERROR((TA[[#This Row],[Sunset Time (POA&lt;20 W/m2)]]-TA[[#This Row],[Sunrise Time (POA&gt;20 W/m2)]])*24,"")</f>
        <v>12.316666666666668</v>
      </c>
      <c r="L1689" s="2" t="s">
        <v>287</v>
      </c>
      <c r="M1689" s="33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314</v>
      </c>
      <c r="Q1689" s="2" t="s">
        <v>320</v>
      </c>
      <c r="R1689">
        <v>47</v>
      </c>
      <c r="S1689" s="2">
        <v>18</v>
      </c>
      <c r="T1689" t="s">
        <v>288</v>
      </c>
      <c r="U1689" t="s">
        <v>291</v>
      </c>
      <c r="V1689" t="s">
        <v>292</v>
      </c>
      <c r="W1689" s="32"/>
      <c r="X1689" s="32"/>
      <c r="Y1689" s="26"/>
      <c r="Z1689" s="26"/>
      <c r="AA1689" s="27">
        <f>IF(TA[[#This Row],[Work Start time on Fault]]="NA","",(TA[[#This Row],[Fault Acknowledgement Time ]]-TA[[#This Row],[Fault Time]])*24)</f>
        <v>0</v>
      </c>
      <c r="AB1689" s="27">
        <f>(TA[[#This Row],[Work Start time on Fault]]-TA[[#This Row],[Fault Time]])*24</f>
        <v>0</v>
      </c>
      <c r="AC1689" s="26">
        <f>(TA[[#This Row],[Work Completion time on fault]]-TA[[#This Row],[Fault Time]])*24</f>
        <v>0</v>
      </c>
      <c r="AD1689" s="27">
        <f>IFERROR((TA[[#This Row],[Work Completion time on fault]]-TA[[#This Row],[Fault Time]])*24,"")</f>
        <v>0</v>
      </c>
      <c r="AE1689" t="s">
        <v>319</v>
      </c>
      <c r="AF1689" t="s">
        <v>247</v>
      </c>
      <c r="AG1689" s="2"/>
      <c r="AH1689" s="35">
        <f>1-COS(RADIANS(TA[[#This Row],[Avg. Target Angle during Fault Time (Radians)]]-TA[[#This Row],[Angle of affected equipment ]]))</f>
        <v>0.11705240714107301</v>
      </c>
      <c r="AI1689" s="27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43">
        <f t="shared" si="212"/>
        <v>2026</v>
      </c>
      <c r="C1690" s="116">
        <f t="shared" si="213"/>
        <v>2025</v>
      </c>
      <c r="D1690" s="2" t="s">
        <v>155</v>
      </c>
      <c r="E1690" s="2" t="s">
        <v>155</v>
      </c>
      <c r="F1690" s="30">
        <v>45839</v>
      </c>
      <c r="G1690" s="2">
        <f>DAY(EOMONTH(TA[[#This Row],[Month Year]],0))</f>
        <v>31</v>
      </c>
      <c r="H1690" s="21">
        <v>45866</v>
      </c>
      <c r="I1690" s="32">
        <f>IFERROR(VLOOKUP(TA[[#This Row],[Date]],Raw_Data[[Date]:[Sunset Time (POA&lt;20 W/m2)]],3,0),"")</f>
        <v>0.25624999999999998</v>
      </c>
      <c r="J1690" s="32">
        <f>IFERROR(VLOOKUP(TA[[#This Row],[Date]],Raw_Data[[Date]:[Sunset Time (POA&lt;20 W/m2)]],4,0),"")</f>
        <v>0.76944444444444449</v>
      </c>
      <c r="K1690" s="27">
        <f>IFERROR((TA[[#This Row],[Sunset Time (POA&lt;20 W/m2)]]-TA[[#This Row],[Sunrise Time (POA&gt;20 W/m2)]])*24,"")</f>
        <v>12.316666666666668</v>
      </c>
      <c r="L1690" s="2" t="s">
        <v>287</v>
      </c>
      <c r="M1690" s="33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321</v>
      </c>
      <c r="Q1690" s="2" t="s">
        <v>314</v>
      </c>
      <c r="R1690">
        <v>30</v>
      </c>
      <c r="S1690" s="2">
        <v>57</v>
      </c>
      <c r="T1690" t="s">
        <v>288</v>
      </c>
      <c r="U1690" t="s">
        <v>291</v>
      </c>
      <c r="V1690" t="s">
        <v>292</v>
      </c>
      <c r="W1690" s="32"/>
      <c r="X1690" s="32"/>
      <c r="Y1690" s="26"/>
      <c r="Z1690" s="26"/>
      <c r="AA1690" s="27">
        <f>IF(TA[[#This Row],[Work Start time on Fault]]="NA","",(TA[[#This Row],[Fault Acknowledgement Time ]]-TA[[#This Row],[Fault Time]])*24)</f>
        <v>0</v>
      </c>
      <c r="AB1690" s="27">
        <f>(TA[[#This Row],[Work Start time on Fault]]-TA[[#This Row],[Fault Time]])*24</f>
        <v>0</v>
      </c>
      <c r="AC1690" s="26">
        <f>(TA[[#This Row],[Work Completion time on fault]]-TA[[#This Row],[Fault Time]])*24</f>
        <v>0</v>
      </c>
      <c r="AD1690" s="27">
        <f>IFERROR((TA[[#This Row],[Work Completion time on fault]]-TA[[#This Row],[Fault Time]])*24,"")</f>
        <v>0</v>
      </c>
      <c r="AE1690" t="s">
        <v>319</v>
      </c>
      <c r="AF1690" t="s">
        <v>247</v>
      </c>
      <c r="AG1690" s="2"/>
      <c r="AH1690" s="35">
        <f>1-COS(RADIANS(TA[[#This Row],[Avg. Target Angle during Fault Time (Radians)]]-TA[[#This Row],[Angle of affected equipment ]]))</f>
        <v>0.11705240714107301</v>
      </c>
      <c r="AI1690" s="27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43">
        <f t="shared" si="212"/>
        <v>2026</v>
      </c>
      <c r="C1691" s="116">
        <f t="shared" si="213"/>
        <v>2025</v>
      </c>
      <c r="D1691" s="2" t="s">
        <v>155</v>
      </c>
      <c r="E1691" s="2" t="s">
        <v>155</v>
      </c>
      <c r="F1691" s="30">
        <v>45839</v>
      </c>
      <c r="G1691" s="2">
        <f>DAY(EOMONTH(TA[[#This Row],[Month Year]],0))</f>
        <v>31</v>
      </c>
      <c r="H1691" s="21">
        <v>45866</v>
      </c>
      <c r="I1691" s="32">
        <f>IFERROR(VLOOKUP(TA[[#This Row],[Date]],Raw_Data[[Date]:[Sunset Time (POA&lt;20 W/m2)]],3,0),"")</f>
        <v>0.25624999999999998</v>
      </c>
      <c r="J1691" s="32">
        <f>IFERROR(VLOOKUP(TA[[#This Row],[Date]],Raw_Data[[Date]:[Sunset Time (POA&lt;20 W/m2)]],4,0),"")</f>
        <v>0.76944444444444449</v>
      </c>
      <c r="K1691" s="27">
        <f>IFERROR((TA[[#This Row],[Sunset Time (POA&lt;20 W/m2)]]-TA[[#This Row],[Sunrise Time (POA&gt;20 W/m2)]])*24,"")</f>
        <v>12.316666666666668</v>
      </c>
      <c r="L1691" s="2" t="s">
        <v>287</v>
      </c>
      <c r="M1691" s="33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321</v>
      </c>
      <c r="Q1691" s="2" t="s">
        <v>314</v>
      </c>
      <c r="R1691">
        <v>31</v>
      </c>
      <c r="S1691" s="2">
        <v>61</v>
      </c>
      <c r="T1691" t="s">
        <v>288</v>
      </c>
      <c r="U1691" t="s">
        <v>291</v>
      </c>
      <c r="V1691" t="s">
        <v>292</v>
      </c>
      <c r="W1691" s="32"/>
      <c r="X1691" s="32"/>
      <c r="Y1691" s="26"/>
      <c r="Z1691" s="26"/>
      <c r="AA1691" s="27">
        <f>IF(TA[[#This Row],[Work Start time on Fault]]="NA","",(TA[[#This Row],[Fault Acknowledgement Time ]]-TA[[#This Row],[Fault Time]])*24)</f>
        <v>0</v>
      </c>
      <c r="AB1691" s="27">
        <f>(TA[[#This Row],[Work Start time on Fault]]-TA[[#This Row],[Fault Time]])*24</f>
        <v>0</v>
      </c>
      <c r="AC1691" s="26">
        <f>(TA[[#This Row],[Work Completion time on fault]]-TA[[#This Row],[Fault Time]])*24</f>
        <v>0</v>
      </c>
      <c r="AD1691" s="27">
        <f>IFERROR((TA[[#This Row],[Work Completion time on fault]]-TA[[#This Row],[Fault Time]])*24,"")</f>
        <v>0</v>
      </c>
      <c r="AE1691" t="s">
        <v>319</v>
      </c>
      <c r="AF1691" t="s">
        <v>247</v>
      </c>
      <c r="AG1691" s="2"/>
      <c r="AH1691" s="35">
        <f>1-COS(RADIANS(TA[[#This Row],[Avg. Target Angle during Fault Time (Radians)]]-TA[[#This Row],[Angle of affected equipment ]]))</f>
        <v>0.11705240714107301</v>
      </c>
      <c r="AI1691" s="27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43">
        <f t="shared" si="212"/>
        <v>2026</v>
      </c>
      <c r="C1692" s="116">
        <f t="shared" si="213"/>
        <v>2025</v>
      </c>
      <c r="D1692" s="2" t="s">
        <v>155</v>
      </c>
      <c r="E1692" s="2" t="s">
        <v>155</v>
      </c>
      <c r="F1692" s="30">
        <v>45839</v>
      </c>
      <c r="G1692" s="2">
        <f>DAY(EOMONTH(TA[[#This Row],[Month Year]],0))</f>
        <v>31</v>
      </c>
      <c r="H1692" s="21">
        <v>45866</v>
      </c>
      <c r="I1692" s="32">
        <f>IFERROR(VLOOKUP(TA[[#This Row],[Date]],Raw_Data[[Date]:[Sunset Time (POA&lt;20 W/m2)]],3,0),"")</f>
        <v>0.25624999999999998</v>
      </c>
      <c r="J1692" s="32">
        <f>IFERROR(VLOOKUP(TA[[#This Row],[Date]],Raw_Data[[Date]:[Sunset Time (POA&lt;20 W/m2)]],4,0),"")</f>
        <v>0.76944444444444449</v>
      </c>
      <c r="K1692" s="27">
        <f>IFERROR((TA[[#This Row],[Sunset Time (POA&lt;20 W/m2)]]-TA[[#This Row],[Sunrise Time (POA&gt;20 W/m2)]])*24,"")</f>
        <v>12.316666666666668</v>
      </c>
      <c r="L1692" s="2" t="s">
        <v>303</v>
      </c>
      <c r="M1692" s="33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321</v>
      </c>
      <c r="Q1692" s="2" t="s">
        <v>314</v>
      </c>
      <c r="R1692">
        <v>26</v>
      </c>
      <c r="S1692" s="2">
        <v>37</v>
      </c>
      <c r="T1692" t="s">
        <v>288</v>
      </c>
      <c r="U1692" t="s">
        <v>291</v>
      </c>
      <c r="V1692" t="s">
        <v>292</v>
      </c>
      <c r="W1692" s="32"/>
      <c r="X1692" s="32"/>
      <c r="Y1692" s="26"/>
      <c r="Z1692" s="26"/>
      <c r="AA1692" s="27">
        <f>IF(TA[[#This Row],[Work Start time on Fault]]="NA","",(TA[[#This Row],[Fault Acknowledgement Time ]]-TA[[#This Row],[Fault Time]])*24)</f>
        <v>0</v>
      </c>
      <c r="AB1692" s="27">
        <f>(TA[[#This Row],[Work Start time on Fault]]-TA[[#This Row],[Fault Time]])*24</f>
        <v>0</v>
      </c>
      <c r="AC1692" s="26">
        <f>(TA[[#This Row],[Work Completion time on fault]]-TA[[#This Row],[Fault Time]])*24</f>
        <v>0</v>
      </c>
      <c r="AD1692" s="27">
        <f>IFERROR((TA[[#This Row],[Work Completion time on fault]]-TA[[#This Row],[Fault Time]])*24,"")</f>
        <v>0</v>
      </c>
      <c r="AE1692" t="s">
        <v>319</v>
      </c>
      <c r="AF1692" t="s">
        <v>247</v>
      </c>
      <c r="AG1692" s="2"/>
      <c r="AH1692" s="35">
        <f>1-COS(RADIANS(TA[[#This Row],[Avg. Target Angle during Fault Time (Radians)]]-TA[[#This Row],[Angle of affected equipment ]]))</f>
        <v>0.11705240714107301</v>
      </c>
      <c r="AI1692" s="27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43">
        <f t="shared" si="212"/>
        <v>2026</v>
      </c>
      <c r="C1693" s="116">
        <f t="shared" si="213"/>
        <v>2025</v>
      </c>
      <c r="D1693" s="2" t="s">
        <v>155</v>
      </c>
      <c r="E1693" s="2" t="s">
        <v>155</v>
      </c>
      <c r="F1693" s="30">
        <v>45839</v>
      </c>
      <c r="G1693" s="2">
        <f>DAY(EOMONTH(TA[[#This Row],[Month Year]],0))</f>
        <v>31</v>
      </c>
      <c r="H1693" s="21">
        <v>45866</v>
      </c>
      <c r="I1693" s="32">
        <f>IFERROR(VLOOKUP(TA[[#This Row],[Date]],Raw_Data[[Date]:[Sunset Time (POA&lt;20 W/m2)]],3,0),"")</f>
        <v>0.25624999999999998</v>
      </c>
      <c r="J1693" s="32">
        <f>IFERROR(VLOOKUP(TA[[#This Row],[Date]],Raw_Data[[Date]:[Sunset Time (POA&lt;20 W/m2)]],4,0),"")</f>
        <v>0.76944444444444449</v>
      </c>
      <c r="K1693" s="27">
        <f>IFERROR((TA[[#This Row],[Sunset Time (POA&lt;20 W/m2)]]-TA[[#This Row],[Sunrise Time (POA&gt;20 W/m2)]])*24,"")</f>
        <v>12.316666666666668</v>
      </c>
      <c r="L1693" s="2" t="s">
        <v>303</v>
      </c>
      <c r="M1693" s="33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321</v>
      </c>
      <c r="Q1693" s="2" t="s">
        <v>314</v>
      </c>
      <c r="R1693">
        <v>27</v>
      </c>
      <c r="S1693" s="2">
        <v>42</v>
      </c>
      <c r="T1693" t="s">
        <v>288</v>
      </c>
      <c r="U1693" t="s">
        <v>291</v>
      </c>
      <c r="V1693" t="s">
        <v>292</v>
      </c>
      <c r="W1693" s="32">
        <f>IFERROR(VLOOKUP(TA[[#This Row],[Date]],Raw_Data[[Date]:[Sunset Time (POA&lt;20 W/m2)]],3,0),"")</f>
        <v>0.25624999999999998</v>
      </c>
      <c r="X1693" s="32">
        <f>IFERROR(VLOOKUP(TA[[#This Row],[Date]],Raw_Data[[Date]:[Sunset Time (POA&lt;20 W/m2)]],3,0),"")</f>
        <v>0.25624999999999998</v>
      </c>
      <c r="Y1693" s="26"/>
      <c r="Z1693" s="26">
        <v>0.76041666666666663</v>
      </c>
      <c r="AA1693" s="27">
        <f>IF(TA[[#This Row],[Work Start time on Fault]]="NA","",(TA[[#This Row],[Fault Acknowledgement Time ]]-TA[[#This Row],[Fault Time]])*24)</f>
        <v>0</v>
      </c>
      <c r="AB1693" s="27">
        <f>(TA[[#This Row],[Work Start time on Fault]]-TA[[#This Row],[Fault Time]])*24</f>
        <v>-6.1499999999999995</v>
      </c>
      <c r="AC1693" s="26">
        <f>(TA[[#This Row],[Work Completion time on fault]]-TA[[#This Row],[Fault Time]])*24</f>
        <v>12.1</v>
      </c>
      <c r="AD1693" s="27">
        <f>IFERROR((TA[[#This Row],[Work Completion time on fault]]-TA[[#This Row],[Fault Time]])*24,"")</f>
        <v>12.1</v>
      </c>
      <c r="AE1693" t="s">
        <v>300</v>
      </c>
      <c r="AF1693" t="s">
        <v>247</v>
      </c>
      <c r="AG1693" s="2"/>
      <c r="AH1693" s="35">
        <f>1-COS(RADIANS(TA[[#This Row],[Avg. Target Angle during Fault Time (Radians)]]-TA[[#This Row],[Angle of affected equipment ]]))</f>
        <v>0.11705240714107301</v>
      </c>
      <c r="AI1693" s="27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43">
        <f t="shared" ref="B1694:B1706" si="214">YEAR(H1694)+IF(MONTH(H1694)&gt;=4,1,0)</f>
        <v>2026</v>
      </c>
      <c r="C1694" s="116">
        <f t="shared" ref="C1694:C1706" si="215">YEAR(H1694)</f>
        <v>2025</v>
      </c>
      <c r="D1694" s="2" t="s">
        <v>155</v>
      </c>
      <c r="E1694" s="2" t="s">
        <v>155</v>
      </c>
      <c r="F1694" s="30">
        <v>45839</v>
      </c>
      <c r="G1694" s="2">
        <f>DAY(EOMONTH(TA[[#This Row],[Month Year]],0))</f>
        <v>31</v>
      </c>
      <c r="H1694" s="21">
        <v>45867</v>
      </c>
      <c r="I1694" s="32">
        <f>IFERROR(VLOOKUP(TA[[#This Row],[Date]],Raw_Data[[Date]:[Sunset Time (POA&lt;20 W/m2)]],3,0),"")</f>
        <v>0.25555555555555554</v>
      </c>
      <c r="J1694" s="32">
        <f>IFERROR(VLOOKUP(TA[[#This Row],[Date]],Raw_Data[[Date]:[Sunset Time (POA&lt;20 W/m2)]],4,0),"")</f>
        <v>0.76458333333333328</v>
      </c>
      <c r="K1694" s="27">
        <f>IFERROR((TA[[#This Row],[Sunset Time (POA&lt;20 W/m2)]]-TA[[#This Row],[Sunrise Time (POA&gt;20 W/m2)]])*24,"")</f>
        <v>12.216666666666665</v>
      </c>
      <c r="L1694" s="2" t="s">
        <v>285</v>
      </c>
      <c r="M1694" s="33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14" t="s">
        <v>309</v>
      </c>
      <c r="Q1694" s="113" t="s">
        <v>309</v>
      </c>
      <c r="R1694">
        <v>131</v>
      </c>
      <c r="S1694" s="2">
        <v>38</v>
      </c>
      <c r="T1694" t="s">
        <v>286</v>
      </c>
      <c r="U1694" t="s">
        <v>291</v>
      </c>
      <c r="V1694" t="s">
        <v>289</v>
      </c>
      <c r="W1694" s="32"/>
      <c r="X1694" s="32"/>
      <c r="Y1694" s="26"/>
      <c r="Z1694" s="26"/>
      <c r="AA1694" s="27">
        <f>IF(TA[[#This Row],[Work Start time on Fault]]="NA","",(TA[[#This Row],[Fault Acknowledgement Time ]]-TA[[#This Row],[Fault Time]])*24)</f>
        <v>0</v>
      </c>
      <c r="AB1694" s="27">
        <f>(TA[[#This Row],[Work Start time on Fault]]-TA[[#This Row],[Fault Time]])*24</f>
        <v>0</v>
      </c>
      <c r="AC1694" s="26">
        <f>(TA[[#This Row],[Work Completion time on fault]]-TA[[#This Row],[Fault Time]])*24</f>
        <v>0</v>
      </c>
      <c r="AD1694" s="27">
        <f>IFERROR((TA[[#This Row],[Work Completion time on fault]]-TA[[#This Row],[Fault Time]])*24,"")</f>
        <v>0</v>
      </c>
      <c r="AE1694" t="s">
        <v>319</v>
      </c>
      <c r="AF1694" t="s">
        <v>247</v>
      </c>
      <c r="AG1694" s="2"/>
      <c r="AH1694" s="35">
        <f>1-COS(RADIANS(TA[[#This Row],[Avg. Target Angle during Fault Time (Radians)]]-TA[[#This Row],[Angle of affected equipment ]]))</f>
        <v>0.11705240714107301</v>
      </c>
      <c r="AI1694" s="27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43">
        <f t="shared" si="214"/>
        <v>2026</v>
      </c>
      <c r="C1695" s="116">
        <f t="shared" si="215"/>
        <v>2025</v>
      </c>
      <c r="D1695" s="2" t="s">
        <v>155</v>
      </c>
      <c r="E1695" s="2" t="s">
        <v>155</v>
      </c>
      <c r="F1695" s="30">
        <v>45839</v>
      </c>
      <c r="G1695" s="2">
        <f>DAY(EOMONTH(TA[[#This Row],[Month Year]],0))</f>
        <v>31</v>
      </c>
      <c r="H1695" s="21">
        <v>45867</v>
      </c>
      <c r="I1695" s="32">
        <f>IFERROR(VLOOKUP(TA[[#This Row],[Date]],Raw_Data[[Date]:[Sunset Time (POA&lt;20 W/m2)]],3,0),"")</f>
        <v>0.25555555555555554</v>
      </c>
      <c r="J1695" s="32">
        <f>IFERROR(VLOOKUP(TA[[#This Row],[Date]],Raw_Data[[Date]:[Sunset Time (POA&lt;20 W/m2)]],4,0),"")</f>
        <v>0.76458333333333328</v>
      </c>
      <c r="K1695" s="27">
        <f>IFERROR((TA[[#This Row],[Sunset Time (POA&lt;20 W/m2)]]-TA[[#This Row],[Sunrise Time (POA&gt;20 W/m2)]])*24,"")</f>
        <v>12.216666666666665</v>
      </c>
      <c r="L1695" s="2" t="s">
        <v>285</v>
      </c>
      <c r="M1695" s="33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14" t="s">
        <v>309</v>
      </c>
      <c r="Q1695" s="113" t="s">
        <v>309</v>
      </c>
      <c r="R1695">
        <v>131</v>
      </c>
      <c r="S1695" s="2">
        <v>39</v>
      </c>
      <c r="T1695" t="s">
        <v>286</v>
      </c>
      <c r="U1695" t="s">
        <v>291</v>
      </c>
      <c r="V1695" t="s">
        <v>289</v>
      </c>
      <c r="W1695" s="32"/>
      <c r="X1695" s="32"/>
      <c r="Y1695" s="26"/>
      <c r="Z1695" s="26"/>
      <c r="AA1695" s="27">
        <f>IF(TA[[#This Row],[Work Start time on Fault]]="NA","",(TA[[#This Row],[Fault Acknowledgement Time ]]-TA[[#This Row],[Fault Time]])*24)</f>
        <v>0</v>
      </c>
      <c r="AB1695" s="27">
        <f>(TA[[#This Row],[Work Start time on Fault]]-TA[[#This Row],[Fault Time]])*24</f>
        <v>0</v>
      </c>
      <c r="AC1695" s="26">
        <f>(TA[[#This Row],[Work Completion time on fault]]-TA[[#This Row],[Fault Time]])*24</f>
        <v>0</v>
      </c>
      <c r="AD1695" s="27">
        <f>IFERROR((TA[[#This Row],[Work Completion time on fault]]-TA[[#This Row],[Fault Time]])*24,"")</f>
        <v>0</v>
      </c>
      <c r="AE1695" t="s">
        <v>319</v>
      </c>
      <c r="AF1695" t="s">
        <v>247</v>
      </c>
      <c r="AG1695" s="2"/>
      <c r="AH1695" s="35">
        <f>1-COS(RADIANS(TA[[#This Row],[Avg. Target Angle during Fault Time (Radians)]]-TA[[#This Row],[Angle of affected equipment ]]))</f>
        <v>0.11705240714107301</v>
      </c>
      <c r="AI1695" s="27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43">
        <f t="shared" si="214"/>
        <v>2026</v>
      </c>
      <c r="C1696" s="116">
        <f t="shared" si="215"/>
        <v>2025</v>
      </c>
      <c r="D1696" s="2" t="s">
        <v>155</v>
      </c>
      <c r="E1696" s="2" t="s">
        <v>155</v>
      </c>
      <c r="F1696" s="30">
        <v>45839</v>
      </c>
      <c r="G1696" s="2">
        <f>DAY(EOMONTH(TA[[#This Row],[Month Year]],0))</f>
        <v>31</v>
      </c>
      <c r="H1696" s="21">
        <v>45867</v>
      </c>
      <c r="I1696" s="32">
        <f>IFERROR(VLOOKUP(TA[[#This Row],[Date]],Raw_Data[[Date]:[Sunset Time (POA&lt;20 W/m2)]],3,0),"")</f>
        <v>0.25555555555555554</v>
      </c>
      <c r="J1696" s="32">
        <f>IFERROR(VLOOKUP(TA[[#This Row],[Date]],Raw_Data[[Date]:[Sunset Time (POA&lt;20 W/m2)]],4,0),"")</f>
        <v>0.76458333333333328</v>
      </c>
      <c r="K1696" s="27">
        <f>IFERROR((TA[[#This Row],[Sunset Time (POA&lt;20 W/m2)]]-TA[[#This Row],[Sunrise Time (POA&gt;20 W/m2)]])*24,"")</f>
        <v>12.216666666666665</v>
      </c>
      <c r="L1696" s="2" t="s">
        <v>287</v>
      </c>
      <c r="M1696" s="33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14" t="s">
        <v>309</v>
      </c>
      <c r="Q1696" s="2" t="s">
        <v>312</v>
      </c>
      <c r="R1696">
        <v>133</v>
      </c>
      <c r="S1696" s="2">
        <v>26</v>
      </c>
      <c r="T1696" t="s">
        <v>288</v>
      </c>
      <c r="U1696" t="s">
        <v>291</v>
      </c>
      <c r="V1696" t="s">
        <v>305</v>
      </c>
      <c r="W1696" s="32">
        <f>IFERROR(VLOOKUP(TA[[#This Row],[Date]],Raw_Data[[Date]:[Sunset Time (POA&lt;20 W/m2)]],3,0),"")</f>
        <v>0.25555555555555554</v>
      </c>
      <c r="X1696" s="32">
        <f>IFERROR(VLOOKUP(TA[[#This Row],[Date]],Raw_Data[[Date]:[Sunset Time (POA&lt;20 W/m2)]],3,0),"")</f>
        <v>0.25555555555555554</v>
      </c>
      <c r="Y1696" s="26"/>
      <c r="Z1696" s="26">
        <v>0.76041666666666663</v>
      </c>
      <c r="AA1696" s="27">
        <f>IF(TA[[#This Row],[Work Start time on Fault]]="NA","",(TA[[#This Row],[Fault Acknowledgement Time ]]-TA[[#This Row],[Fault Time]])*24)</f>
        <v>0</v>
      </c>
      <c r="AB1696" s="27">
        <f>(TA[[#This Row],[Work Start time on Fault]]-TA[[#This Row],[Fault Time]])*24</f>
        <v>-6.1333333333333329</v>
      </c>
      <c r="AC1696" s="26">
        <f>(TA[[#This Row],[Work Completion time on fault]]-TA[[#This Row],[Fault Time]])*24</f>
        <v>12.116666666666667</v>
      </c>
      <c r="AD1696" s="27">
        <f>IFERROR((TA[[#This Row],[Work Completion time on fault]]-TA[[#This Row],[Fault Time]])*24,"")</f>
        <v>12.116666666666667</v>
      </c>
      <c r="AE1696" t="s">
        <v>319</v>
      </c>
      <c r="AF1696" t="s">
        <v>247</v>
      </c>
      <c r="AG1696" s="2"/>
      <c r="AH1696" s="35">
        <f>1-COS(RADIANS(TA[[#This Row],[Avg. Target Angle during Fault Time (Radians)]]-TA[[#This Row],[Angle of affected equipment ]]))</f>
        <v>0.11705240714107301</v>
      </c>
      <c r="AI1696" s="27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43">
        <f t="shared" si="214"/>
        <v>2026</v>
      </c>
      <c r="C1697" s="116">
        <f t="shared" si="215"/>
        <v>2025</v>
      </c>
      <c r="D1697" s="2" t="s">
        <v>155</v>
      </c>
      <c r="E1697" s="2" t="s">
        <v>155</v>
      </c>
      <c r="F1697" s="30">
        <v>45839</v>
      </c>
      <c r="G1697" s="2">
        <f>DAY(EOMONTH(TA[[#This Row],[Month Year]],0))</f>
        <v>31</v>
      </c>
      <c r="H1697" s="21">
        <v>45867</v>
      </c>
      <c r="I1697" s="32">
        <f>IFERROR(VLOOKUP(TA[[#This Row],[Date]],Raw_Data[[Date]:[Sunset Time (POA&lt;20 W/m2)]],3,0),"")</f>
        <v>0.25555555555555554</v>
      </c>
      <c r="J1697" s="32">
        <f>IFERROR(VLOOKUP(TA[[#This Row],[Date]],Raw_Data[[Date]:[Sunset Time (POA&lt;20 W/m2)]],4,0),"")</f>
        <v>0.76458333333333328</v>
      </c>
      <c r="K1697" s="27">
        <f>IFERROR((TA[[#This Row],[Sunset Time (POA&lt;20 W/m2)]]-TA[[#This Row],[Sunrise Time (POA&gt;20 W/m2)]])*24,"")</f>
        <v>12.216666666666665</v>
      </c>
      <c r="L1697" s="2" t="s">
        <v>285</v>
      </c>
      <c r="M1697" s="33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14" t="s">
        <v>307</v>
      </c>
      <c r="Q1697" s="113" t="s">
        <v>308</v>
      </c>
      <c r="R1697">
        <v>7</v>
      </c>
      <c r="S1697" s="2">
        <v>32</v>
      </c>
      <c r="T1697" t="s">
        <v>286</v>
      </c>
      <c r="U1697" t="s">
        <v>291</v>
      </c>
      <c r="V1697" t="s">
        <v>289</v>
      </c>
      <c r="W1697" s="32"/>
      <c r="X1697" s="32"/>
      <c r="Y1697" s="26"/>
      <c r="Z1697" s="26"/>
      <c r="AA1697" s="27">
        <f>IF(TA[[#This Row],[Work Start time on Fault]]="NA","",(TA[[#This Row],[Fault Acknowledgement Time ]]-TA[[#This Row],[Fault Time]])*24)</f>
        <v>0</v>
      </c>
      <c r="AB1697" s="27">
        <f>(TA[[#This Row],[Work Start time on Fault]]-TA[[#This Row],[Fault Time]])*24</f>
        <v>0</v>
      </c>
      <c r="AC1697" s="26">
        <f>(TA[[#This Row],[Work Completion time on fault]]-TA[[#This Row],[Fault Time]])*24</f>
        <v>0</v>
      </c>
      <c r="AD1697" s="27">
        <f>IFERROR((TA[[#This Row],[Work Completion time on fault]]-TA[[#This Row],[Fault Time]])*24,"")</f>
        <v>0</v>
      </c>
      <c r="AE1697" t="s">
        <v>319</v>
      </c>
      <c r="AF1697" t="s">
        <v>247</v>
      </c>
      <c r="AG1697" s="2"/>
      <c r="AH1697" s="35">
        <f>1-COS(RADIANS(TA[[#This Row],[Avg. Target Angle during Fault Time (Radians)]]-TA[[#This Row],[Angle of affected equipment ]]))</f>
        <v>0.11705240714107301</v>
      </c>
      <c r="AI1697" s="27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43">
        <f t="shared" si="214"/>
        <v>2026</v>
      </c>
      <c r="C1698" s="116">
        <f t="shared" si="215"/>
        <v>2025</v>
      </c>
      <c r="D1698" s="2" t="s">
        <v>155</v>
      </c>
      <c r="E1698" s="2" t="s">
        <v>155</v>
      </c>
      <c r="F1698" s="30">
        <v>45839</v>
      </c>
      <c r="G1698" s="2">
        <f>DAY(EOMONTH(TA[[#This Row],[Month Year]],0))</f>
        <v>31</v>
      </c>
      <c r="H1698" s="21">
        <v>45867</v>
      </c>
      <c r="I1698" s="32">
        <f>IFERROR(VLOOKUP(TA[[#This Row],[Date]],Raw_Data[[Date]:[Sunset Time (POA&lt;20 W/m2)]],3,0),"")</f>
        <v>0.25555555555555554</v>
      </c>
      <c r="J1698" s="32">
        <f>IFERROR(VLOOKUP(TA[[#This Row],[Date]],Raw_Data[[Date]:[Sunset Time (POA&lt;20 W/m2)]],4,0),"")</f>
        <v>0.76458333333333328</v>
      </c>
      <c r="K1698" s="27">
        <f>IFERROR((TA[[#This Row],[Sunset Time (POA&lt;20 W/m2)]]-TA[[#This Row],[Sunrise Time (POA&gt;20 W/m2)]])*24,"")</f>
        <v>12.216666666666665</v>
      </c>
      <c r="L1698" s="2" t="s">
        <v>285</v>
      </c>
      <c r="M1698" s="33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14" t="s">
        <v>306</v>
      </c>
      <c r="Q1698" s="113" t="s">
        <v>310</v>
      </c>
      <c r="R1698">
        <v>166</v>
      </c>
      <c r="S1698" s="2">
        <v>91</v>
      </c>
      <c r="T1698" t="s">
        <v>286</v>
      </c>
      <c r="U1698" t="s">
        <v>291</v>
      </c>
      <c r="V1698" t="s">
        <v>289</v>
      </c>
      <c r="W1698" s="32"/>
      <c r="X1698" s="32"/>
      <c r="Y1698" s="26"/>
      <c r="Z1698" s="26"/>
      <c r="AA1698" s="27">
        <f>IF(TA[[#This Row],[Work Start time on Fault]]="NA","",(TA[[#This Row],[Fault Acknowledgement Time ]]-TA[[#This Row],[Fault Time]])*24)</f>
        <v>0</v>
      </c>
      <c r="AB1698" s="27">
        <f>(TA[[#This Row],[Work Start time on Fault]]-TA[[#This Row],[Fault Time]])*24</f>
        <v>0</v>
      </c>
      <c r="AC1698" s="26">
        <f>(TA[[#This Row],[Work Completion time on fault]]-TA[[#This Row],[Fault Time]])*24</f>
        <v>0</v>
      </c>
      <c r="AD1698" s="27">
        <f>IFERROR((TA[[#This Row],[Work Completion time on fault]]-TA[[#This Row],[Fault Time]])*24,"")</f>
        <v>0</v>
      </c>
      <c r="AE1698" t="s">
        <v>319</v>
      </c>
      <c r="AF1698" t="s">
        <v>247</v>
      </c>
      <c r="AG1698" s="2"/>
      <c r="AH1698" s="35">
        <f>1-COS(RADIANS(TA[[#This Row],[Avg. Target Angle during Fault Time (Radians)]]-TA[[#This Row],[Angle of affected equipment ]]))</f>
        <v>0.11705240714107301</v>
      </c>
      <c r="AI1698" s="27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43">
        <f t="shared" si="214"/>
        <v>2026</v>
      </c>
      <c r="C1699" s="116">
        <f t="shared" si="215"/>
        <v>2025</v>
      </c>
      <c r="D1699" s="2" t="s">
        <v>155</v>
      </c>
      <c r="E1699" s="2" t="s">
        <v>155</v>
      </c>
      <c r="F1699" s="30">
        <v>45839</v>
      </c>
      <c r="G1699" s="2">
        <f>DAY(EOMONTH(TA[[#This Row],[Month Year]],0))</f>
        <v>31</v>
      </c>
      <c r="H1699" s="21">
        <v>45867</v>
      </c>
      <c r="I1699" s="32">
        <f>IFERROR(VLOOKUP(TA[[#This Row],[Date]],Raw_Data[[Date]:[Sunset Time (POA&lt;20 W/m2)]],3,0),"")</f>
        <v>0.25555555555555554</v>
      </c>
      <c r="J1699" s="32">
        <f>IFERROR(VLOOKUP(TA[[#This Row],[Date]],Raw_Data[[Date]:[Sunset Time (POA&lt;20 W/m2)]],4,0),"")</f>
        <v>0.76458333333333328</v>
      </c>
      <c r="K1699" s="27">
        <f>IFERROR((TA[[#This Row],[Sunset Time (POA&lt;20 W/m2)]]-TA[[#This Row],[Sunrise Time (POA&gt;20 W/m2)]])*24,"")</f>
        <v>12.216666666666665</v>
      </c>
      <c r="L1699" s="2" t="s">
        <v>285</v>
      </c>
      <c r="M1699" s="33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14" t="s">
        <v>307</v>
      </c>
      <c r="Q1699" s="113" t="s">
        <v>307</v>
      </c>
      <c r="R1699">
        <v>117</v>
      </c>
      <c r="S1699" s="2">
        <v>20</v>
      </c>
      <c r="T1699" t="s">
        <v>286</v>
      </c>
      <c r="U1699" t="s">
        <v>291</v>
      </c>
      <c r="V1699" t="s">
        <v>289</v>
      </c>
      <c r="W1699" s="32"/>
      <c r="X1699" s="32"/>
      <c r="Y1699" s="26"/>
      <c r="Z1699" s="26"/>
      <c r="AA1699" s="27">
        <f>IF(TA[[#This Row],[Work Start time on Fault]]="NA","",(TA[[#This Row],[Fault Acknowledgement Time ]]-TA[[#This Row],[Fault Time]])*24)</f>
        <v>0</v>
      </c>
      <c r="AB1699" s="27">
        <f>(TA[[#This Row],[Work Start time on Fault]]-TA[[#This Row],[Fault Time]])*24</f>
        <v>0</v>
      </c>
      <c r="AC1699" s="26">
        <f>(TA[[#This Row],[Work Completion time on fault]]-TA[[#This Row],[Fault Time]])*24</f>
        <v>0</v>
      </c>
      <c r="AD1699" s="27">
        <f>IFERROR((TA[[#This Row],[Work Completion time on fault]]-TA[[#This Row],[Fault Time]])*24,"")</f>
        <v>0</v>
      </c>
      <c r="AE1699" t="s">
        <v>319</v>
      </c>
      <c r="AF1699" t="s">
        <v>247</v>
      </c>
      <c r="AG1699" s="2"/>
      <c r="AH1699" s="35">
        <f>1-COS(RADIANS(TA[[#This Row],[Avg. Target Angle during Fault Time (Radians)]]-TA[[#This Row],[Angle of affected equipment ]]))</f>
        <v>0.11705240714107301</v>
      </c>
      <c r="AI1699" s="27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43">
        <f t="shared" si="214"/>
        <v>2026</v>
      </c>
      <c r="C1700" s="116">
        <f t="shared" si="215"/>
        <v>2025</v>
      </c>
      <c r="D1700" s="2" t="s">
        <v>155</v>
      </c>
      <c r="E1700" s="2" t="s">
        <v>155</v>
      </c>
      <c r="F1700" s="30">
        <v>45839</v>
      </c>
      <c r="G1700" s="2">
        <f>DAY(EOMONTH(TA[[#This Row],[Month Year]],0))</f>
        <v>31</v>
      </c>
      <c r="H1700" s="21">
        <v>45867</v>
      </c>
      <c r="I1700" s="32">
        <f>IFERROR(VLOOKUP(TA[[#This Row],[Date]],Raw_Data[[Date]:[Sunset Time (POA&lt;20 W/m2)]],3,0),"")</f>
        <v>0.25555555555555554</v>
      </c>
      <c r="J1700" s="32">
        <f>IFERROR(VLOOKUP(TA[[#This Row],[Date]],Raw_Data[[Date]:[Sunset Time (POA&lt;20 W/m2)]],4,0),"")</f>
        <v>0.76458333333333328</v>
      </c>
      <c r="K1700" s="27">
        <f>IFERROR((TA[[#This Row],[Sunset Time (POA&lt;20 W/m2)]]-TA[[#This Row],[Sunrise Time (POA&gt;20 W/m2)]])*24,"")</f>
        <v>12.216666666666665</v>
      </c>
      <c r="L1700" s="2" t="s">
        <v>285</v>
      </c>
      <c r="M1700" s="33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14" t="s">
        <v>307</v>
      </c>
      <c r="Q1700" s="113" t="s">
        <v>307</v>
      </c>
      <c r="R1700">
        <v>118</v>
      </c>
      <c r="S1700" s="2">
        <v>22</v>
      </c>
      <c r="T1700" t="s">
        <v>286</v>
      </c>
      <c r="U1700" t="s">
        <v>291</v>
      </c>
      <c r="V1700" t="s">
        <v>289</v>
      </c>
      <c r="W1700" s="32"/>
      <c r="X1700" s="32"/>
      <c r="Y1700" s="26"/>
      <c r="Z1700" s="26"/>
      <c r="AA1700" s="27">
        <f>IF(TA[[#This Row],[Work Start time on Fault]]="NA","",(TA[[#This Row],[Fault Acknowledgement Time ]]-TA[[#This Row],[Fault Time]])*24)</f>
        <v>0</v>
      </c>
      <c r="AB1700" s="27">
        <f>(TA[[#This Row],[Work Start time on Fault]]-TA[[#This Row],[Fault Time]])*24</f>
        <v>0</v>
      </c>
      <c r="AC1700" s="26">
        <f>(TA[[#This Row],[Work Completion time on fault]]-TA[[#This Row],[Fault Time]])*24</f>
        <v>0</v>
      </c>
      <c r="AD1700" s="27">
        <f>IFERROR((TA[[#This Row],[Work Completion time on fault]]-TA[[#This Row],[Fault Time]])*24,"")</f>
        <v>0</v>
      </c>
      <c r="AE1700" t="s">
        <v>319</v>
      </c>
      <c r="AF1700" t="s">
        <v>247</v>
      </c>
      <c r="AG1700" s="2"/>
      <c r="AH1700" s="35">
        <f>1-COS(RADIANS(TA[[#This Row],[Avg. Target Angle during Fault Time (Radians)]]-TA[[#This Row],[Angle of affected equipment ]]))</f>
        <v>0.11705240714107301</v>
      </c>
      <c r="AI1700" s="27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43">
        <f t="shared" si="214"/>
        <v>2026</v>
      </c>
      <c r="C1701" s="116">
        <f t="shared" si="215"/>
        <v>2025</v>
      </c>
      <c r="D1701" s="2" t="s">
        <v>155</v>
      </c>
      <c r="E1701" s="2" t="s">
        <v>155</v>
      </c>
      <c r="F1701" s="30">
        <v>45839</v>
      </c>
      <c r="G1701" s="2">
        <f>DAY(EOMONTH(TA[[#This Row],[Month Year]],0))</f>
        <v>31</v>
      </c>
      <c r="H1701" s="21">
        <v>45867</v>
      </c>
      <c r="I1701" s="32">
        <f>IFERROR(VLOOKUP(TA[[#This Row],[Date]],Raw_Data[[Date]:[Sunset Time (POA&lt;20 W/m2)]],3,0),"")</f>
        <v>0.25555555555555554</v>
      </c>
      <c r="J1701" s="32">
        <f>IFERROR(VLOOKUP(TA[[#This Row],[Date]],Raw_Data[[Date]:[Sunset Time (POA&lt;20 W/m2)]],4,0),"")</f>
        <v>0.76458333333333328</v>
      </c>
      <c r="K1701" s="27">
        <f>IFERROR((TA[[#This Row],[Sunset Time (POA&lt;20 W/m2)]]-TA[[#This Row],[Sunrise Time (POA&gt;20 W/m2)]])*24,"")</f>
        <v>12.216666666666665</v>
      </c>
      <c r="L1701" s="2" t="s">
        <v>287</v>
      </c>
      <c r="M1701" s="33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314</v>
      </c>
      <c r="Q1701" s="2" t="s">
        <v>320</v>
      </c>
      <c r="R1701">
        <v>45</v>
      </c>
      <c r="S1701" s="2">
        <v>8</v>
      </c>
      <c r="T1701" t="s">
        <v>288</v>
      </c>
      <c r="U1701" t="s">
        <v>291</v>
      </c>
      <c r="V1701" t="s">
        <v>292</v>
      </c>
      <c r="W1701" s="32"/>
      <c r="X1701" s="32"/>
      <c r="Y1701" s="26"/>
      <c r="Z1701" s="26"/>
      <c r="AA1701" s="27">
        <f>IF(TA[[#This Row],[Work Start time on Fault]]="NA","",(TA[[#This Row],[Fault Acknowledgement Time ]]-TA[[#This Row],[Fault Time]])*24)</f>
        <v>0</v>
      </c>
      <c r="AB1701" s="27">
        <f>(TA[[#This Row],[Work Start time on Fault]]-TA[[#This Row],[Fault Time]])*24</f>
        <v>0</v>
      </c>
      <c r="AC1701" s="26">
        <f>(TA[[#This Row],[Work Completion time on fault]]-TA[[#This Row],[Fault Time]])*24</f>
        <v>0</v>
      </c>
      <c r="AD1701" s="27">
        <f>IFERROR((TA[[#This Row],[Work Completion time on fault]]-TA[[#This Row],[Fault Time]])*24,"")</f>
        <v>0</v>
      </c>
      <c r="AE1701" t="s">
        <v>319</v>
      </c>
      <c r="AF1701" t="s">
        <v>247</v>
      </c>
      <c r="AG1701" s="2"/>
      <c r="AH1701" s="35">
        <f>1-COS(RADIANS(TA[[#This Row],[Avg. Target Angle during Fault Time (Radians)]]-TA[[#This Row],[Angle of affected equipment ]]))</f>
        <v>0.11705240714107301</v>
      </c>
      <c r="AI1701" s="27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43">
        <f t="shared" si="214"/>
        <v>2026</v>
      </c>
      <c r="C1702" s="116">
        <f t="shared" si="215"/>
        <v>2025</v>
      </c>
      <c r="D1702" s="2" t="s">
        <v>155</v>
      </c>
      <c r="E1702" s="2" t="s">
        <v>155</v>
      </c>
      <c r="F1702" s="30">
        <v>45839</v>
      </c>
      <c r="G1702" s="2">
        <f>DAY(EOMONTH(TA[[#This Row],[Month Year]],0))</f>
        <v>31</v>
      </c>
      <c r="H1702" s="21">
        <v>45867</v>
      </c>
      <c r="I1702" s="32">
        <f>IFERROR(VLOOKUP(TA[[#This Row],[Date]],Raw_Data[[Date]:[Sunset Time (POA&lt;20 W/m2)]],3,0),"")</f>
        <v>0.25555555555555554</v>
      </c>
      <c r="J1702" s="32">
        <f>IFERROR(VLOOKUP(TA[[#This Row],[Date]],Raw_Data[[Date]:[Sunset Time (POA&lt;20 W/m2)]],4,0),"")</f>
        <v>0.76458333333333328</v>
      </c>
      <c r="K1702" s="27">
        <f>IFERROR((TA[[#This Row],[Sunset Time (POA&lt;20 W/m2)]]-TA[[#This Row],[Sunrise Time (POA&gt;20 W/m2)]])*24,"")</f>
        <v>12.216666666666665</v>
      </c>
      <c r="L1702" s="2" t="s">
        <v>287</v>
      </c>
      <c r="M1702" s="33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314</v>
      </c>
      <c r="Q1702" s="2" t="s">
        <v>320</v>
      </c>
      <c r="R1702">
        <v>47</v>
      </c>
      <c r="S1702" s="2">
        <v>18</v>
      </c>
      <c r="T1702" t="s">
        <v>288</v>
      </c>
      <c r="U1702" t="s">
        <v>291</v>
      </c>
      <c r="V1702" t="s">
        <v>292</v>
      </c>
      <c r="W1702" s="32"/>
      <c r="X1702" s="32"/>
      <c r="Y1702" s="26"/>
      <c r="Z1702" s="26"/>
      <c r="AA1702" s="27">
        <f>IF(TA[[#This Row],[Work Start time on Fault]]="NA","",(TA[[#This Row],[Fault Acknowledgement Time ]]-TA[[#This Row],[Fault Time]])*24)</f>
        <v>0</v>
      </c>
      <c r="AB1702" s="27">
        <f>(TA[[#This Row],[Work Start time on Fault]]-TA[[#This Row],[Fault Time]])*24</f>
        <v>0</v>
      </c>
      <c r="AC1702" s="26">
        <f>(TA[[#This Row],[Work Completion time on fault]]-TA[[#This Row],[Fault Time]])*24</f>
        <v>0</v>
      </c>
      <c r="AD1702" s="27">
        <f>IFERROR((TA[[#This Row],[Work Completion time on fault]]-TA[[#This Row],[Fault Time]])*24,"")</f>
        <v>0</v>
      </c>
      <c r="AE1702" t="s">
        <v>319</v>
      </c>
      <c r="AF1702" t="s">
        <v>247</v>
      </c>
      <c r="AG1702" s="2"/>
      <c r="AH1702" s="35">
        <f>1-COS(RADIANS(TA[[#This Row],[Avg. Target Angle during Fault Time (Radians)]]-TA[[#This Row],[Angle of affected equipment ]]))</f>
        <v>0.11705240714107301</v>
      </c>
      <c r="AI1702" s="27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43">
        <f t="shared" si="214"/>
        <v>2026</v>
      </c>
      <c r="C1703" s="116">
        <f t="shared" si="215"/>
        <v>2025</v>
      </c>
      <c r="D1703" s="2" t="s">
        <v>155</v>
      </c>
      <c r="E1703" s="2" t="s">
        <v>155</v>
      </c>
      <c r="F1703" s="30">
        <v>45839</v>
      </c>
      <c r="G1703" s="2">
        <f>DAY(EOMONTH(TA[[#This Row],[Month Year]],0))</f>
        <v>31</v>
      </c>
      <c r="H1703" s="21">
        <v>45867</v>
      </c>
      <c r="I1703" s="32">
        <f>IFERROR(VLOOKUP(TA[[#This Row],[Date]],Raw_Data[[Date]:[Sunset Time (POA&lt;20 W/m2)]],3,0),"")</f>
        <v>0.25555555555555554</v>
      </c>
      <c r="J1703" s="32">
        <f>IFERROR(VLOOKUP(TA[[#This Row],[Date]],Raw_Data[[Date]:[Sunset Time (POA&lt;20 W/m2)]],4,0),"")</f>
        <v>0.76458333333333328</v>
      </c>
      <c r="K1703" s="27">
        <f>IFERROR((TA[[#This Row],[Sunset Time (POA&lt;20 W/m2)]]-TA[[#This Row],[Sunrise Time (POA&gt;20 W/m2)]])*24,"")</f>
        <v>12.216666666666665</v>
      </c>
      <c r="L1703" s="2" t="s">
        <v>287</v>
      </c>
      <c r="M1703" s="33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321</v>
      </c>
      <c r="Q1703" s="2" t="s">
        <v>314</v>
      </c>
      <c r="R1703">
        <v>30</v>
      </c>
      <c r="S1703" s="2">
        <v>57</v>
      </c>
      <c r="T1703" t="s">
        <v>288</v>
      </c>
      <c r="U1703" t="s">
        <v>291</v>
      </c>
      <c r="V1703" t="s">
        <v>292</v>
      </c>
      <c r="W1703" s="32"/>
      <c r="X1703" s="32"/>
      <c r="Y1703" s="26"/>
      <c r="Z1703" s="26"/>
      <c r="AA1703" s="27">
        <f>IF(TA[[#This Row],[Work Start time on Fault]]="NA","",(TA[[#This Row],[Fault Acknowledgement Time ]]-TA[[#This Row],[Fault Time]])*24)</f>
        <v>0</v>
      </c>
      <c r="AB1703" s="27">
        <f>(TA[[#This Row],[Work Start time on Fault]]-TA[[#This Row],[Fault Time]])*24</f>
        <v>0</v>
      </c>
      <c r="AC1703" s="26">
        <f>(TA[[#This Row],[Work Completion time on fault]]-TA[[#This Row],[Fault Time]])*24</f>
        <v>0</v>
      </c>
      <c r="AD1703" s="27">
        <f>IFERROR((TA[[#This Row],[Work Completion time on fault]]-TA[[#This Row],[Fault Time]])*24,"")</f>
        <v>0</v>
      </c>
      <c r="AE1703" t="s">
        <v>319</v>
      </c>
      <c r="AF1703" t="s">
        <v>247</v>
      </c>
      <c r="AG1703" s="2"/>
      <c r="AH1703" s="35">
        <f>1-COS(RADIANS(TA[[#This Row],[Avg. Target Angle during Fault Time (Radians)]]-TA[[#This Row],[Angle of affected equipment ]]))</f>
        <v>0.11705240714107301</v>
      </c>
      <c r="AI1703" s="27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43">
        <f t="shared" si="214"/>
        <v>2026</v>
      </c>
      <c r="C1704" s="116">
        <f t="shared" si="215"/>
        <v>2025</v>
      </c>
      <c r="D1704" s="2" t="s">
        <v>155</v>
      </c>
      <c r="E1704" s="2" t="s">
        <v>155</v>
      </c>
      <c r="F1704" s="30">
        <v>45839</v>
      </c>
      <c r="G1704" s="2">
        <f>DAY(EOMONTH(TA[[#This Row],[Month Year]],0))</f>
        <v>31</v>
      </c>
      <c r="H1704" s="21">
        <v>45867</v>
      </c>
      <c r="I1704" s="32">
        <f>IFERROR(VLOOKUP(TA[[#This Row],[Date]],Raw_Data[[Date]:[Sunset Time (POA&lt;20 W/m2)]],3,0),"")</f>
        <v>0.25555555555555554</v>
      </c>
      <c r="J1704" s="32">
        <f>IFERROR(VLOOKUP(TA[[#This Row],[Date]],Raw_Data[[Date]:[Sunset Time (POA&lt;20 W/m2)]],4,0),"")</f>
        <v>0.76458333333333328</v>
      </c>
      <c r="K1704" s="27">
        <f>IFERROR((TA[[#This Row],[Sunset Time (POA&lt;20 W/m2)]]-TA[[#This Row],[Sunrise Time (POA&gt;20 W/m2)]])*24,"")</f>
        <v>12.216666666666665</v>
      </c>
      <c r="L1704" s="2" t="s">
        <v>287</v>
      </c>
      <c r="M1704" s="33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321</v>
      </c>
      <c r="Q1704" s="2" t="s">
        <v>314</v>
      </c>
      <c r="R1704">
        <v>31</v>
      </c>
      <c r="S1704" s="2">
        <v>61</v>
      </c>
      <c r="T1704" t="s">
        <v>288</v>
      </c>
      <c r="U1704" t="s">
        <v>291</v>
      </c>
      <c r="V1704" t="s">
        <v>292</v>
      </c>
      <c r="W1704" s="32"/>
      <c r="X1704" s="32"/>
      <c r="Y1704" s="26"/>
      <c r="Z1704" s="26"/>
      <c r="AA1704" s="27">
        <f>IF(TA[[#This Row],[Work Start time on Fault]]="NA","",(TA[[#This Row],[Fault Acknowledgement Time ]]-TA[[#This Row],[Fault Time]])*24)</f>
        <v>0</v>
      </c>
      <c r="AB1704" s="27">
        <f>(TA[[#This Row],[Work Start time on Fault]]-TA[[#This Row],[Fault Time]])*24</f>
        <v>0</v>
      </c>
      <c r="AC1704" s="26">
        <f>(TA[[#This Row],[Work Completion time on fault]]-TA[[#This Row],[Fault Time]])*24</f>
        <v>0</v>
      </c>
      <c r="AD1704" s="27">
        <f>IFERROR((TA[[#This Row],[Work Completion time on fault]]-TA[[#This Row],[Fault Time]])*24,"")</f>
        <v>0</v>
      </c>
      <c r="AE1704" t="s">
        <v>319</v>
      </c>
      <c r="AF1704" t="s">
        <v>247</v>
      </c>
      <c r="AG1704" s="2"/>
      <c r="AH1704" s="35">
        <f>1-COS(RADIANS(TA[[#This Row],[Avg. Target Angle during Fault Time (Radians)]]-TA[[#This Row],[Angle of affected equipment ]]))</f>
        <v>0.11705240714107301</v>
      </c>
      <c r="AI1704" s="27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43">
        <f t="shared" si="214"/>
        <v>2026</v>
      </c>
      <c r="C1705" s="116">
        <f t="shared" si="215"/>
        <v>2025</v>
      </c>
      <c r="D1705" s="2" t="s">
        <v>155</v>
      </c>
      <c r="E1705" s="2" t="s">
        <v>155</v>
      </c>
      <c r="F1705" s="30">
        <v>45839</v>
      </c>
      <c r="G1705" s="2">
        <f>DAY(EOMONTH(TA[[#This Row],[Month Year]],0))</f>
        <v>31</v>
      </c>
      <c r="H1705" s="21">
        <v>45867</v>
      </c>
      <c r="I1705" s="32">
        <f>IFERROR(VLOOKUP(TA[[#This Row],[Date]],Raw_Data[[Date]:[Sunset Time (POA&lt;20 W/m2)]],3,0),"")</f>
        <v>0.25555555555555554</v>
      </c>
      <c r="J1705" s="32">
        <f>IFERROR(VLOOKUP(TA[[#This Row],[Date]],Raw_Data[[Date]:[Sunset Time (POA&lt;20 W/m2)]],4,0),"")</f>
        <v>0.76458333333333328</v>
      </c>
      <c r="K1705" s="27">
        <f>IFERROR((TA[[#This Row],[Sunset Time (POA&lt;20 W/m2)]]-TA[[#This Row],[Sunrise Time (POA&gt;20 W/m2)]])*24,"")</f>
        <v>12.216666666666665</v>
      </c>
      <c r="L1705" s="2" t="s">
        <v>303</v>
      </c>
      <c r="M1705" s="33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321</v>
      </c>
      <c r="Q1705" s="2" t="s">
        <v>314</v>
      </c>
      <c r="R1705">
        <v>26</v>
      </c>
      <c r="S1705" s="2">
        <v>37</v>
      </c>
      <c r="T1705" t="s">
        <v>288</v>
      </c>
      <c r="U1705" t="s">
        <v>291</v>
      </c>
      <c r="V1705" t="s">
        <v>292</v>
      </c>
      <c r="W1705" s="32"/>
      <c r="X1705" s="32"/>
      <c r="Y1705" s="26"/>
      <c r="Z1705" s="26"/>
      <c r="AA1705" s="27">
        <f>IF(TA[[#This Row],[Work Start time on Fault]]="NA","",(TA[[#This Row],[Fault Acknowledgement Time ]]-TA[[#This Row],[Fault Time]])*24)</f>
        <v>0</v>
      </c>
      <c r="AB1705" s="27">
        <f>(TA[[#This Row],[Work Start time on Fault]]-TA[[#This Row],[Fault Time]])*24</f>
        <v>0</v>
      </c>
      <c r="AC1705" s="26">
        <f>(TA[[#This Row],[Work Completion time on fault]]-TA[[#This Row],[Fault Time]])*24</f>
        <v>0</v>
      </c>
      <c r="AD1705" s="27">
        <f>IFERROR((TA[[#This Row],[Work Completion time on fault]]-TA[[#This Row],[Fault Time]])*24,"")</f>
        <v>0</v>
      </c>
      <c r="AE1705" t="s">
        <v>319</v>
      </c>
      <c r="AF1705" t="s">
        <v>247</v>
      </c>
      <c r="AG1705" s="2"/>
      <c r="AH1705" s="35">
        <f>1-COS(RADIANS(TA[[#This Row],[Avg. Target Angle during Fault Time (Radians)]]-TA[[#This Row],[Angle of affected equipment ]]))</f>
        <v>0.11705240714107301</v>
      </c>
      <c r="AI1705" s="27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43">
        <f t="shared" si="214"/>
        <v>2026</v>
      </c>
      <c r="C1706" s="116">
        <f t="shared" si="215"/>
        <v>2025</v>
      </c>
      <c r="D1706" s="2" t="s">
        <v>155</v>
      </c>
      <c r="E1706" s="2" t="s">
        <v>155</v>
      </c>
      <c r="F1706" s="30">
        <v>45839</v>
      </c>
      <c r="G1706" s="2">
        <f>DAY(EOMONTH(TA[[#This Row],[Month Year]],0))</f>
        <v>31</v>
      </c>
      <c r="H1706" s="21">
        <v>45867</v>
      </c>
      <c r="I1706" s="32">
        <f>IFERROR(VLOOKUP(TA[[#This Row],[Date]],Raw_Data[[Date]:[Sunset Time (POA&lt;20 W/m2)]],3,0),"")</f>
        <v>0.25555555555555554</v>
      </c>
      <c r="J1706" s="32">
        <f>IFERROR(VLOOKUP(TA[[#This Row],[Date]],Raw_Data[[Date]:[Sunset Time (POA&lt;20 W/m2)]],4,0),"")</f>
        <v>0.76458333333333328</v>
      </c>
      <c r="K1706" s="27">
        <f>IFERROR((TA[[#This Row],[Sunset Time (POA&lt;20 W/m2)]]-TA[[#This Row],[Sunrise Time (POA&gt;20 W/m2)]])*24,"")</f>
        <v>12.216666666666665</v>
      </c>
      <c r="L1706" s="2" t="s">
        <v>303</v>
      </c>
      <c r="M1706" s="33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321</v>
      </c>
      <c r="Q1706" s="2" t="s">
        <v>314</v>
      </c>
      <c r="R1706">
        <v>27</v>
      </c>
      <c r="S1706" s="2">
        <v>42</v>
      </c>
      <c r="T1706" t="s">
        <v>288</v>
      </c>
      <c r="U1706" t="s">
        <v>291</v>
      </c>
      <c r="V1706" t="s">
        <v>292</v>
      </c>
      <c r="W1706" s="32">
        <f>IFERROR(VLOOKUP(TA[[#This Row],[Date]],Raw_Data[[Date]:[Sunset Time (POA&lt;20 W/m2)]],3,0),"")</f>
        <v>0.25555555555555554</v>
      </c>
      <c r="X1706" s="32">
        <f>IFERROR(VLOOKUP(TA[[#This Row],[Date]],Raw_Data[[Date]:[Sunset Time (POA&lt;20 W/m2)]],3,0),"")</f>
        <v>0.25555555555555554</v>
      </c>
      <c r="Y1706" s="26"/>
      <c r="Z1706" s="26">
        <v>0.76041666666666663</v>
      </c>
      <c r="AA1706" s="27">
        <f>IF(TA[[#This Row],[Work Start time on Fault]]="NA","",(TA[[#This Row],[Fault Acknowledgement Time ]]-TA[[#This Row],[Fault Time]])*24)</f>
        <v>0</v>
      </c>
      <c r="AB1706" s="27">
        <f>(TA[[#This Row],[Work Start time on Fault]]-TA[[#This Row],[Fault Time]])*24</f>
        <v>-6.1333333333333329</v>
      </c>
      <c r="AC1706" s="26">
        <f>(TA[[#This Row],[Work Completion time on fault]]-TA[[#This Row],[Fault Time]])*24</f>
        <v>12.116666666666667</v>
      </c>
      <c r="AD1706" s="27">
        <f>IFERROR((TA[[#This Row],[Work Completion time on fault]]-TA[[#This Row],[Fault Time]])*24,"")</f>
        <v>12.116666666666667</v>
      </c>
      <c r="AE1706" t="s">
        <v>300</v>
      </c>
      <c r="AF1706" t="s">
        <v>247</v>
      </c>
      <c r="AG1706" s="2"/>
      <c r="AH1706" s="35">
        <f>1-COS(RADIANS(TA[[#This Row],[Avg. Target Angle during Fault Time (Radians)]]-TA[[#This Row],[Angle of affected equipment ]]))</f>
        <v>0.11705240714107301</v>
      </c>
      <c r="AI1706" s="27">
        <f>IFERROR(TA[[#This Row],[Breakdown Time]]*TA[[#This Row],[Plant Equivalent Weightage]],"")</f>
        <v>6.9636015325670514E-2</v>
      </c>
    </row>
    <row r="1707" spans="1:35">
      <c r="A1707" s="2">
        <f t="shared" si="209"/>
        <v>1704</v>
      </c>
      <c r="B1707" s="143">
        <f t="shared" ref="B1707:B1719" si="216">YEAR(H1707)+IF(MONTH(H1707)&gt;=4,1,0)</f>
        <v>2026</v>
      </c>
      <c r="C1707" s="116">
        <f t="shared" ref="C1707:C1719" si="217">YEAR(H1707)</f>
        <v>2025</v>
      </c>
      <c r="D1707" s="2" t="s">
        <v>155</v>
      </c>
      <c r="E1707" s="2" t="s">
        <v>155</v>
      </c>
      <c r="F1707" s="30">
        <v>45839</v>
      </c>
      <c r="G1707" s="2">
        <f>DAY(EOMONTH(TA[[#This Row],[Month Year]],0))</f>
        <v>31</v>
      </c>
      <c r="H1707" s="21">
        <v>45868</v>
      </c>
      <c r="I1707" s="32">
        <f>IFERROR(VLOOKUP(TA[[#This Row],[Date]],Raw_Data[[Date]:[Sunset Time (POA&lt;20 W/m2)]],3,0),"")</f>
        <v>0.25694444444444442</v>
      </c>
      <c r="J1707" s="32">
        <f>IFERROR(VLOOKUP(TA[[#This Row],[Date]],Raw_Data[[Date]:[Sunset Time (POA&lt;20 W/m2)]],4,0),"")</f>
        <v>0.76875000000000004</v>
      </c>
      <c r="K1707" s="27">
        <f>IFERROR((TA[[#This Row],[Sunset Time (POA&lt;20 W/m2)]]-TA[[#This Row],[Sunrise Time (POA&gt;20 W/m2)]])*24,"")</f>
        <v>12.283333333333335</v>
      </c>
      <c r="L1707" s="2" t="s">
        <v>285</v>
      </c>
      <c r="M1707" s="33">
        <f>IFERROR(VLOOKUP(TA[[#This Row],[Affected Equipment]],'Basic Data'!$I$2:$K$40,3,0),"")</f>
        <v>1.7241379310344799E-3</v>
      </c>
      <c r="N1707">
        <v>-28</v>
      </c>
      <c r="O1707" t="s">
        <v>135</v>
      </c>
      <c r="P1707" s="114" t="s">
        <v>309</v>
      </c>
      <c r="Q1707" s="113" t="s">
        <v>309</v>
      </c>
      <c r="R1707">
        <v>131</v>
      </c>
      <c r="S1707" s="2">
        <v>38</v>
      </c>
      <c r="T1707" t="s">
        <v>286</v>
      </c>
      <c r="U1707" t="s">
        <v>291</v>
      </c>
      <c r="V1707" t="s">
        <v>289</v>
      </c>
      <c r="W1707" s="32"/>
      <c r="X1707" s="32"/>
      <c r="Y1707" s="26"/>
      <c r="Z1707" s="26"/>
      <c r="AA1707" s="27">
        <f>IF(TA[[#This Row],[Work Start time on Fault]]="NA","",(TA[[#This Row],[Fault Acknowledgement Time ]]-TA[[#This Row],[Fault Time]])*24)</f>
        <v>0</v>
      </c>
      <c r="AB1707" s="27">
        <f>(TA[[#This Row],[Work Start time on Fault]]-TA[[#This Row],[Fault Time]])*24</f>
        <v>0</v>
      </c>
      <c r="AC1707" s="26">
        <f>(TA[[#This Row],[Work Completion time on fault]]-TA[[#This Row],[Fault Time]])*24</f>
        <v>0</v>
      </c>
      <c r="AD1707" s="27">
        <f>IFERROR((TA[[#This Row],[Work Completion time on fault]]-TA[[#This Row],[Fault Time]])*24,"")</f>
        <v>0</v>
      </c>
      <c r="AE1707" t="s">
        <v>319</v>
      </c>
      <c r="AF1707" t="s">
        <v>247</v>
      </c>
      <c r="AG1707" s="2"/>
      <c r="AH1707" s="35">
        <f>1-COS(RADIANS(TA[[#This Row],[Avg. Target Angle during Fault Time (Radians)]]-TA[[#This Row],[Angle of affected equipment ]]))</f>
        <v>0.11705240714107301</v>
      </c>
      <c r="AI1707" s="27">
        <f>IFERROR(TA[[#This Row],[Breakdown Time]]*TA[[#This Row],[Plant Equivalent Weightage]],"")</f>
        <v>0</v>
      </c>
    </row>
    <row r="1708" spans="1:35">
      <c r="A1708" s="2">
        <f t="shared" ref="A1708:A1771" si="218">A1707+1</f>
        <v>1705</v>
      </c>
      <c r="B1708" s="143">
        <f t="shared" si="216"/>
        <v>2026</v>
      </c>
      <c r="C1708" s="116">
        <f t="shared" si="217"/>
        <v>2025</v>
      </c>
      <c r="D1708" s="2" t="s">
        <v>155</v>
      </c>
      <c r="E1708" s="2" t="s">
        <v>155</v>
      </c>
      <c r="F1708" s="30">
        <v>45839</v>
      </c>
      <c r="G1708" s="2">
        <f>DAY(EOMONTH(TA[[#This Row],[Month Year]],0))</f>
        <v>31</v>
      </c>
      <c r="H1708" s="21">
        <v>45868</v>
      </c>
      <c r="I1708" s="32">
        <f>IFERROR(VLOOKUP(TA[[#This Row],[Date]],Raw_Data[[Date]:[Sunset Time (POA&lt;20 W/m2)]],3,0),"")</f>
        <v>0.25694444444444442</v>
      </c>
      <c r="J1708" s="32">
        <f>IFERROR(VLOOKUP(TA[[#This Row],[Date]],Raw_Data[[Date]:[Sunset Time (POA&lt;20 W/m2)]],4,0),"")</f>
        <v>0.76875000000000004</v>
      </c>
      <c r="K1708" s="27">
        <f>IFERROR((TA[[#This Row],[Sunset Time (POA&lt;20 W/m2)]]-TA[[#This Row],[Sunrise Time (POA&gt;20 W/m2)]])*24,"")</f>
        <v>12.283333333333335</v>
      </c>
      <c r="L1708" s="2" t="s">
        <v>285</v>
      </c>
      <c r="M1708" s="33">
        <f>IFERROR(VLOOKUP(TA[[#This Row],[Affected Equipment]],'Basic Data'!$I$2:$K$40,3,0),"")</f>
        <v>1.7241379310344799E-3</v>
      </c>
      <c r="N1708">
        <v>-28</v>
      </c>
      <c r="O1708" t="s">
        <v>135</v>
      </c>
      <c r="P1708" s="114" t="s">
        <v>309</v>
      </c>
      <c r="Q1708" s="113" t="s">
        <v>309</v>
      </c>
      <c r="R1708">
        <v>131</v>
      </c>
      <c r="S1708" s="2">
        <v>39</v>
      </c>
      <c r="T1708" t="s">
        <v>286</v>
      </c>
      <c r="U1708" t="s">
        <v>291</v>
      </c>
      <c r="V1708" t="s">
        <v>289</v>
      </c>
      <c r="W1708" s="32"/>
      <c r="X1708" s="32"/>
      <c r="Y1708" s="26"/>
      <c r="Z1708" s="26"/>
      <c r="AA1708" s="27">
        <f>IF(TA[[#This Row],[Work Start time on Fault]]="NA","",(TA[[#This Row],[Fault Acknowledgement Time ]]-TA[[#This Row],[Fault Time]])*24)</f>
        <v>0</v>
      </c>
      <c r="AB1708" s="27">
        <f>(TA[[#This Row],[Work Start time on Fault]]-TA[[#This Row],[Fault Time]])*24</f>
        <v>0</v>
      </c>
      <c r="AC1708" s="26">
        <f>(TA[[#This Row],[Work Completion time on fault]]-TA[[#This Row],[Fault Time]])*24</f>
        <v>0</v>
      </c>
      <c r="AD1708" s="27">
        <f>IFERROR((TA[[#This Row],[Work Completion time on fault]]-TA[[#This Row],[Fault Time]])*24,"")</f>
        <v>0</v>
      </c>
      <c r="AE1708" t="s">
        <v>319</v>
      </c>
      <c r="AF1708" t="s">
        <v>247</v>
      </c>
      <c r="AG1708" s="2"/>
      <c r="AH1708" s="35">
        <f>1-COS(RADIANS(TA[[#This Row],[Avg. Target Angle during Fault Time (Radians)]]-TA[[#This Row],[Angle of affected equipment ]]))</f>
        <v>0.11705240714107301</v>
      </c>
      <c r="AI1708" s="27">
        <f>IFERROR(TA[[#This Row],[Breakdown Time]]*TA[[#This Row],[Plant Equivalent Weightage]],"")</f>
        <v>0</v>
      </c>
    </row>
    <row r="1709" spans="1:35">
      <c r="A1709" s="2">
        <f t="shared" si="218"/>
        <v>1706</v>
      </c>
      <c r="B1709" s="143">
        <f t="shared" si="216"/>
        <v>2026</v>
      </c>
      <c r="C1709" s="116">
        <f t="shared" si="217"/>
        <v>2025</v>
      </c>
      <c r="D1709" s="2" t="s">
        <v>155</v>
      </c>
      <c r="E1709" s="2" t="s">
        <v>155</v>
      </c>
      <c r="F1709" s="30">
        <v>45839</v>
      </c>
      <c r="G1709" s="2">
        <f>DAY(EOMONTH(TA[[#This Row],[Month Year]],0))</f>
        <v>31</v>
      </c>
      <c r="H1709" s="21">
        <v>45868</v>
      </c>
      <c r="I1709" s="32">
        <f>IFERROR(VLOOKUP(TA[[#This Row],[Date]],Raw_Data[[Date]:[Sunset Time (POA&lt;20 W/m2)]],3,0),"")</f>
        <v>0.25694444444444442</v>
      </c>
      <c r="J1709" s="32">
        <f>IFERROR(VLOOKUP(TA[[#This Row],[Date]],Raw_Data[[Date]:[Sunset Time (POA&lt;20 W/m2)]],4,0),"")</f>
        <v>0.76875000000000004</v>
      </c>
      <c r="K1709" s="27">
        <f>IFERROR((TA[[#This Row],[Sunset Time (POA&lt;20 W/m2)]]-TA[[#This Row],[Sunrise Time (POA&gt;20 W/m2)]])*24,"")</f>
        <v>12.283333333333335</v>
      </c>
      <c r="L1709" s="2" t="s">
        <v>287</v>
      </c>
      <c r="M1709" s="33">
        <f>IFERROR(VLOOKUP(TA[[#This Row],[Affected Equipment]],'Basic Data'!$I$2:$K$40,3,0),"")</f>
        <v>8.6206896551724102E-3</v>
      </c>
      <c r="N1709">
        <v>-28</v>
      </c>
      <c r="O1709" t="s">
        <v>135</v>
      </c>
      <c r="P1709" s="114" t="s">
        <v>309</v>
      </c>
      <c r="Q1709" s="2" t="s">
        <v>312</v>
      </c>
      <c r="R1709">
        <v>133</v>
      </c>
      <c r="S1709" s="2">
        <v>26</v>
      </c>
      <c r="T1709" t="s">
        <v>288</v>
      </c>
      <c r="U1709" t="s">
        <v>291</v>
      </c>
      <c r="V1709" t="s">
        <v>305</v>
      </c>
      <c r="W1709" s="32">
        <f>IFERROR(VLOOKUP(TA[[#This Row],[Date]],Raw_Data[[Date]:[Sunset Time (POA&lt;20 W/m2)]],3,0),"")</f>
        <v>0.25694444444444442</v>
      </c>
      <c r="X1709" s="32">
        <f>IFERROR(VLOOKUP(TA[[#This Row],[Date]],Raw_Data[[Date]:[Sunset Time (POA&lt;20 W/m2)]],3,0),"")</f>
        <v>0.25694444444444442</v>
      </c>
      <c r="Y1709" s="26"/>
      <c r="Z1709" s="26">
        <v>0.76041666666666663</v>
      </c>
      <c r="AA1709" s="27">
        <f>IF(TA[[#This Row],[Work Start time on Fault]]="NA","",(TA[[#This Row],[Fault Acknowledgement Time ]]-TA[[#This Row],[Fault Time]])*24)</f>
        <v>0</v>
      </c>
      <c r="AB1709" s="27">
        <f>(TA[[#This Row],[Work Start time on Fault]]-TA[[#This Row],[Fault Time]])*24</f>
        <v>-6.1666666666666661</v>
      </c>
      <c r="AC1709" s="26">
        <f>(TA[[#This Row],[Work Completion time on fault]]-TA[[#This Row],[Fault Time]])*24</f>
        <v>12.083333333333332</v>
      </c>
      <c r="AD1709" s="27">
        <f>IFERROR((TA[[#This Row],[Work Completion time on fault]]-TA[[#This Row],[Fault Time]])*24,"")</f>
        <v>12.083333333333332</v>
      </c>
      <c r="AE1709" t="s">
        <v>319</v>
      </c>
      <c r="AF1709" t="s">
        <v>247</v>
      </c>
      <c r="AG1709" s="2"/>
      <c r="AH1709" s="35">
        <f>1-COS(RADIANS(TA[[#This Row],[Avg. Target Angle during Fault Time (Radians)]]-TA[[#This Row],[Angle of affected equipment ]]))</f>
        <v>0.11705240714107301</v>
      </c>
      <c r="AI1709" s="27">
        <f>IFERROR(TA[[#This Row],[Breakdown Time]]*TA[[#This Row],[Plant Equivalent Weightage]],"")</f>
        <v>0.10416666666666662</v>
      </c>
    </row>
    <row r="1710" spans="1:35">
      <c r="A1710" s="2">
        <f t="shared" si="218"/>
        <v>1707</v>
      </c>
      <c r="B1710" s="143">
        <f t="shared" si="216"/>
        <v>2026</v>
      </c>
      <c r="C1710" s="116">
        <f t="shared" si="217"/>
        <v>2025</v>
      </c>
      <c r="D1710" s="2" t="s">
        <v>155</v>
      </c>
      <c r="E1710" s="2" t="s">
        <v>155</v>
      </c>
      <c r="F1710" s="30">
        <v>45839</v>
      </c>
      <c r="G1710" s="2">
        <f>DAY(EOMONTH(TA[[#This Row],[Month Year]],0))</f>
        <v>31</v>
      </c>
      <c r="H1710" s="21">
        <v>45868</v>
      </c>
      <c r="I1710" s="32">
        <f>IFERROR(VLOOKUP(TA[[#This Row],[Date]],Raw_Data[[Date]:[Sunset Time (POA&lt;20 W/m2)]],3,0),"")</f>
        <v>0.25694444444444442</v>
      </c>
      <c r="J1710" s="32">
        <f>IFERROR(VLOOKUP(TA[[#This Row],[Date]],Raw_Data[[Date]:[Sunset Time (POA&lt;20 W/m2)]],4,0),"")</f>
        <v>0.76875000000000004</v>
      </c>
      <c r="K1710" s="27">
        <f>IFERROR((TA[[#This Row],[Sunset Time (POA&lt;20 W/m2)]]-TA[[#This Row],[Sunrise Time (POA&gt;20 W/m2)]])*24,"")</f>
        <v>12.283333333333335</v>
      </c>
      <c r="L1710" s="2" t="s">
        <v>285</v>
      </c>
      <c r="M1710" s="33">
        <f>IFERROR(VLOOKUP(TA[[#This Row],[Affected Equipment]],'Basic Data'!$I$2:$K$40,3,0),"")</f>
        <v>1.7241379310344799E-3</v>
      </c>
      <c r="N1710">
        <v>-28</v>
      </c>
      <c r="O1710" t="s">
        <v>133</v>
      </c>
      <c r="P1710" s="114" t="s">
        <v>307</v>
      </c>
      <c r="Q1710" s="113" t="s">
        <v>308</v>
      </c>
      <c r="R1710">
        <v>7</v>
      </c>
      <c r="S1710" s="2">
        <v>32</v>
      </c>
      <c r="T1710" t="s">
        <v>286</v>
      </c>
      <c r="U1710" t="s">
        <v>291</v>
      </c>
      <c r="V1710" t="s">
        <v>289</v>
      </c>
      <c r="W1710" s="32"/>
      <c r="X1710" s="32"/>
      <c r="Y1710" s="26"/>
      <c r="Z1710" s="26"/>
      <c r="AA1710" s="27">
        <f>IF(TA[[#This Row],[Work Start time on Fault]]="NA","",(TA[[#This Row],[Fault Acknowledgement Time ]]-TA[[#This Row],[Fault Time]])*24)</f>
        <v>0</v>
      </c>
      <c r="AB1710" s="27">
        <f>(TA[[#This Row],[Work Start time on Fault]]-TA[[#This Row],[Fault Time]])*24</f>
        <v>0</v>
      </c>
      <c r="AC1710" s="26">
        <f>(TA[[#This Row],[Work Completion time on fault]]-TA[[#This Row],[Fault Time]])*24</f>
        <v>0</v>
      </c>
      <c r="AD1710" s="27">
        <f>IFERROR((TA[[#This Row],[Work Completion time on fault]]-TA[[#This Row],[Fault Time]])*24,"")</f>
        <v>0</v>
      </c>
      <c r="AE1710" t="s">
        <v>319</v>
      </c>
      <c r="AF1710" t="s">
        <v>247</v>
      </c>
      <c r="AG1710" s="2"/>
      <c r="AH1710" s="35">
        <f>1-COS(RADIANS(TA[[#This Row],[Avg. Target Angle during Fault Time (Radians)]]-TA[[#This Row],[Angle of affected equipment ]]))</f>
        <v>0.11705240714107301</v>
      </c>
      <c r="AI1710" s="27">
        <f>IFERROR(TA[[#This Row],[Breakdown Time]]*TA[[#This Row],[Plant Equivalent Weightage]],"")</f>
        <v>0</v>
      </c>
    </row>
    <row r="1711" spans="1:35">
      <c r="A1711" s="2">
        <f t="shared" si="218"/>
        <v>1708</v>
      </c>
      <c r="B1711" s="143">
        <f t="shared" si="216"/>
        <v>2026</v>
      </c>
      <c r="C1711" s="116">
        <f t="shared" si="217"/>
        <v>2025</v>
      </c>
      <c r="D1711" s="2" t="s">
        <v>155</v>
      </c>
      <c r="E1711" s="2" t="s">
        <v>155</v>
      </c>
      <c r="F1711" s="30">
        <v>45839</v>
      </c>
      <c r="G1711" s="2">
        <f>DAY(EOMONTH(TA[[#This Row],[Month Year]],0))</f>
        <v>31</v>
      </c>
      <c r="H1711" s="21">
        <v>45868</v>
      </c>
      <c r="I1711" s="32">
        <f>IFERROR(VLOOKUP(TA[[#This Row],[Date]],Raw_Data[[Date]:[Sunset Time (POA&lt;20 W/m2)]],3,0),"")</f>
        <v>0.25694444444444442</v>
      </c>
      <c r="J1711" s="32">
        <f>IFERROR(VLOOKUP(TA[[#This Row],[Date]],Raw_Data[[Date]:[Sunset Time (POA&lt;20 W/m2)]],4,0),"")</f>
        <v>0.76875000000000004</v>
      </c>
      <c r="K1711" s="27">
        <f>IFERROR((TA[[#This Row],[Sunset Time (POA&lt;20 W/m2)]]-TA[[#This Row],[Sunrise Time (POA&gt;20 W/m2)]])*24,"")</f>
        <v>12.283333333333335</v>
      </c>
      <c r="L1711" s="2" t="s">
        <v>285</v>
      </c>
      <c r="M1711" s="33">
        <f>IFERROR(VLOOKUP(TA[[#This Row],[Affected Equipment]],'Basic Data'!$I$2:$K$40,3,0),"")</f>
        <v>1.7241379310344799E-3</v>
      </c>
      <c r="N1711">
        <v>-28</v>
      </c>
      <c r="O1711" t="s">
        <v>137</v>
      </c>
      <c r="P1711" s="114" t="s">
        <v>306</v>
      </c>
      <c r="Q1711" s="113" t="s">
        <v>310</v>
      </c>
      <c r="R1711">
        <v>166</v>
      </c>
      <c r="S1711" s="2">
        <v>91</v>
      </c>
      <c r="T1711" t="s">
        <v>286</v>
      </c>
      <c r="U1711" t="s">
        <v>291</v>
      </c>
      <c r="V1711" t="s">
        <v>289</v>
      </c>
      <c r="W1711" s="32"/>
      <c r="X1711" s="32"/>
      <c r="Y1711" s="26"/>
      <c r="Z1711" s="26"/>
      <c r="AA1711" s="27">
        <f>IF(TA[[#This Row],[Work Start time on Fault]]="NA","",(TA[[#This Row],[Fault Acknowledgement Time ]]-TA[[#This Row],[Fault Time]])*24)</f>
        <v>0</v>
      </c>
      <c r="AB1711" s="27">
        <f>(TA[[#This Row],[Work Start time on Fault]]-TA[[#This Row],[Fault Time]])*24</f>
        <v>0</v>
      </c>
      <c r="AC1711" s="26">
        <f>(TA[[#This Row],[Work Completion time on fault]]-TA[[#This Row],[Fault Time]])*24</f>
        <v>0</v>
      </c>
      <c r="AD1711" s="27">
        <f>IFERROR((TA[[#This Row],[Work Completion time on fault]]-TA[[#This Row],[Fault Time]])*24,"")</f>
        <v>0</v>
      </c>
      <c r="AE1711" t="s">
        <v>319</v>
      </c>
      <c r="AF1711" t="s">
        <v>247</v>
      </c>
      <c r="AG1711" s="2"/>
      <c r="AH1711" s="35">
        <f>1-COS(RADIANS(TA[[#This Row],[Avg. Target Angle during Fault Time (Radians)]]-TA[[#This Row],[Angle of affected equipment ]]))</f>
        <v>0.11705240714107301</v>
      </c>
      <c r="AI1711" s="27">
        <f>IFERROR(TA[[#This Row],[Breakdown Time]]*TA[[#This Row],[Plant Equivalent Weightage]],"")</f>
        <v>0</v>
      </c>
    </row>
    <row r="1712" spans="1:35">
      <c r="A1712" s="2">
        <f t="shared" si="218"/>
        <v>1709</v>
      </c>
      <c r="B1712" s="143">
        <f t="shared" si="216"/>
        <v>2026</v>
      </c>
      <c r="C1712" s="116">
        <f t="shared" si="217"/>
        <v>2025</v>
      </c>
      <c r="D1712" s="2" t="s">
        <v>155</v>
      </c>
      <c r="E1712" s="2" t="s">
        <v>155</v>
      </c>
      <c r="F1712" s="30">
        <v>45839</v>
      </c>
      <c r="G1712" s="2">
        <f>DAY(EOMONTH(TA[[#This Row],[Month Year]],0))</f>
        <v>31</v>
      </c>
      <c r="H1712" s="21">
        <v>45868</v>
      </c>
      <c r="I1712" s="32">
        <f>IFERROR(VLOOKUP(TA[[#This Row],[Date]],Raw_Data[[Date]:[Sunset Time (POA&lt;20 W/m2)]],3,0),"")</f>
        <v>0.25694444444444442</v>
      </c>
      <c r="J1712" s="32">
        <f>IFERROR(VLOOKUP(TA[[#This Row],[Date]],Raw_Data[[Date]:[Sunset Time (POA&lt;20 W/m2)]],4,0),"")</f>
        <v>0.76875000000000004</v>
      </c>
      <c r="K1712" s="27">
        <f>IFERROR((TA[[#This Row],[Sunset Time (POA&lt;20 W/m2)]]-TA[[#This Row],[Sunrise Time (POA&gt;20 W/m2)]])*24,"")</f>
        <v>12.283333333333335</v>
      </c>
      <c r="L1712" s="2" t="s">
        <v>285</v>
      </c>
      <c r="M1712" s="33">
        <f>IFERROR(VLOOKUP(TA[[#This Row],[Affected Equipment]],'Basic Data'!$I$2:$K$40,3,0),"")</f>
        <v>1.7241379310344799E-3</v>
      </c>
      <c r="N1712">
        <v>-28</v>
      </c>
      <c r="O1712" t="s">
        <v>133</v>
      </c>
      <c r="P1712" s="114" t="s">
        <v>307</v>
      </c>
      <c r="Q1712" s="113" t="s">
        <v>307</v>
      </c>
      <c r="R1712">
        <v>117</v>
      </c>
      <c r="S1712" s="2">
        <v>20</v>
      </c>
      <c r="T1712" t="s">
        <v>286</v>
      </c>
      <c r="U1712" t="s">
        <v>291</v>
      </c>
      <c r="V1712" t="s">
        <v>289</v>
      </c>
      <c r="W1712" s="32"/>
      <c r="X1712" s="32"/>
      <c r="Y1712" s="26"/>
      <c r="Z1712" s="26"/>
      <c r="AA1712" s="27">
        <f>IF(TA[[#This Row],[Work Start time on Fault]]="NA","",(TA[[#This Row],[Fault Acknowledgement Time ]]-TA[[#This Row],[Fault Time]])*24)</f>
        <v>0</v>
      </c>
      <c r="AB1712" s="27">
        <f>(TA[[#This Row],[Work Start time on Fault]]-TA[[#This Row],[Fault Time]])*24</f>
        <v>0</v>
      </c>
      <c r="AC1712" s="26">
        <f>(TA[[#This Row],[Work Completion time on fault]]-TA[[#This Row],[Fault Time]])*24</f>
        <v>0</v>
      </c>
      <c r="AD1712" s="27">
        <f>IFERROR((TA[[#This Row],[Work Completion time on fault]]-TA[[#This Row],[Fault Time]])*24,"")</f>
        <v>0</v>
      </c>
      <c r="AE1712" t="s">
        <v>319</v>
      </c>
      <c r="AF1712" t="s">
        <v>247</v>
      </c>
      <c r="AG1712" s="2"/>
      <c r="AH1712" s="35">
        <f>1-COS(RADIANS(TA[[#This Row],[Avg. Target Angle during Fault Time (Radians)]]-TA[[#This Row],[Angle of affected equipment ]]))</f>
        <v>0.11705240714107301</v>
      </c>
      <c r="AI1712" s="27">
        <f>IFERROR(TA[[#This Row],[Breakdown Time]]*TA[[#This Row],[Plant Equivalent Weightage]],"")</f>
        <v>0</v>
      </c>
    </row>
    <row r="1713" spans="1:35">
      <c r="A1713" s="2">
        <f t="shared" si="218"/>
        <v>1710</v>
      </c>
      <c r="B1713" s="143">
        <f t="shared" si="216"/>
        <v>2026</v>
      </c>
      <c r="C1713" s="116">
        <f t="shared" si="217"/>
        <v>2025</v>
      </c>
      <c r="D1713" s="2" t="s">
        <v>155</v>
      </c>
      <c r="E1713" s="2" t="s">
        <v>155</v>
      </c>
      <c r="F1713" s="30">
        <v>45839</v>
      </c>
      <c r="G1713" s="2">
        <f>DAY(EOMONTH(TA[[#This Row],[Month Year]],0))</f>
        <v>31</v>
      </c>
      <c r="H1713" s="21">
        <v>45868</v>
      </c>
      <c r="I1713" s="32">
        <f>IFERROR(VLOOKUP(TA[[#This Row],[Date]],Raw_Data[[Date]:[Sunset Time (POA&lt;20 W/m2)]],3,0),"")</f>
        <v>0.25694444444444442</v>
      </c>
      <c r="J1713" s="32">
        <f>IFERROR(VLOOKUP(TA[[#This Row],[Date]],Raw_Data[[Date]:[Sunset Time (POA&lt;20 W/m2)]],4,0),"")</f>
        <v>0.76875000000000004</v>
      </c>
      <c r="K1713" s="27">
        <f>IFERROR((TA[[#This Row],[Sunset Time (POA&lt;20 W/m2)]]-TA[[#This Row],[Sunrise Time (POA&gt;20 W/m2)]])*24,"")</f>
        <v>12.283333333333335</v>
      </c>
      <c r="L1713" s="2" t="s">
        <v>285</v>
      </c>
      <c r="M1713" s="33">
        <f>IFERROR(VLOOKUP(TA[[#This Row],[Affected Equipment]],'Basic Data'!$I$2:$K$40,3,0),"")</f>
        <v>1.7241379310344799E-3</v>
      </c>
      <c r="N1713">
        <v>-28</v>
      </c>
      <c r="O1713" t="s">
        <v>133</v>
      </c>
      <c r="P1713" s="114" t="s">
        <v>307</v>
      </c>
      <c r="Q1713" s="113" t="s">
        <v>307</v>
      </c>
      <c r="R1713">
        <v>118</v>
      </c>
      <c r="S1713" s="2">
        <v>22</v>
      </c>
      <c r="T1713" t="s">
        <v>286</v>
      </c>
      <c r="U1713" t="s">
        <v>291</v>
      </c>
      <c r="V1713" t="s">
        <v>289</v>
      </c>
      <c r="W1713" s="32"/>
      <c r="X1713" s="32"/>
      <c r="Y1713" s="26"/>
      <c r="Z1713" s="26"/>
      <c r="AA1713" s="27">
        <f>IF(TA[[#This Row],[Work Start time on Fault]]="NA","",(TA[[#This Row],[Fault Acknowledgement Time ]]-TA[[#This Row],[Fault Time]])*24)</f>
        <v>0</v>
      </c>
      <c r="AB1713" s="27">
        <f>(TA[[#This Row],[Work Start time on Fault]]-TA[[#This Row],[Fault Time]])*24</f>
        <v>0</v>
      </c>
      <c r="AC1713" s="26">
        <f>(TA[[#This Row],[Work Completion time on fault]]-TA[[#This Row],[Fault Time]])*24</f>
        <v>0</v>
      </c>
      <c r="AD1713" s="27">
        <f>IFERROR((TA[[#This Row],[Work Completion time on fault]]-TA[[#This Row],[Fault Time]])*24,"")</f>
        <v>0</v>
      </c>
      <c r="AE1713" t="s">
        <v>319</v>
      </c>
      <c r="AF1713" t="s">
        <v>247</v>
      </c>
      <c r="AG1713" s="2"/>
      <c r="AH1713" s="35">
        <f>1-COS(RADIANS(TA[[#This Row],[Avg. Target Angle during Fault Time (Radians)]]-TA[[#This Row],[Angle of affected equipment ]]))</f>
        <v>0.11705240714107301</v>
      </c>
      <c r="AI1713" s="27">
        <f>IFERROR(TA[[#This Row],[Breakdown Time]]*TA[[#This Row],[Plant Equivalent Weightage]],"")</f>
        <v>0</v>
      </c>
    </row>
    <row r="1714" spans="1:35">
      <c r="A1714" s="2">
        <f t="shared" si="218"/>
        <v>1711</v>
      </c>
      <c r="B1714" s="143">
        <f t="shared" si="216"/>
        <v>2026</v>
      </c>
      <c r="C1714" s="116">
        <f t="shared" si="217"/>
        <v>2025</v>
      </c>
      <c r="D1714" s="2" t="s">
        <v>155</v>
      </c>
      <c r="E1714" s="2" t="s">
        <v>155</v>
      </c>
      <c r="F1714" s="30">
        <v>45839</v>
      </c>
      <c r="G1714" s="2">
        <f>DAY(EOMONTH(TA[[#This Row],[Month Year]],0))</f>
        <v>31</v>
      </c>
      <c r="H1714" s="21">
        <v>45868</v>
      </c>
      <c r="I1714" s="32">
        <f>IFERROR(VLOOKUP(TA[[#This Row],[Date]],Raw_Data[[Date]:[Sunset Time (POA&lt;20 W/m2)]],3,0),"")</f>
        <v>0.25694444444444442</v>
      </c>
      <c r="J1714" s="32">
        <f>IFERROR(VLOOKUP(TA[[#This Row],[Date]],Raw_Data[[Date]:[Sunset Time (POA&lt;20 W/m2)]],4,0),"")</f>
        <v>0.76875000000000004</v>
      </c>
      <c r="K1714" s="27">
        <f>IFERROR((TA[[#This Row],[Sunset Time (POA&lt;20 W/m2)]]-TA[[#This Row],[Sunrise Time (POA&gt;20 W/m2)]])*24,"")</f>
        <v>12.283333333333335</v>
      </c>
      <c r="L1714" s="2" t="s">
        <v>287</v>
      </c>
      <c r="M1714" s="33">
        <f>IFERROR(VLOOKUP(TA[[#This Row],[Affected Equipment]],'Basic Data'!$I$2:$K$40,3,0),"")</f>
        <v>8.6206896551724102E-3</v>
      </c>
      <c r="N1714">
        <v>-28</v>
      </c>
      <c r="O1714" t="s">
        <v>135</v>
      </c>
      <c r="P1714" s="22" t="s">
        <v>314</v>
      </c>
      <c r="Q1714" s="2" t="s">
        <v>320</v>
      </c>
      <c r="R1714">
        <v>45</v>
      </c>
      <c r="S1714" s="2">
        <v>8</v>
      </c>
      <c r="T1714" t="s">
        <v>288</v>
      </c>
      <c r="U1714" t="s">
        <v>291</v>
      </c>
      <c r="V1714" t="s">
        <v>292</v>
      </c>
      <c r="W1714" s="32"/>
      <c r="X1714" s="32"/>
      <c r="Y1714" s="26"/>
      <c r="Z1714" s="26"/>
      <c r="AA1714" s="27">
        <f>IF(TA[[#This Row],[Work Start time on Fault]]="NA","",(TA[[#This Row],[Fault Acknowledgement Time ]]-TA[[#This Row],[Fault Time]])*24)</f>
        <v>0</v>
      </c>
      <c r="AB1714" s="27">
        <f>(TA[[#This Row],[Work Start time on Fault]]-TA[[#This Row],[Fault Time]])*24</f>
        <v>0</v>
      </c>
      <c r="AC1714" s="26">
        <f>(TA[[#This Row],[Work Completion time on fault]]-TA[[#This Row],[Fault Time]])*24</f>
        <v>0</v>
      </c>
      <c r="AD1714" s="27">
        <f>IFERROR((TA[[#This Row],[Work Completion time on fault]]-TA[[#This Row],[Fault Time]])*24,"")</f>
        <v>0</v>
      </c>
      <c r="AE1714" t="s">
        <v>319</v>
      </c>
      <c r="AF1714" t="s">
        <v>247</v>
      </c>
      <c r="AG1714" s="2"/>
      <c r="AH1714" s="35">
        <f>1-COS(RADIANS(TA[[#This Row],[Avg. Target Angle during Fault Time (Radians)]]-TA[[#This Row],[Angle of affected equipment ]]))</f>
        <v>0.11705240714107301</v>
      </c>
      <c r="AI1714" s="27">
        <f>IFERROR(TA[[#This Row],[Breakdown Time]]*TA[[#This Row],[Plant Equivalent Weightage]],"")</f>
        <v>0</v>
      </c>
    </row>
    <row r="1715" spans="1:35">
      <c r="A1715" s="2">
        <f t="shared" si="218"/>
        <v>1712</v>
      </c>
      <c r="B1715" s="143">
        <f t="shared" si="216"/>
        <v>2026</v>
      </c>
      <c r="C1715" s="116">
        <f t="shared" si="217"/>
        <v>2025</v>
      </c>
      <c r="D1715" s="2" t="s">
        <v>155</v>
      </c>
      <c r="E1715" s="2" t="s">
        <v>155</v>
      </c>
      <c r="F1715" s="30">
        <v>45839</v>
      </c>
      <c r="G1715" s="2">
        <f>DAY(EOMONTH(TA[[#This Row],[Month Year]],0))</f>
        <v>31</v>
      </c>
      <c r="H1715" s="21">
        <v>45868</v>
      </c>
      <c r="I1715" s="32">
        <f>IFERROR(VLOOKUP(TA[[#This Row],[Date]],Raw_Data[[Date]:[Sunset Time (POA&lt;20 W/m2)]],3,0),"")</f>
        <v>0.25694444444444442</v>
      </c>
      <c r="J1715" s="32">
        <f>IFERROR(VLOOKUP(TA[[#This Row],[Date]],Raw_Data[[Date]:[Sunset Time (POA&lt;20 W/m2)]],4,0),"")</f>
        <v>0.76875000000000004</v>
      </c>
      <c r="K1715" s="27">
        <f>IFERROR((TA[[#This Row],[Sunset Time (POA&lt;20 W/m2)]]-TA[[#This Row],[Sunrise Time (POA&gt;20 W/m2)]])*24,"")</f>
        <v>12.283333333333335</v>
      </c>
      <c r="L1715" s="2" t="s">
        <v>287</v>
      </c>
      <c r="M1715" s="33">
        <f>IFERROR(VLOOKUP(TA[[#This Row],[Affected Equipment]],'Basic Data'!$I$2:$K$40,3,0),"")</f>
        <v>8.6206896551724102E-3</v>
      </c>
      <c r="N1715">
        <v>-28</v>
      </c>
      <c r="O1715" t="s">
        <v>135</v>
      </c>
      <c r="P1715" s="22" t="s">
        <v>314</v>
      </c>
      <c r="Q1715" s="2" t="s">
        <v>320</v>
      </c>
      <c r="R1715">
        <v>47</v>
      </c>
      <c r="S1715" s="2">
        <v>18</v>
      </c>
      <c r="T1715" t="s">
        <v>288</v>
      </c>
      <c r="U1715" t="s">
        <v>291</v>
      </c>
      <c r="V1715" t="s">
        <v>292</v>
      </c>
      <c r="W1715" s="32"/>
      <c r="X1715" s="32"/>
      <c r="Y1715" s="26"/>
      <c r="Z1715" s="26"/>
      <c r="AA1715" s="27">
        <f>IF(TA[[#This Row],[Work Start time on Fault]]="NA","",(TA[[#This Row],[Fault Acknowledgement Time ]]-TA[[#This Row],[Fault Time]])*24)</f>
        <v>0</v>
      </c>
      <c r="AB1715" s="27">
        <f>(TA[[#This Row],[Work Start time on Fault]]-TA[[#This Row],[Fault Time]])*24</f>
        <v>0</v>
      </c>
      <c r="AC1715" s="26">
        <f>(TA[[#This Row],[Work Completion time on fault]]-TA[[#This Row],[Fault Time]])*24</f>
        <v>0</v>
      </c>
      <c r="AD1715" s="27">
        <f>IFERROR((TA[[#This Row],[Work Completion time on fault]]-TA[[#This Row],[Fault Time]])*24,"")</f>
        <v>0</v>
      </c>
      <c r="AE1715" t="s">
        <v>319</v>
      </c>
      <c r="AF1715" t="s">
        <v>247</v>
      </c>
      <c r="AG1715" s="2"/>
      <c r="AH1715" s="35">
        <f>1-COS(RADIANS(TA[[#This Row],[Avg. Target Angle during Fault Time (Radians)]]-TA[[#This Row],[Angle of affected equipment ]]))</f>
        <v>0.11705240714107301</v>
      </c>
      <c r="AI1715" s="27">
        <f>IFERROR(TA[[#This Row],[Breakdown Time]]*TA[[#This Row],[Plant Equivalent Weightage]],"")</f>
        <v>0</v>
      </c>
    </row>
    <row r="1716" spans="1:35">
      <c r="A1716" s="2">
        <f t="shared" si="218"/>
        <v>1713</v>
      </c>
      <c r="B1716" s="143">
        <f t="shared" si="216"/>
        <v>2026</v>
      </c>
      <c r="C1716" s="116">
        <f t="shared" si="217"/>
        <v>2025</v>
      </c>
      <c r="D1716" s="2" t="s">
        <v>155</v>
      </c>
      <c r="E1716" s="2" t="s">
        <v>155</v>
      </c>
      <c r="F1716" s="30">
        <v>45839</v>
      </c>
      <c r="G1716" s="2">
        <f>DAY(EOMONTH(TA[[#This Row],[Month Year]],0))</f>
        <v>31</v>
      </c>
      <c r="H1716" s="21">
        <v>45868</v>
      </c>
      <c r="I1716" s="32">
        <f>IFERROR(VLOOKUP(TA[[#This Row],[Date]],Raw_Data[[Date]:[Sunset Time (POA&lt;20 W/m2)]],3,0),"")</f>
        <v>0.25694444444444442</v>
      </c>
      <c r="J1716" s="32">
        <f>IFERROR(VLOOKUP(TA[[#This Row],[Date]],Raw_Data[[Date]:[Sunset Time (POA&lt;20 W/m2)]],4,0),"")</f>
        <v>0.76875000000000004</v>
      </c>
      <c r="K1716" s="27">
        <f>IFERROR((TA[[#This Row],[Sunset Time (POA&lt;20 W/m2)]]-TA[[#This Row],[Sunrise Time (POA&gt;20 W/m2)]])*24,"")</f>
        <v>12.283333333333335</v>
      </c>
      <c r="L1716" s="2" t="s">
        <v>287</v>
      </c>
      <c r="M1716" s="33">
        <f>IFERROR(VLOOKUP(TA[[#This Row],[Affected Equipment]],'Basic Data'!$I$2:$K$40,3,0),"")</f>
        <v>8.6206896551724102E-3</v>
      </c>
      <c r="N1716">
        <v>-28</v>
      </c>
      <c r="O1716" t="s">
        <v>134</v>
      </c>
      <c r="P1716" s="22" t="s">
        <v>321</v>
      </c>
      <c r="Q1716" s="2" t="s">
        <v>314</v>
      </c>
      <c r="R1716">
        <v>30</v>
      </c>
      <c r="S1716" s="2">
        <v>57</v>
      </c>
      <c r="T1716" t="s">
        <v>288</v>
      </c>
      <c r="U1716" t="s">
        <v>291</v>
      </c>
      <c r="V1716" t="s">
        <v>292</v>
      </c>
      <c r="W1716" s="32"/>
      <c r="X1716" s="32"/>
      <c r="Y1716" s="26"/>
      <c r="Z1716" s="26"/>
      <c r="AA1716" s="27">
        <f>IF(TA[[#This Row],[Work Start time on Fault]]="NA","",(TA[[#This Row],[Fault Acknowledgement Time ]]-TA[[#This Row],[Fault Time]])*24)</f>
        <v>0</v>
      </c>
      <c r="AB1716" s="27">
        <f>(TA[[#This Row],[Work Start time on Fault]]-TA[[#This Row],[Fault Time]])*24</f>
        <v>0</v>
      </c>
      <c r="AC1716" s="26">
        <f>(TA[[#This Row],[Work Completion time on fault]]-TA[[#This Row],[Fault Time]])*24</f>
        <v>0</v>
      </c>
      <c r="AD1716" s="27">
        <f>IFERROR((TA[[#This Row],[Work Completion time on fault]]-TA[[#This Row],[Fault Time]])*24,"")</f>
        <v>0</v>
      </c>
      <c r="AE1716" t="s">
        <v>319</v>
      </c>
      <c r="AF1716" t="s">
        <v>247</v>
      </c>
      <c r="AG1716" s="2"/>
      <c r="AH1716" s="35">
        <f>1-COS(RADIANS(TA[[#This Row],[Avg. Target Angle during Fault Time (Radians)]]-TA[[#This Row],[Angle of affected equipment ]]))</f>
        <v>0.11705240714107301</v>
      </c>
      <c r="AI1716" s="27">
        <f>IFERROR(TA[[#This Row],[Breakdown Time]]*TA[[#This Row],[Plant Equivalent Weightage]],"")</f>
        <v>0</v>
      </c>
    </row>
    <row r="1717" spans="1:35">
      <c r="A1717" s="2">
        <f t="shared" si="218"/>
        <v>1714</v>
      </c>
      <c r="B1717" s="143">
        <f t="shared" si="216"/>
        <v>2026</v>
      </c>
      <c r="C1717" s="116">
        <f t="shared" si="217"/>
        <v>2025</v>
      </c>
      <c r="D1717" s="2" t="s">
        <v>155</v>
      </c>
      <c r="E1717" s="2" t="s">
        <v>155</v>
      </c>
      <c r="F1717" s="30">
        <v>45839</v>
      </c>
      <c r="G1717" s="2">
        <f>DAY(EOMONTH(TA[[#This Row],[Month Year]],0))</f>
        <v>31</v>
      </c>
      <c r="H1717" s="21">
        <v>45868</v>
      </c>
      <c r="I1717" s="32">
        <f>IFERROR(VLOOKUP(TA[[#This Row],[Date]],Raw_Data[[Date]:[Sunset Time (POA&lt;20 W/m2)]],3,0),"")</f>
        <v>0.25694444444444442</v>
      </c>
      <c r="J1717" s="32">
        <f>IFERROR(VLOOKUP(TA[[#This Row],[Date]],Raw_Data[[Date]:[Sunset Time (POA&lt;20 W/m2)]],4,0),"")</f>
        <v>0.76875000000000004</v>
      </c>
      <c r="K1717" s="27">
        <f>IFERROR((TA[[#This Row],[Sunset Time (POA&lt;20 W/m2)]]-TA[[#This Row],[Sunrise Time (POA&gt;20 W/m2)]])*24,"")</f>
        <v>12.283333333333335</v>
      </c>
      <c r="L1717" s="2" t="s">
        <v>287</v>
      </c>
      <c r="M1717" s="33">
        <f>IFERROR(VLOOKUP(TA[[#This Row],[Affected Equipment]],'Basic Data'!$I$2:$K$40,3,0),"")</f>
        <v>8.6206896551724102E-3</v>
      </c>
      <c r="N1717">
        <v>-28</v>
      </c>
      <c r="O1717" t="s">
        <v>134</v>
      </c>
      <c r="P1717" s="22" t="s">
        <v>321</v>
      </c>
      <c r="Q1717" s="2" t="s">
        <v>314</v>
      </c>
      <c r="R1717">
        <v>31</v>
      </c>
      <c r="S1717" s="2">
        <v>61</v>
      </c>
      <c r="T1717" t="s">
        <v>288</v>
      </c>
      <c r="U1717" t="s">
        <v>291</v>
      </c>
      <c r="V1717" t="s">
        <v>292</v>
      </c>
      <c r="W1717" s="32"/>
      <c r="X1717" s="32"/>
      <c r="Y1717" s="26"/>
      <c r="Z1717" s="26"/>
      <c r="AA1717" s="27">
        <f>IF(TA[[#This Row],[Work Start time on Fault]]="NA","",(TA[[#This Row],[Fault Acknowledgement Time ]]-TA[[#This Row],[Fault Time]])*24)</f>
        <v>0</v>
      </c>
      <c r="AB1717" s="27">
        <f>(TA[[#This Row],[Work Start time on Fault]]-TA[[#This Row],[Fault Time]])*24</f>
        <v>0</v>
      </c>
      <c r="AC1717" s="26">
        <f>(TA[[#This Row],[Work Completion time on fault]]-TA[[#This Row],[Fault Time]])*24</f>
        <v>0</v>
      </c>
      <c r="AD1717" s="27">
        <f>IFERROR((TA[[#This Row],[Work Completion time on fault]]-TA[[#This Row],[Fault Time]])*24,"")</f>
        <v>0</v>
      </c>
      <c r="AE1717" t="s">
        <v>319</v>
      </c>
      <c r="AF1717" t="s">
        <v>247</v>
      </c>
      <c r="AG1717" s="2"/>
      <c r="AH1717" s="35">
        <f>1-COS(RADIANS(TA[[#This Row],[Avg. Target Angle during Fault Time (Radians)]]-TA[[#This Row],[Angle of affected equipment ]]))</f>
        <v>0.11705240714107301</v>
      </c>
      <c r="AI1717" s="27">
        <f>IFERROR(TA[[#This Row],[Breakdown Time]]*TA[[#This Row],[Plant Equivalent Weightage]],"")</f>
        <v>0</v>
      </c>
    </row>
    <row r="1718" spans="1:35">
      <c r="A1718" s="2">
        <f t="shared" si="218"/>
        <v>1715</v>
      </c>
      <c r="B1718" s="143">
        <f t="shared" si="216"/>
        <v>2026</v>
      </c>
      <c r="C1718" s="116">
        <f t="shared" si="217"/>
        <v>2025</v>
      </c>
      <c r="D1718" s="2" t="s">
        <v>155</v>
      </c>
      <c r="E1718" s="2" t="s">
        <v>155</v>
      </c>
      <c r="F1718" s="30">
        <v>45839</v>
      </c>
      <c r="G1718" s="2">
        <f>DAY(EOMONTH(TA[[#This Row],[Month Year]],0))</f>
        <v>31</v>
      </c>
      <c r="H1718" s="21">
        <v>45868</v>
      </c>
      <c r="I1718" s="32">
        <f>IFERROR(VLOOKUP(TA[[#This Row],[Date]],Raw_Data[[Date]:[Sunset Time (POA&lt;20 W/m2)]],3,0),"")</f>
        <v>0.25694444444444442</v>
      </c>
      <c r="J1718" s="32">
        <f>IFERROR(VLOOKUP(TA[[#This Row],[Date]],Raw_Data[[Date]:[Sunset Time (POA&lt;20 W/m2)]],4,0),"")</f>
        <v>0.76875000000000004</v>
      </c>
      <c r="K1718" s="27">
        <f>IFERROR((TA[[#This Row],[Sunset Time (POA&lt;20 W/m2)]]-TA[[#This Row],[Sunrise Time (POA&gt;20 W/m2)]])*24,"")</f>
        <v>12.283333333333335</v>
      </c>
      <c r="L1718" s="2" t="s">
        <v>303</v>
      </c>
      <c r="M1718" s="33">
        <f>IFERROR(VLOOKUP(TA[[#This Row],[Affected Equipment]],'Basic Data'!$I$2:$K$40,3,0),"")</f>
        <v>5.74712643678161E-3</v>
      </c>
      <c r="N1718">
        <v>-28</v>
      </c>
      <c r="O1718" t="s">
        <v>133</v>
      </c>
      <c r="P1718" s="22" t="s">
        <v>321</v>
      </c>
      <c r="Q1718" s="2" t="s">
        <v>314</v>
      </c>
      <c r="R1718">
        <v>26</v>
      </c>
      <c r="S1718" s="2">
        <v>37</v>
      </c>
      <c r="T1718" t="s">
        <v>288</v>
      </c>
      <c r="U1718" t="s">
        <v>291</v>
      </c>
      <c r="V1718" t="s">
        <v>292</v>
      </c>
      <c r="W1718" s="32"/>
      <c r="X1718" s="32"/>
      <c r="Y1718" s="26"/>
      <c r="Z1718" s="26"/>
      <c r="AA1718" s="27">
        <f>IF(TA[[#This Row],[Work Start time on Fault]]="NA","",(TA[[#This Row],[Fault Acknowledgement Time ]]-TA[[#This Row],[Fault Time]])*24)</f>
        <v>0</v>
      </c>
      <c r="AB1718" s="27">
        <f>(TA[[#This Row],[Work Start time on Fault]]-TA[[#This Row],[Fault Time]])*24</f>
        <v>0</v>
      </c>
      <c r="AC1718" s="26">
        <f>(TA[[#This Row],[Work Completion time on fault]]-TA[[#This Row],[Fault Time]])*24</f>
        <v>0</v>
      </c>
      <c r="AD1718" s="27">
        <f>IFERROR((TA[[#This Row],[Work Completion time on fault]]-TA[[#This Row],[Fault Time]])*24,"")</f>
        <v>0</v>
      </c>
      <c r="AE1718" t="s">
        <v>319</v>
      </c>
      <c r="AF1718" t="s">
        <v>247</v>
      </c>
      <c r="AG1718" s="2"/>
      <c r="AH1718" s="35">
        <f>1-COS(RADIANS(TA[[#This Row],[Avg. Target Angle during Fault Time (Radians)]]-TA[[#This Row],[Angle of affected equipment ]]))</f>
        <v>0.11705240714107301</v>
      </c>
      <c r="AI1718" s="27">
        <f>IFERROR(TA[[#This Row],[Breakdown Time]]*TA[[#This Row],[Plant Equivalent Weightage]],"")</f>
        <v>0</v>
      </c>
    </row>
    <row r="1719" spans="1:35">
      <c r="A1719" s="2">
        <f t="shared" si="218"/>
        <v>1716</v>
      </c>
      <c r="B1719" s="143">
        <f t="shared" si="216"/>
        <v>2026</v>
      </c>
      <c r="C1719" s="116">
        <f t="shared" si="217"/>
        <v>2025</v>
      </c>
      <c r="D1719" s="2" t="s">
        <v>155</v>
      </c>
      <c r="E1719" s="2" t="s">
        <v>155</v>
      </c>
      <c r="F1719" s="30">
        <v>45839</v>
      </c>
      <c r="G1719" s="2">
        <f>DAY(EOMONTH(TA[[#This Row],[Month Year]],0))</f>
        <v>31</v>
      </c>
      <c r="H1719" s="21">
        <v>45868</v>
      </c>
      <c r="I1719" s="32">
        <f>IFERROR(VLOOKUP(TA[[#This Row],[Date]],Raw_Data[[Date]:[Sunset Time (POA&lt;20 W/m2)]],3,0),"")</f>
        <v>0.25694444444444442</v>
      </c>
      <c r="J1719" s="32">
        <f>IFERROR(VLOOKUP(TA[[#This Row],[Date]],Raw_Data[[Date]:[Sunset Time (POA&lt;20 W/m2)]],4,0),"")</f>
        <v>0.76875000000000004</v>
      </c>
      <c r="K1719" s="27">
        <f>IFERROR((TA[[#This Row],[Sunset Time (POA&lt;20 W/m2)]]-TA[[#This Row],[Sunrise Time (POA&gt;20 W/m2)]])*24,"")</f>
        <v>12.283333333333335</v>
      </c>
      <c r="L1719" s="2" t="s">
        <v>303</v>
      </c>
      <c r="M1719" s="33">
        <f>IFERROR(VLOOKUP(TA[[#This Row],[Affected Equipment]],'Basic Data'!$I$2:$K$40,3,0),"")</f>
        <v>5.74712643678161E-3</v>
      </c>
      <c r="N1719">
        <v>-28</v>
      </c>
      <c r="O1719" t="s">
        <v>133</v>
      </c>
      <c r="P1719" s="22" t="s">
        <v>321</v>
      </c>
      <c r="Q1719" s="2" t="s">
        <v>314</v>
      </c>
      <c r="R1719">
        <v>27</v>
      </c>
      <c r="S1719" s="2">
        <v>42</v>
      </c>
      <c r="T1719" t="s">
        <v>288</v>
      </c>
      <c r="U1719" t="s">
        <v>291</v>
      </c>
      <c r="V1719" t="s">
        <v>292</v>
      </c>
      <c r="W1719" s="32">
        <f>IFERROR(VLOOKUP(TA[[#This Row],[Date]],Raw_Data[[Date]:[Sunset Time (POA&lt;20 W/m2)]],3,0),"")</f>
        <v>0.25694444444444442</v>
      </c>
      <c r="X1719" s="32">
        <f>IFERROR(VLOOKUP(TA[[#This Row],[Date]],Raw_Data[[Date]:[Sunset Time (POA&lt;20 W/m2)]],3,0),"")</f>
        <v>0.25694444444444442</v>
      </c>
      <c r="Y1719" s="26"/>
      <c r="Z1719" s="26">
        <v>0.76041666666666663</v>
      </c>
      <c r="AA1719" s="27">
        <f>IF(TA[[#This Row],[Work Start time on Fault]]="NA","",(TA[[#This Row],[Fault Acknowledgement Time ]]-TA[[#This Row],[Fault Time]])*24)</f>
        <v>0</v>
      </c>
      <c r="AB1719" s="27">
        <f>(TA[[#This Row],[Work Start time on Fault]]-TA[[#This Row],[Fault Time]])*24</f>
        <v>-6.1666666666666661</v>
      </c>
      <c r="AC1719" s="26">
        <f>(TA[[#This Row],[Work Completion time on fault]]-TA[[#This Row],[Fault Time]])*24</f>
        <v>12.083333333333332</v>
      </c>
      <c r="AD1719" s="27">
        <f>IFERROR((TA[[#This Row],[Work Completion time on fault]]-TA[[#This Row],[Fault Time]])*24,"")</f>
        <v>12.083333333333332</v>
      </c>
      <c r="AE1719" t="s">
        <v>300</v>
      </c>
      <c r="AF1719" t="s">
        <v>247</v>
      </c>
      <c r="AG1719" s="2"/>
      <c r="AH1719" s="35">
        <f>1-COS(RADIANS(TA[[#This Row],[Avg. Target Angle during Fault Time (Radians)]]-TA[[#This Row],[Angle of affected equipment ]]))</f>
        <v>0.11705240714107301</v>
      </c>
      <c r="AI1719" s="27">
        <f>IFERROR(TA[[#This Row],[Breakdown Time]]*TA[[#This Row],[Plant Equivalent Weightage]],"")</f>
        <v>6.9444444444444448E-2</v>
      </c>
    </row>
    <row r="1720" spans="1:35">
      <c r="A1720" s="2">
        <f t="shared" si="218"/>
        <v>1717</v>
      </c>
      <c r="B1720" s="143">
        <f t="shared" ref="B1720:B1732" si="219">YEAR(H1720)+IF(MONTH(H1720)&gt;=4,1,0)</f>
        <v>2026</v>
      </c>
      <c r="C1720" s="116">
        <f t="shared" ref="C1720:C1732" si="220">YEAR(H1720)</f>
        <v>2025</v>
      </c>
      <c r="D1720" s="2" t="s">
        <v>155</v>
      </c>
      <c r="E1720" s="2" t="s">
        <v>155</v>
      </c>
      <c r="F1720" s="30">
        <v>45839</v>
      </c>
      <c r="G1720" s="2">
        <f>DAY(EOMONTH(TA[[#This Row],[Month Year]],0))</f>
        <v>31</v>
      </c>
      <c r="H1720" s="21">
        <v>45869</v>
      </c>
      <c r="I1720" s="32">
        <f>IFERROR(VLOOKUP(TA[[#This Row],[Date]],Raw_Data[[Date]:[Sunset Time (POA&lt;20 W/m2)]],3,0),"")</f>
        <v>0.26250000000000001</v>
      </c>
      <c r="J1720" s="32">
        <f>IFERROR(VLOOKUP(TA[[#This Row],[Date]],Raw_Data[[Date]:[Sunset Time (POA&lt;20 W/m2)]],4,0),"")</f>
        <v>0.78055555555555556</v>
      </c>
      <c r="K1720" s="27">
        <f>IFERROR((TA[[#This Row],[Sunset Time (POA&lt;20 W/m2)]]-TA[[#This Row],[Sunrise Time (POA&gt;20 W/m2)]])*24,"")</f>
        <v>12.433333333333332</v>
      </c>
      <c r="L1720" s="2" t="s">
        <v>285</v>
      </c>
      <c r="M1720" s="33">
        <f>IFERROR(VLOOKUP(TA[[#This Row],[Affected Equipment]],'Basic Data'!$I$2:$K$40,3,0),"")</f>
        <v>1.7241379310344799E-3</v>
      </c>
      <c r="N1720">
        <v>-28</v>
      </c>
      <c r="O1720" t="s">
        <v>135</v>
      </c>
      <c r="P1720" s="114" t="s">
        <v>309</v>
      </c>
      <c r="Q1720" s="113" t="s">
        <v>309</v>
      </c>
      <c r="R1720">
        <v>131</v>
      </c>
      <c r="S1720" s="2">
        <v>38</v>
      </c>
      <c r="T1720" t="s">
        <v>286</v>
      </c>
      <c r="U1720" t="s">
        <v>291</v>
      </c>
      <c r="V1720" t="s">
        <v>289</v>
      </c>
      <c r="W1720" s="32">
        <f>IFERROR(VLOOKUP(TA[[#This Row],[Date]],Raw_Data[[Date]:[Sunset Time (POA&lt;20 W/m2)]],3,0),"")</f>
        <v>0.26250000000000001</v>
      </c>
      <c r="X1720" s="32">
        <f>IFERROR(VLOOKUP(TA[[#This Row],[Date]],Raw_Data[[Date]:[Sunset Time (POA&lt;20 W/m2)]],3,0),"")</f>
        <v>0.26250000000000001</v>
      </c>
      <c r="Y1720" s="26"/>
      <c r="Z1720" s="26"/>
      <c r="AA1720" s="27">
        <f>IF(TA[[#This Row],[Work Start time on Fault]]="NA","",(TA[[#This Row],[Fault Acknowledgement Time ]]-TA[[#This Row],[Fault Time]])*24)</f>
        <v>0</v>
      </c>
      <c r="AB1720" s="27">
        <f>(TA[[#This Row],[Work Start time on Fault]]-TA[[#This Row],[Fault Time]])*24</f>
        <v>-6.3000000000000007</v>
      </c>
      <c r="AC1720" s="26">
        <f>(TA[[#This Row],[Work Completion time on fault]]-TA[[#This Row],[Fault Time]])*24</f>
        <v>-6.3000000000000007</v>
      </c>
      <c r="AD1720" s="27">
        <f>IFERROR((TA[[#This Row],[Work Completion time on fault]]-TA[[#This Row],[Fault Time]])*24,"")</f>
        <v>-6.3000000000000007</v>
      </c>
      <c r="AE1720" t="s">
        <v>319</v>
      </c>
      <c r="AF1720" t="s">
        <v>247</v>
      </c>
      <c r="AG1720" s="2"/>
      <c r="AH1720" s="35">
        <f>1-COS(RADIANS(TA[[#This Row],[Avg. Target Angle during Fault Time (Radians)]]-TA[[#This Row],[Angle of affected equipment ]]))</f>
        <v>0.11705240714107301</v>
      </c>
      <c r="AI1720" s="27">
        <f>IFERROR(TA[[#This Row],[Breakdown Time]]*TA[[#This Row],[Plant Equivalent Weightage]],"")</f>
        <v>-1.0862068965517224E-2</v>
      </c>
    </row>
    <row r="1721" spans="1:35">
      <c r="A1721" s="2">
        <f t="shared" si="218"/>
        <v>1718</v>
      </c>
      <c r="B1721" s="143">
        <f t="shared" si="219"/>
        <v>2026</v>
      </c>
      <c r="C1721" s="116">
        <f t="shared" si="220"/>
        <v>2025</v>
      </c>
      <c r="D1721" s="2" t="s">
        <v>155</v>
      </c>
      <c r="E1721" s="2" t="s">
        <v>155</v>
      </c>
      <c r="F1721" s="30">
        <v>45839</v>
      </c>
      <c r="G1721" s="2">
        <f>DAY(EOMONTH(TA[[#This Row],[Month Year]],0))</f>
        <v>31</v>
      </c>
      <c r="H1721" s="21">
        <v>45869</v>
      </c>
      <c r="I1721" s="32">
        <f>IFERROR(VLOOKUP(TA[[#This Row],[Date]],Raw_Data[[Date]:[Sunset Time (POA&lt;20 W/m2)]],3,0),"")</f>
        <v>0.26250000000000001</v>
      </c>
      <c r="J1721" s="32">
        <f>IFERROR(VLOOKUP(TA[[#This Row],[Date]],Raw_Data[[Date]:[Sunset Time (POA&lt;20 W/m2)]],4,0),"")</f>
        <v>0.78055555555555556</v>
      </c>
      <c r="K1721" s="27">
        <f>IFERROR((TA[[#This Row],[Sunset Time (POA&lt;20 W/m2)]]-TA[[#This Row],[Sunrise Time (POA&gt;20 W/m2)]])*24,"")</f>
        <v>12.433333333333332</v>
      </c>
      <c r="L1721" s="2" t="s">
        <v>285</v>
      </c>
      <c r="M1721" s="33">
        <f>IFERROR(VLOOKUP(TA[[#This Row],[Affected Equipment]],'Basic Data'!$I$2:$K$40,3,0),"")</f>
        <v>1.7241379310344799E-3</v>
      </c>
      <c r="N1721">
        <v>-28</v>
      </c>
      <c r="O1721" t="s">
        <v>135</v>
      </c>
      <c r="P1721" s="114" t="s">
        <v>309</v>
      </c>
      <c r="Q1721" s="113" t="s">
        <v>309</v>
      </c>
      <c r="R1721">
        <v>131</v>
      </c>
      <c r="S1721" s="2">
        <v>39</v>
      </c>
      <c r="T1721" t="s">
        <v>286</v>
      </c>
      <c r="U1721" t="s">
        <v>291</v>
      </c>
      <c r="V1721" t="s">
        <v>289</v>
      </c>
      <c r="W1721" s="32">
        <f>IFERROR(VLOOKUP(TA[[#This Row],[Date]],Raw_Data[[Date]:[Sunset Time (POA&lt;20 W/m2)]],3,0),"")</f>
        <v>0.26250000000000001</v>
      </c>
      <c r="X1721" s="32">
        <f>IFERROR(VLOOKUP(TA[[#This Row],[Date]],Raw_Data[[Date]:[Sunset Time (POA&lt;20 W/m2)]],3,0),"")</f>
        <v>0.26250000000000001</v>
      </c>
      <c r="Y1721" s="26"/>
      <c r="Z1721" s="26"/>
      <c r="AA1721" s="27">
        <f>IF(TA[[#This Row],[Work Start time on Fault]]="NA","",(TA[[#This Row],[Fault Acknowledgement Time ]]-TA[[#This Row],[Fault Time]])*24)</f>
        <v>0</v>
      </c>
      <c r="AB1721" s="27">
        <f>(TA[[#This Row],[Work Start time on Fault]]-TA[[#This Row],[Fault Time]])*24</f>
        <v>-6.3000000000000007</v>
      </c>
      <c r="AC1721" s="26">
        <f>(TA[[#This Row],[Work Completion time on fault]]-TA[[#This Row],[Fault Time]])*24</f>
        <v>-6.3000000000000007</v>
      </c>
      <c r="AD1721" s="27">
        <f>IFERROR((TA[[#This Row],[Work Completion time on fault]]-TA[[#This Row],[Fault Time]])*24,"")</f>
        <v>-6.3000000000000007</v>
      </c>
      <c r="AE1721" t="s">
        <v>319</v>
      </c>
      <c r="AF1721" t="s">
        <v>247</v>
      </c>
      <c r="AG1721" s="2"/>
      <c r="AH1721" s="35">
        <f>1-COS(RADIANS(TA[[#This Row],[Avg. Target Angle during Fault Time (Radians)]]-TA[[#This Row],[Angle of affected equipment ]]))</f>
        <v>0.11705240714107301</v>
      </c>
      <c r="AI1721" s="27">
        <f>IFERROR(TA[[#This Row],[Breakdown Time]]*TA[[#This Row],[Plant Equivalent Weightage]],"")</f>
        <v>-1.0862068965517224E-2</v>
      </c>
    </row>
    <row r="1722" spans="1:35">
      <c r="A1722" s="2">
        <f t="shared" si="218"/>
        <v>1719</v>
      </c>
      <c r="B1722" s="143">
        <f t="shared" si="219"/>
        <v>2026</v>
      </c>
      <c r="C1722" s="116">
        <f t="shared" si="220"/>
        <v>2025</v>
      </c>
      <c r="D1722" s="2" t="s">
        <v>155</v>
      </c>
      <c r="E1722" s="2" t="s">
        <v>155</v>
      </c>
      <c r="F1722" s="30">
        <v>45839</v>
      </c>
      <c r="G1722" s="2">
        <f>DAY(EOMONTH(TA[[#This Row],[Month Year]],0))</f>
        <v>31</v>
      </c>
      <c r="H1722" s="21">
        <v>45869</v>
      </c>
      <c r="I1722" s="32">
        <f>IFERROR(VLOOKUP(TA[[#This Row],[Date]],Raw_Data[[Date]:[Sunset Time (POA&lt;20 W/m2)]],3,0),"")</f>
        <v>0.26250000000000001</v>
      </c>
      <c r="J1722" s="32">
        <f>IFERROR(VLOOKUP(TA[[#This Row],[Date]],Raw_Data[[Date]:[Sunset Time (POA&lt;20 W/m2)]],4,0),"")</f>
        <v>0.78055555555555556</v>
      </c>
      <c r="K1722" s="27">
        <f>IFERROR((TA[[#This Row],[Sunset Time (POA&lt;20 W/m2)]]-TA[[#This Row],[Sunrise Time (POA&gt;20 W/m2)]])*24,"")</f>
        <v>12.433333333333332</v>
      </c>
      <c r="L1722" s="2" t="s">
        <v>287</v>
      </c>
      <c r="M1722" s="33">
        <f>IFERROR(VLOOKUP(TA[[#This Row],[Affected Equipment]],'Basic Data'!$I$2:$K$40,3,0),"")</f>
        <v>8.6206896551724102E-3</v>
      </c>
      <c r="N1722">
        <v>-28</v>
      </c>
      <c r="O1722" t="s">
        <v>135</v>
      </c>
      <c r="P1722" s="114" t="s">
        <v>309</v>
      </c>
      <c r="Q1722" s="2" t="s">
        <v>312</v>
      </c>
      <c r="R1722">
        <v>133</v>
      </c>
      <c r="S1722" s="2">
        <v>26</v>
      </c>
      <c r="T1722" t="s">
        <v>288</v>
      </c>
      <c r="U1722" t="s">
        <v>291</v>
      </c>
      <c r="V1722" t="s">
        <v>305</v>
      </c>
      <c r="W1722" s="32">
        <f>IFERROR(VLOOKUP(TA[[#This Row],[Date]],Raw_Data[[Date]:[Sunset Time (POA&lt;20 W/m2)]],3,0),"")</f>
        <v>0.26250000000000001</v>
      </c>
      <c r="X1722" s="32">
        <f>IFERROR(VLOOKUP(TA[[#This Row],[Date]],Raw_Data[[Date]:[Sunset Time (POA&lt;20 W/m2)]],3,0),"")</f>
        <v>0.26250000000000001</v>
      </c>
      <c r="Y1722" s="26"/>
      <c r="Z1722" s="26">
        <v>0.76041666666666663</v>
      </c>
      <c r="AA1722" s="27">
        <f>IF(TA[[#This Row],[Work Start time on Fault]]="NA","",(TA[[#This Row],[Fault Acknowledgement Time ]]-TA[[#This Row],[Fault Time]])*24)</f>
        <v>0</v>
      </c>
      <c r="AB1722" s="27">
        <f>(TA[[#This Row],[Work Start time on Fault]]-TA[[#This Row],[Fault Time]])*24</f>
        <v>-6.3000000000000007</v>
      </c>
      <c r="AC1722" s="26">
        <f>(TA[[#This Row],[Work Completion time on fault]]-TA[[#This Row],[Fault Time]])*24</f>
        <v>11.95</v>
      </c>
      <c r="AD1722" s="27">
        <f>IFERROR((TA[[#This Row],[Work Completion time on fault]]-TA[[#This Row],[Fault Time]])*24,"")</f>
        <v>11.95</v>
      </c>
      <c r="AE1722" t="s">
        <v>319</v>
      </c>
      <c r="AF1722" t="s">
        <v>247</v>
      </c>
      <c r="AG1722" s="2"/>
      <c r="AH1722" s="35">
        <f>1-COS(RADIANS(TA[[#This Row],[Avg. Target Angle during Fault Time (Radians)]]-TA[[#This Row],[Angle of affected equipment ]]))</f>
        <v>0.11705240714107301</v>
      </c>
      <c r="AI1722" s="27">
        <f>IFERROR(TA[[#This Row],[Breakdown Time]]*TA[[#This Row],[Plant Equivalent Weightage]],"")</f>
        <v>0.1030172413793103</v>
      </c>
    </row>
    <row r="1723" spans="1:35">
      <c r="A1723" s="2">
        <f t="shared" si="218"/>
        <v>1720</v>
      </c>
      <c r="B1723" s="143">
        <f t="shared" si="219"/>
        <v>2026</v>
      </c>
      <c r="C1723" s="116">
        <f t="shared" si="220"/>
        <v>2025</v>
      </c>
      <c r="D1723" s="2" t="s">
        <v>155</v>
      </c>
      <c r="E1723" s="2" t="s">
        <v>155</v>
      </c>
      <c r="F1723" s="30">
        <v>45839</v>
      </c>
      <c r="G1723" s="2">
        <f>DAY(EOMONTH(TA[[#This Row],[Month Year]],0))</f>
        <v>31</v>
      </c>
      <c r="H1723" s="21">
        <v>45869</v>
      </c>
      <c r="I1723" s="32">
        <f>IFERROR(VLOOKUP(TA[[#This Row],[Date]],Raw_Data[[Date]:[Sunset Time (POA&lt;20 W/m2)]],3,0),"")</f>
        <v>0.26250000000000001</v>
      </c>
      <c r="J1723" s="32">
        <f>IFERROR(VLOOKUP(TA[[#This Row],[Date]],Raw_Data[[Date]:[Sunset Time (POA&lt;20 W/m2)]],4,0),"")</f>
        <v>0.78055555555555556</v>
      </c>
      <c r="K1723" s="27">
        <f>IFERROR((TA[[#This Row],[Sunset Time (POA&lt;20 W/m2)]]-TA[[#This Row],[Sunrise Time (POA&gt;20 W/m2)]])*24,"")</f>
        <v>12.433333333333332</v>
      </c>
      <c r="L1723" s="2" t="s">
        <v>285</v>
      </c>
      <c r="M1723" s="33">
        <f>IFERROR(VLOOKUP(TA[[#This Row],[Affected Equipment]],'Basic Data'!$I$2:$K$40,3,0),"")</f>
        <v>1.7241379310344799E-3</v>
      </c>
      <c r="N1723">
        <v>-28</v>
      </c>
      <c r="O1723" t="s">
        <v>133</v>
      </c>
      <c r="P1723" s="114" t="s">
        <v>307</v>
      </c>
      <c r="Q1723" s="113" t="s">
        <v>308</v>
      </c>
      <c r="R1723">
        <v>7</v>
      </c>
      <c r="S1723" s="2">
        <v>32</v>
      </c>
      <c r="T1723" t="s">
        <v>286</v>
      </c>
      <c r="U1723" t="s">
        <v>291</v>
      </c>
      <c r="V1723" t="s">
        <v>289</v>
      </c>
      <c r="W1723" s="32">
        <f>IFERROR(VLOOKUP(TA[[#This Row],[Date]],Raw_Data[[Date]:[Sunset Time (POA&lt;20 W/m2)]],3,0),"")</f>
        <v>0.26250000000000001</v>
      </c>
      <c r="X1723" s="32">
        <f>IFERROR(VLOOKUP(TA[[#This Row],[Date]],Raw_Data[[Date]:[Sunset Time (POA&lt;20 W/m2)]],3,0),"")</f>
        <v>0.26250000000000001</v>
      </c>
      <c r="Y1723" s="26"/>
      <c r="Z1723" s="26"/>
      <c r="AA1723" s="27">
        <f>IF(TA[[#This Row],[Work Start time on Fault]]="NA","",(TA[[#This Row],[Fault Acknowledgement Time ]]-TA[[#This Row],[Fault Time]])*24)</f>
        <v>0</v>
      </c>
      <c r="AB1723" s="27">
        <f>(TA[[#This Row],[Work Start time on Fault]]-TA[[#This Row],[Fault Time]])*24</f>
        <v>-6.3000000000000007</v>
      </c>
      <c r="AC1723" s="26">
        <f>(TA[[#This Row],[Work Completion time on fault]]-TA[[#This Row],[Fault Time]])*24</f>
        <v>-6.3000000000000007</v>
      </c>
      <c r="AD1723" s="27">
        <f>IFERROR((TA[[#This Row],[Work Completion time on fault]]-TA[[#This Row],[Fault Time]])*24,"")</f>
        <v>-6.3000000000000007</v>
      </c>
      <c r="AE1723" t="s">
        <v>319</v>
      </c>
      <c r="AF1723" t="s">
        <v>247</v>
      </c>
      <c r="AG1723" s="2"/>
      <c r="AH1723" s="35">
        <f>1-COS(RADIANS(TA[[#This Row],[Avg. Target Angle during Fault Time (Radians)]]-TA[[#This Row],[Angle of affected equipment ]]))</f>
        <v>0.11705240714107301</v>
      </c>
      <c r="AI1723" s="27">
        <f>IFERROR(TA[[#This Row],[Breakdown Time]]*TA[[#This Row],[Plant Equivalent Weightage]],"")</f>
        <v>-1.0862068965517224E-2</v>
      </c>
    </row>
    <row r="1724" spans="1:35">
      <c r="A1724" s="2">
        <f t="shared" si="218"/>
        <v>1721</v>
      </c>
      <c r="B1724" s="143">
        <f t="shared" si="219"/>
        <v>2026</v>
      </c>
      <c r="C1724" s="116">
        <f t="shared" si="220"/>
        <v>2025</v>
      </c>
      <c r="D1724" s="2" t="s">
        <v>155</v>
      </c>
      <c r="E1724" s="2" t="s">
        <v>155</v>
      </c>
      <c r="F1724" s="30">
        <v>45839</v>
      </c>
      <c r="G1724" s="2">
        <f>DAY(EOMONTH(TA[[#This Row],[Month Year]],0))</f>
        <v>31</v>
      </c>
      <c r="H1724" s="21">
        <v>45869</v>
      </c>
      <c r="I1724" s="32">
        <f>IFERROR(VLOOKUP(TA[[#This Row],[Date]],Raw_Data[[Date]:[Sunset Time (POA&lt;20 W/m2)]],3,0),"")</f>
        <v>0.26250000000000001</v>
      </c>
      <c r="J1724" s="32">
        <f>IFERROR(VLOOKUP(TA[[#This Row],[Date]],Raw_Data[[Date]:[Sunset Time (POA&lt;20 W/m2)]],4,0),"")</f>
        <v>0.78055555555555556</v>
      </c>
      <c r="K1724" s="27">
        <f>IFERROR((TA[[#This Row],[Sunset Time (POA&lt;20 W/m2)]]-TA[[#This Row],[Sunrise Time (POA&gt;20 W/m2)]])*24,"")</f>
        <v>12.433333333333332</v>
      </c>
      <c r="L1724" s="2" t="s">
        <v>285</v>
      </c>
      <c r="M1724" s="33">
        <f>IFERROR(VLOOKUP(TA[[#This Row],[Affected Equipment]],'Basic Data'!$I$2:$K$40,3,0),"")</f>
        <v>1.7241379310344799E-3</v>
      </c>
      <c r="N1724">
        <v>-28</v>
      </c>
      <c r="O1724" t="s">
        <v>137</v>
      </c>
      <c r="P1724" s="114" t="s">
        <v>306</v>
      </c>
      <c r="Q1724" s="113" t="s">
        <v>310</v>
      </c>
      <c r="R1724">
        <v>166</v>
      </c>
      <c r="S1724" s="2">
        <v>91</v>
      </c>
      <c r="T1724" t="s">
        <v>286</v>
      </c>
      <c r="U1724" t="s">
        <v>291</v>
      </c>
      <c r="V1724" t="s">
        <v>289</v>
      </c>
      <c r="W1724" s="32">
        <f>IFERROR(VLOOKUP(TA[[#This Row],[Date]],Raw_Data[[Date]:[Sunset Time (POA&lt;20 W/m2)]],3,0),"")</f>
        <v>0.26250000000000001</v>
      </c>
      <c r="X1724" s="32">
        <f>IFERROR(VLOOKUP(TA[[#This Row],[Date]],Raw_Data[[Date]:[Sunset Time (POA&lt;20 W/m2)]],3,0),"")</f>
        <v>0.26250000000000001</v>
      </c>
      <c r="Y1724" s="26"/>
      <c r="Z1724" s="26"/>
      <c r="AA1724" s="27">
        <f>IF(TA[[#This Row],[Work Start time on Fault]]="NA","",(TA[[#This Row],[Fault Acknowledgement Time ]]-TA[[#This Row],[Fault Time]])*24)</f>
        <v>0</v>
      </c>
      <c r="AB1724" s="27">
        <f>(TA[[#This Row],[Work Start time on Fault]]-TA[[#This Row],[Fault Time]])*24</f>
        <v>-6.3000000000000007</v>
      </c>
      <c r="AC1724" s="26">
        <f>(TA[[#This Row],[Work Completion time on fault]]-TA[[#This Row],[Fault Time]])*24</f>
        <v>-6.3000000000000007</v>
      </c>
      <c r="AD1724" s="27">
        <f>IFERROR((TA[[#This Row],[Work Completion time on fault]]-TA[[#This Row],[Fault Time]])*24,"")</f>
        <v>-6.3000000000000007</v>
      </c>
      <c r="AE1724" t="s">
        <v>319</v>
      </c>
      <c r="AF1724" t="s">
        <v>247</v>
      </c>
      <c r="AG1724" s="2"/>
      <c r="AH1724" s="35">
        <f>1-COS(RADIANS(TA[[#This Row],[Avg. Target Angle during Fault Time (Radians)]]-TA[[#This Row],[Angle of affected equipment ]]))</f>
        <v>0.11705240714107301</v>
      </c>
      <c r="AI1724" s="27">
        <f>IFERROR(TA[[#This Row],[Breakdown Time]]*TA[[#This Row],[Plant Equivalent Weightage]],"")</f>
        <v>-1.0862068965517224E-2</v>
      </c>
    </row>
    <row r="1725" spans="1:35">
      <c r="A1725" s="2">
        <f t="shared" si="218"/>
        <v>1722</v>
      </c>
      <c r="B1725" s="143">
        <f t="shared" si="219"/>
        <v>2026</v>
      </c>
      <c r="C1725" s="116">
        <f t="shared" si="220"/>
        <v>2025</v>
      </c>
      <c r="D1725" s="2" t="s">
        <v>155</v>
      </c>
      <c r="E1725" s="2" t="s">
        <v>155</v>
      </c>
      <c r="F1725" s="30">
        <v>45839</v>
      </c>
      <c r="G1725" s="2">
        <f>DAY(EOMONTH(TA[[#This Row],[Month Year]],0))</f>
        <v>31</v>
      </c>
      <c r="H1725" s="21">
        <v>45869</v>
      </c>
      <c r="I1725" s="32">
        <f>IFERROR(VLOOKUP(TA[[#This Row],[Date]],Raw_Data[[Date]:[Sunset Time (POA&lt;20 W/m2)]],3,0),"")</f>
        <v>0.26250000000000001</v>
      </c>
      <c r="J1725" s="32">
        <f>IFERROR(VLOOKUP(TA[[#This Row],[Date]],Raw_Data[[Date]:[Sunset Time (POA&lt;20 W/m2)]],4,0),"")</f>
        <v>0.78055555555555556</v>
      </c>
      <c r="K1725" s="27">
        <f>IFERROR((TA[[#This Row],[Sunset Time (POA&lt;20 W/m2)]]-TA[[#This Row],[Sunrise Time (POA&gt;20 W/m2)]])*24,"")</f>
        <v>12.433333333333332</v>
      </c>
      <c r="L1725" s="2" t="s">
        <v>285</v>
      </c>
      <c r="M1725" s="33">
        <f>IFERROR(VLOOKUP(TA[[#This Row],[Affected Equipment]],'Basic Data'!$I$2:$K$40,3,0),"")</f>
        <v>1.7241379310344799E-3</v>
      </c>
      <c r="N1725">
        <v>-28</v>
      </c>
      <c r="O1725" t="s">
        <v>133</v>
      </c>
      <c r="P1725" s="114" t="s">
        <v>307</v>
      </c>
      <c r="Q1725" s="113" t="s">
        <v>307</v>
      </c>
      <c r="R1725">
        <v>117</v>
      </c>
      <c r="S1725" s="2">
        <v>20</v>
      </c>
      <c r="T1725" t="s">
        <v>286</v>
      </c>
      <c r="U1725" t="s">
        <v>291</v>
      </c>
      <c r="V1725" t="s">
        <v>289</v>
      </c>
      <c r="W1725" s="32">
        <f>IFERROR(VLOOKUP(TA[[#This Row],[Date]],Raw_Data[[Date]:[Sunset Time (POA&lt;20 W/m2)]],3,0),"")</f>
        <v>0.26250000000000001</v>
      </c>
      <c r="X1725" s="32">
        <f>IFERROR(VLOOKUP(TA[[#This Row],[Date]],Raw_Data[[Date]:[Sunset Time (POA&lt;20 W/m2)]],3,0),"")</f>
        <v>0.26250000000000001</v>
      </c>
      <c r="Y1725" s="26"/>
      <c r="Z1725" s="26"/>
      <c r="AA1725" s="27">
        <f>IF(TA[[#This Row],[Work Start time on Fault]]="NA","",(TA[[#This Row],[Fault Acknowledgement Time ]]-TA[[#This Row],[Fault Time]])*24)</f>
        <v>0</v>
      </c>
      <c r="AB1725" s="27">
        <f>(TA[[#This Row],[Work Start time on Fault]]-TA[[#This Row],[Fault Time]])*24</f>
        <v>-6.3000000000000007</v>
      </c>
      <c r="AC1725" s="26">
        <f>(TA[[#This Row],[Work Completion time on fault]]-TA[[#This Row],[Fault Time]])*24</f>
        <v>-6.3000000000000007</v>
      </c>
      <c r="AD1725" s="27">
        <f>IFERROR((TA[[#This Row],[Work Completion time on fault]]-TA[[#This Row],[Fault Time]])*24,"")</f>
        <v>-6.3000000000000007</v>
      </c>
      <c r="AE1725" t="s">
        <v>319</v>
      </c>
      <c r="AF1725" t="s">
        <v>247</v>
      </c>
      <c r="AG1725" s="2"/>
      <c r="AH1725" s="35">
        <f>1-COS(RADIANS(TA[[#This Row],[Avg. Target Angle during Fault Time (Radians)]]-TA[[#This Row],[Angle of affected equipment ]]))</f>
        <v>0.11705240714107301</v>
      </c>
      <c r="AI1725" s="27">
        <f>IFERROR(TA[[#This Row],[Breakdown Time]]*TA[[#This Row],[Plant Equivalent Weightage]],"")</f>
        <v>-1.0862068965517224E-2</v>
      </c>
    </row>
    <row r="1726" spans="1:35">
      <c r="A1726" s="2">
        <f t="shared" si="218"/>
        <v>1723</v>
      </c>
      <c r="B1726" s="143">
        <f t="shared" si="219"/>
        <v>2026</v>
      </c>
      <c r="C1726" s="116">
        <f t="shared" si="220"/>
        <v>2025</v>
      </c>
      <c r="D1726" s="2" t="s">
        <v>155</v>
      </c>
      <c r="E1726" s="2" t="s">
        <v>155</v>
      </c>
      <c r="F1726" s="30">
        <v>45839</v>
      </c>
      <c r="G1726" s="2">
        <f>DAY(EOMONTH(TA[[#This Row],[Month Year]],0))</f>
        <v>31</v>
      </c>
      <c r="H1726" s="21">
        <v>45869</v>
      </c>
      <c r="I1726" s="32">
        <f>IFERROR(VLOOKUP(TA[[#This Row],[Date]],Raw_Data[[Date]:[Sunset Time (POA&lt;20 W/m2)]],3,0),"")</f>
        <v>0.26250000000000001</v>
      </c>
      <c r="J1726" s="32">
        <f>IFERROR(VLOOKUP(TA[[#This Row],[Date]],Raw_Data[[Date]:[Sunset Time (POA&lt;20 W/m2)]],4,0),"")</f>
        <v>0.78055555555555556</v>
      </c>
      <c r="K1726" s="27">
        <f>IFERROR((TA[[#This Row],[Sunset Time (POA&lt;20 W/m2)]]-TA[[#This Row],[Sunrise Time (POA&gt;20 W/m2)]])*24,"")</f>
        <v>12.433333333333332</v>
      </c>
      <c r="L1726" s="2" t="s">
        <v>285</v>
      </c>
      <c r="M1726" s="33">
        <f>IFERROR(VLOOKUP(TA[[#This Row],[Affected Equipment]],'Basic Data'!$I$2:$K$40,3,0),"")</f>
        <v>1.7241379310344799E-3</v>
      </c>
      <c r="N1726">
        <v>-28</v>
      </c>
      <c r="O1726" t="s">
        <v>133</v>
      </c>
      <c r="P1726" s="114" t="s">
        <v>307</v>
      </c>
      <c r="Q1726" s="113" t="s">
        <v>307</v>
      </c>
      <c r="R1726">
        <v>118</v>
      </c>
      <c r="S1726" s="2">
        <v>22</v>
      </c>
      <c r="T1726" t="s">
        <v>286</v>
      </c>
      <c r="U1726" t="s">
        <v>291</v>
      </c>
      <c r="V1726" t="s">
        <v>289</v>
      </c>
      <c r="W1726" s="32">
        <f>IFERROR(VLOOKUP(TA[[#This Row],[Date]],Raw_Data[[Date]:[Sunset Time (POA&lt;20 W/m2)]],3,0),"")</f>
        <v>0.26250000000000001</v>
      </c>
      <c r="X1726" s="32">
        <f>IFERROR(VLOOKUP(TA[[#This Row],[Date]],Raw_Data[[Date]:[Sunset Time (POA&lt;20 W/m2)]],3,0),"")</f>
        <v>0.26250000000000001</v>
      </c>
      <c r="Y1726" s="26"/>
      <c r="Z1726" s="26"/>
      <c r="AA1726" s="27">
        <f>IF(TA[[#This Row],[Work Start time on Fault]]="NA","",(TA[[#This Row],[Fault Acknowledgement Time ]]-TA[[#This Row],[Fault Time]])*24)</f>
        <v>0</v>
      </c>
      <c r="AB1726" s="27">
        <f>(TA[[#This Row],[Work Start time on Fault]]-TA[[#This Row],[Fault Time]])*24</f>
        <v>-6.3000000000000007</v>
      </c>
      <c r="AC1726" s="26">
        <f>(TA[[#This Row],[Work Completion time on fault]]-TA[[#This Row],[Fault Time]])*24</f>
        <v>-6.3000000000000007</v>
      </c>
      <c r="AD1726" s="27">
        <f>IFERROR((TA[[#This Row],[Work Completion time on fault]]-TA[[#This Row],[Fault Time]])*24,"")</f>
        <v>-6.3000000000000007</v>
      </c>
      <c r="AE1726" t="s">
        <v>319</v>
      </c>
      <c r="AF1726" t="s">
        <v>247</v>
      </c>
      <c r="AG1726" s="2"/>
      <c r="AH1726" s="35">
        <f>1-COS(RADIANS(TA[[#This Row],[Avg. Target Angle during Fault Time (Radians)]]-TA[[#This Row],[Angle of affected equipment ]]))</f>
        <v>0.11705240714107301</v>
      </c>
      <c r="AI1726" s="27">
        <f>IFERROR(TA[[#This Row],[Breakdown Time]]*TA[[#This Row],[Plant Equivalent Weightage]],"")</f>
        <v>-1.0862068965517224E-2</v>
      </c>
    </row>
    <row r="1727" spans="1:35">
      <c r="A1727" s="2">
        <f t="shared" si="218"/>
        <v>1724</v>
      </c>
      <c r="B1727" s="143">
        <f t="shared" si="219"/>
        <v>2026</v>
      </c>
      <c r="C1727" s="116">
        <f t="shared" si="220"/>
        <v>2025</v>
      </c>
      <c r="D1727" s="2" t="s">
        <v>155</v>
      </c>
      <c r="E1727" s="2" t="s">
        <v>155</v>
      </c>
      <c r="F1727" s="30">
        <v>45839</v>
      </c>
      <c r="G1727" s="2">
        <f>DAY(EOMONTH(TA[[#This Row],[Month Year]],0))</f>
        <v>31</v>
      </c>
      <c r="H1727" s="21">
        <v>45869</v>
      </c>
      <c r="I1727" s="32">
        <f>IFERROR(VLOOKUP(TA[[#This Row],[Date]],Raw_Data[[Date]:[Sunset Time (POA&lt;20 W/m2)]],3,0),"")</f>
        <v>0.26250000000000001</v>
      </c>
      <c r="J1727" s="32">
        <f>IFERROR(VLOOKUP(TA[[#This Row],[Date]],Raw_Data[[Date]:[Sunset Time (POA&lt;20 W/m2)]],4,0),"")</f>
        <v>0.78055555555555556</v>
      </c>
      <c r="K1727" s="27">
        <f>IFERROR((TA[[#This Row],[Sunset Time (POA&lt;20 W/m2)]]-TA[[#This Row],[Sunrise Time (POA&gt;20 W/m2)]])*24,"")</f>
        <v>12.433333333333332</v>
      </c>
      <c r="L1727" s="2" t="s">
        <v>287</v>
      </c>
      <c r="M1727" s="33">
        <f>IFERROR(VLOOKUP(TA[[#This Row],[Affected Equipment]],'Basic Data'!$I$2:$K$40,3,0),"")</f>
        <v>8.6206896551724102E-3</v>
      </c>
      <c r="N1727">
        <v>-28</v>
      </c>
      <c r="O1727" t="s">
        <v>135</v>
      </c>
      <c r="P1727" s="22" t="s">
        <v>314</v>
      </c>
      <c r="Q1727" s="2" t="s">
        <v>320</v>
      </c>
      <c r="R1727">
        <v>45</v>
      </c>
      <c r="S1727" s="2">
        <v>8</v>
      </c>
      <c r="T1727" t="s">
        <v>288</v>
      </c>
      <c r="U1727" t="s">
        <v>291</v>
      </c>
      <c r="V1727" t="s">
        <v>292</v>
      </c>
      <c r="W1727" s="32">
        <f>IFERROR(VLOOKUP(TA[[#This Row],[Date]],Raw_Data[[Date]:[Sunset Time (POA&lt;20 W/m2)]],3,0),"")</f>
        <v>0.26250000000000001</v>
      </c>
      <c r="X1727" s="32">
        <f>IFERROR(VLOOKUP(TA[[#This Row],[Date]],Raw_Data[[Date]:[Sunset Time (POA&lt;20 W/m2)]],3,0),"")</f>
        <v>0.26250000000000001</v>
      </c>
      <c r="Y1727" s="26"/>
      <c r="Z1727" s="26"/>
      <c r="AA1727" s="27">
        <f>IF(TA[[#This Row],[Work Start time on Fault]]="NA","",(TA[[#This Row],[Fault Acknowledgement Time ]]-TA[[#This Row],[Fault Time]])*24)</f>
        <v>0</v>
      </c>
      <c r="AB1727" s="27">
        <f>(TA[[#This Row],[Work Start time on Fault]]-TA[[#This Row],[Fault Time]])*24</f>
        <v>-6.3000000000000007</v>
      </c>
      <c r="AC1727" s="26">
        <f>(TA[[#This Row],[Work Completion time on fault]]-TA[[#This Row],[Fault Time]])*24</f>
        <v>-6.3000000000000007</v>
      </c>
      <c r="AD1727" s="27">
        <f>IFERROR((TA[[#This Row],[Work Completion time on fault]]-TA[[#This Row],[Fault Time]])*24,"")</f>
        <v>-6.3000000000000007</v>
      </c>
      <c r="AE1727" t="s">
        <v>319</v>
      </c>
      <c r="AF1727" t="s">
        <v>247</v>
      </c>
      <c r="AG1727" s="2"/>
      <c r="AH1727" s="35">
        <f>1-COS(RADIANS(TA[[#This Row],[Avg. Target Angle during Fault Time (Radians)]]-TA[[#This Row],[Angle of affected equipment ]]))</f>
        <v>0.11705240714107301</v>
      </c>
      <c r="AI1727" s="27">
        <f>IFERROR(TA[[#This Row],[Breakdown Time]]*TA[[#This Row],[Plant Equivalent Weightage]],"")</f>
        <v>-5.4310344827586191E-2</v>
      </c>
    </row>
    <row r="1728" spans="1:35">
      <c r="A1728" s="2">
        <f t="shared" si="218"/>
        <v>1725</v>
      </c>
      <c r="B1728" s="143">
        <f t="shared" si="219"/>
        <v>2026</v>
      </c>
      <c r="C1728" s="116">
        <f t="shared" si="220"/>
        <v>2025</v>
      </c>
      <c r="D1728" s="2" t="s">
        <v>155</v>
      </c>
      <c r="E1728" s="2" t="s">
        <v>155</v>
      </c>
      <c r="F1728" s="30">
        <v>45839</v>
      </c>
      <c r="G1728" s="2">
        <f>DAY(EOMONTH(TA[[#This Row],[Month Year]],0))</f>
        <v>31</v>
      </c>
      <c r="H1728" s="21">
        <v>45869</v>
      </c>
      <c r="I1728" s="32">
        <f>IFERROR(VLOOKUP(TA[[#This Row],[Date]],Raw_Data[[Date]:[Sunset Time (POA&lt;20 W/m2)]],3,0),"")</f>
        <v>0.26250000000000001</v>
      </c>
      <c r="J1728" s="32">
        <f>IFERROR(VLOOKUP(TA[[#This Row],[Date]],Raw_Data[[Date]:[Sunset Time (POA&lt;20 W/m2)]],4,0),"")</f>
        <v>0.78055555555555556</v>
      </c>
      <c r="K1728" s="27">
        <f>IFERROR((TA[[#This Row],[Sunset Time (POA&lt;20 W/m2)]]-TA[[#This Row],[Sunrise Time (POA&gt;20 W/m2)]])*24,"")</f>
        <v>12.433333333333332</v>
      </c>
      <c r="L1728" s="2" t="s">
        <v>287</v>
      </c>
      <c r="M1728" s="33">
        <f>IFERROR(VLOOKUP(TA[[#This Row],[Affected Equipment]],'Basic Data'!$I$2:$K$40,3,0),"")</f>
        <v>8.6206896551724102E-3</v>
      </c>
      <c r="N1728">
        <v>-28</v>
      </c>
      <c r="O1728" t="s">
        <v>135</v>
      </c>
      <c r="P1728" s="22" t="s">
        <v>314</v>
      </c>
      <c r="Q1728" s="2" t="s">
        <v>320</v>
      </c>
      <c r="R1728">
        <v>47</v>
      </c>
      <c r="S1728" s="2">
        <v>18</v>
      </c>
      <c r="T1728" t="s">
        <v>288</v>
      </c>
      <c r="U1728" t="s">
        <v>291</v>
      </c>
      <c r="V1728" t="s">
        <v>292</v>
      </c>
      <c r="W1728" s="32">
        <f>IFERROR(VLOOKUP(TA[[#This Row],[Date]],Raw_Data[[Date]:[Sunset Time (POA&lt;20 W/m2)]],3,0),"")</f>
        <v>0.26250000000000001</v>
      </c>
      <c r="X1728" s="32">
        <f>IFERROR(VLOOKUP(TA[[#This Row],[Date]],Raw_Data[[Date]:[Sunset Time (POA&lt;20 W/m2)]],3,0),"")</f>
        <v>0.26250000000000001</v>
      </c>
      <c r="Y1728" s="26"/>
      <c r="Z1728" s="26"/>
      <c r="AA1728" s="27">
        <f>IF(TA[[#This Row],[Work Start time on Fault]]="NA","",(TA[[#This Row],[Fault Acknowledgement Time ]]-TA[[#This Row],[Fault Time]])*24)</f>
        <v>0</v>
      </c>
      <c r="AB1728" s="27">
        <f>(TA[[#This Row],[Work Start time on Fault]]-TA[[#This Row],[Fault Time]])*24</f>
        <v>-6.3000000000000007</v>
      </c>
      <c r="AC1728" s="26">
        <f>(TA[[#This Row],[Work Completion time on fault]]-TA[[#This Row],[Fault Time]])*24</f>
        <v>-6.3000000000000007</v>
      </c>
      <c r="AD1728" s="27">
        <f>IFERROR((TA[[#This Row],[Work Completion time on fault]]-TA[[#This Row],[Fault Time]])*24,"")</f>
        <v>-6.3000000000000007</v>
      </c>
      <c r="AE1728" t="s">
        <v>319</v>
      </c>
      <c r="AF1728" t="s">
        <v>247</v>
      </c>
      <c r="AG1728" s="2"/>
      <c r="AH1728" s="35">
        <f>1-COS(RADIANS(TA[[#This Row],[Avg. Target Angle during Fault Time (Radians)]]-TA[[#This Row],[Angle of affected equipment ]]))</f>
        <v>0.11705240714107301</v>
      </c>
      <c r="AI1728" s="27">
        <f>IFERROR(TA[[#This Row],[Breakdown Time]]*TA[[#This Row],[Plant Equivalent Weightage]],"")</f>
        <v>-5.4310344827586191E-2</v>
      </c>
    </row>
    <row r="1729" spans="1:35">
      <c r="A1729" s="2">
        <f t="shared" si="218"/>
        <v>1726</v>
      </c>
      <c r="B1729" s="143">
        <f t="shared" si="219"/>
        <v>2026</v>
      </c>
      <c r="C1729" s="116">
        <f t="shared" si="220"/>
        <v>2025</v>
      </c>
      <c r="D1729" s="2" t="s">
        <v>155</v>
      </c>
      <c r="E1729" s="2" t="s">
        <v>155</v>
      </c>
      <c r="F1729" s="30">
        <v>45839</v>
      </c>
      <c r="G1729" s="2">
        <f>DAY(EOMONTH(TA[[#This Row],[Month Year]],0))</f>
        <v>31</v>
      </c>
      <c r="H1729" s="21">
        <v>45869</v>
      </c>
      <c r="I1729" s="32">
        <f>IFERROR(VLOOKUP(TA[[#This Row],[Date]],Raw_Data[[Date]:[Sunset Time (POA&lt;20 W/m2)]],3,0),"")</f>
        <v>0.26250000000000001</v>
      </c>
      <c r="J1729" s="32">
        <f>IFERROR(VLOOKUP(TA[[#This Row],[Date]],Raw_Data[[Date]:[Sunset Time (POA&lt;20 W/m2)]],4,0),"")</f>
        <v>0.78055555555555556</v>
      </c>
      <c r="K1729" s="27">
        <f>IFERROR((TA[[#This Row],[Sunset Time (POA&lt;20 W/m2)]]-TA[[#This Row],[Sunrise Time (POA&gt;20 W/m2)]])*24,"")</f>
        <v>12.433333333333332</v>
      </c>
      <c r="L1729" s="2" t="s">
        <v>287</v>
      </c>
      <c r="M1729" s="33">
        <f>IFERROR(VLOOKUP(TA[[#This Row],[Affected Equipment]],'Basic Data'!$I$2:$K$40,3,0),"")</f>
        <v>8.6206896551724102E-3</v>
      </c>
      <c r="N1729">
        <v>-28</v>
      </c>
      <c r="O1729" t="s">
        <v>134</v>
      </c>
      <c r="P1729" s="22" t="s">
        <v>321</v>
      </c>
      <c r="Q1729" s="2" t="s">
        <v>314</v>
      </c>
      <c r="R1729">
        <v>30</v>
      </c>
      <c r="S1729" s="2">
        <v>57</v>
      </c>
      <c r="T1729" t="s">
        <v>288</v>
      </c>
      <c r="U1729" t="s">
        <v>291</v>
      </c>
      <c r="V1729" t="s">
        <v>292</v>
      </c>
      <c r="W1729" s="32">
        <f>IFERROR(VLOOKUP(TA[[#This Row],[Date]],Raw_Data[[Date]:[Sunset Time (POA&lt;20 W/m2)]],3,0),"")</f>
        <v>0.26250000000000001</v>
      </c>
      <c r="X1729" s="32">
        <f>IFERROR(VLOOKUP(TA[[#This Row],[Date]],Raw_Data[[Date]:[Sunset Time (POA&lt;20 W/m2)]],3,0),"")</f>
        <v>0.26250000000000001</v>
      </c>
      <c r="Y1729" s="26"/>
      <c r="Z1729" s="26"/>
      <c r="AA1729" s="27">
        <f>IF(TA[[#This Row],[Work Start time on Fault]]="NA","",(TA[[#This Row],[Fault Acknowledgement Time ]]-TA[[#This Row],[Fault Time]])*24)</f>
        <v>0</v>
      </c>
      <c r="AB1729" s="27">
        <f>(TA[[#This Row],[Work Start time on Fault]]-TA[[#This Row],[Fault Time]])*24</f>
        <v>-6.3000000000000007</v>
      </c>
      <c r="AC1729" s="26">
        <f>(TA[[#This Row],[Work Completion time on fault]]-TA[[#This Row],[Fault Time]])*24</f>
        <v>-6.3000000000000007</v>
      </c>
      <c r="AD1729" s="27">
        <f>IFERROR((TA[[#This Row],[Work Completion time on fault]]-TA[[#This Row],[Fault Time]])*24,"")</f>
        <v>-6.3000000000000007</v>
      </c>
      <c r="AE1729" t="s">
        <v>319</v>
      </c>
      <c r="AF1729" t="s">
        <v>247</v>
      </c>
      <c r="AG1729" s="2"/>
      <c r="AH1729" s="35">
        <f>1-COS(RADIANS(TA[[#This Row],[Avg. Target Angle during Fault Time (Radians)]]-TA[[#This Row],[Angle of affected equipment ]]))</f>
        <v>0.11705240714107301</v>
      </c>
      <c r="AI1729" s="27">
        <f>IFERROR(TA[[#This Row],[Breakdown Time]]*TA[[#This Row],[Plant Equivalent Weightage]],"")</f>
        <v>-5.4310344827586191E-2</v>
      </c>
    </row>
    <row r="1730" spans="1:35">
      <c r="A1730" s="2">
        <f t="shared" si="218"/>
        <v>1727</v>
      </c>
      <c r="B1730" s="143">
        <f t="shared" si="219"/>
        <v>2026</v>
      </c>
      <c r="C1730" s="116">
        <f t="shared" si="220"/>
        <v>2025</v>
      </c>
      <c r="D1730" s="2" t="s">
        <v>155</v>
      </c>
      <c r="E1730" s="2" t="s">
        <v>155</v>
      </c>
      <c r="F1730" s="30">
        <v>45839</v>
      </c>
      <c r="G1730" s="2">
        <f>DAY(EOMONTH(TA[[#This Row],[Month Year]],0))</f>
        <v>31</v>
      </c>
      <c r="H1730" s="21">
        <v>45869</v>
      </c>
      <c r="I1730" s="32">
        <f>IFERROR(VLOOKUP(TA[[#This Row],[Date]],Raw_Data[[Date]:[Sunset Time (POA&lt;20 W/m2)]],3,0),"")</f>
        <v>0.26250000000000001</v>
      </c>
      <c r="J1730" s="32">
        <f>IFERROR(VLOOKUP(TA[[#This Row],[Date]],Raw_Data[[Date]:[Sunset Time (POA&lt;20 W/m2)]],4,0),"")</f>
        <v>0.78055555555555556</v>
      </c>
      <c r="K1730" s="27">
        <f>IFERROR((TA[[#This Row],[Sunset Time (POA&lt;20 W/m2)]]-TA[[#This Row],[Sunrise Time (POA&gt;20 W/m2)]])*24,"")</f>
        <v>12.433333333333332</v>
      </c>
      <c r="L1730" s="2" t="s">
        <v>287</v>
      </c>
      <c r="M1730" s="33">
        <f>IFERROR(VLOOKUP(TA[[#This Row],[Affected Equipment]],'Basic Data'!$I$2:$K$40,3,0),"")</f>
        <v>8.6206896551724102E-3</v>
      </c>
      <c r="N1730">
        <v>-28</v>
      </c>
      <c r="O1730" t="s">
        <v>134</v>
      </c>
      <c r="P1730" s="22" t="s">
        <v>321</v>
      </c>
      <c r="Q1730" s="2" t="s">
        <v>314</v>
      </c>
      <c r="R1730">
        <v>31</v>
      </c>
      <c r="S1730" s="2">
        <v>61</v>
      </c>
      <c r="T1730" t="s">
        <v>288</v>
      </c>
      <c r="U1730" t="s">
        <v>291</v>
      </c>
      <c r="V1730" t="s">
        <v>292</v>
      </c>
      <c r="W1730" s="32">
        <f>IFERROR(VLOOKUP(TA[[#This Row],[Date]],Raw_Data[[Date]:[Sunset Time (POA&lt;20 W/m2)]],3,0),"")</f>
        <v>0.26250000000000001</v>
      </c>
      <c r="X1730" s="32">
        <f>IFERROR(VLOOKUP(TA[[#This Row],[Date]],Raw_Data[[Date]:[Sunset Time (POA&lt;20 W/m2)]],3,0),"")</f>
        <v>0.26250000000000001</v>
      </c>
      <c r="Y1730" s="26"/>
      <c r="Z1730" s="26"/>
      <c r="AA1730" s="27">
        <f>IF(TA[[#This Row],[Work Start time on Fault]]="NA","",(TA[[#This Row],[Fault Acknowledgement Time ]]-TA[[#This Row],[Fault Time]])*24)</f>
        <v>0</v>
      </c>
      <c r="AB1730" s="27">
        <f>(TA[[#This Row],[Work Start time on Fault]]-TA[[#This Row],[Fault Time]])*24</f>
        <v>-6.3000000000000007</v>
      </c>
      <c r="AC1730" s="26">
        <f>(TA[[#This Row],[Work Completion time on fault]]-TA[[#This Row],[Fault Time]])*24</f>
        <v>-6.3000000000000007</v>
      </c>
      <c r="AD1730" s="27">
        <f>IFERROR((TA[[#This Row],[Work Completion time on fault]]-TA[[#This Row],[Fault Time]])*24,"")</f>
        <v>-6.3000000000000007</v>
      </c>
      <c r="AE1730" t="s">
        <v>319</v>
      </c>
      <c r="AF1730" t="s">
        <v>247</v>
      </c>
      <c r="AG1730" s="2"/>
      <c r="AH1730" s="35">
        <f>1-COS(RADIANS(TA[[#This Row],[Avg. Target Angle during Fault Time (Radians)]]-TA[[#This Row],[Angle of affected equipment ]]))</f>
        <v>0.11705240714107301</v>
      </c>
      <c r="AI1730" s="27">
        <f>IFERROR(TA[[#This Row],[Breakdown Time]]*TA[[#This Row],[Plant Equivalent Weightage]],"")</f>
        <v>-5.4310344827586191E-2</v>
      </c>
    </row>
    <row r="1731" spans="1:35">
      <c r="A1731" s="2">
        <f t="shared" si="218"/>
        <v>1728</v>
      </c>
      <c r="B1731" s="143">
        <f t="shared" si="219"/>
        <v>2026</v>
      </c>
      <c r="C1731" s="116">
        <f t="shared" si="220"/>
        <v>2025</v>
      </c>
      <c r="D1731" s="2" t="s">
        <v>155</v>
      </c>
      <c r="E1731" s="2" t="s">
        <v>155</v>
      </c>
      <c r="F1731" s="30">
        <v>45839</v>
      </c>
      <c r="G1731" s="2">
        <f>DAY(EOMONTH(TA[[#This Row],[Month Year]],0))</f>
        <v>31</v>
      </c>
      <c r="H1731" s="21">
        <v>45869</v>
      </c>
      <c r="I1731" s="32">
        <f>IFERROR(VLOOKUP(TA[[#This Row],[Date]],Raw_Data[[Date]:[Sunset Time (POA&lt;20 W/m2)]],3,0),"")</f>
        <v>0.26250000000000001</v>
      </c>
      <c r="J1731" s="32">
        <f>IFERROR(VLOOKUP(TA[[#This Row],[Date]],Raw_Data[[Date]:[Sunset Time (POA&lt;20 W/m2)]],4,0),"")</f>
        <v>0.78055555555555556</v>
      </c>
      <c r="K1731" s="27">
        <f>IFERROR((TA[[#This Row],[Sunset Time (POA&lt;20 W/m2)]]-TA[[#This Row],[Sunrise Time (POA&gt;20 W/m2)]])*24,"")</f>
        <v>12.433333333333332</v>
      </c>
      <c r="L1731" s="2" t="s">
        <v>303</v>
      </c>
      <c r="M1731" s="33">
        <f>IFERROR(VLOOKUP(TA[[#This Row],[Affected Equipment]],'Basic Data'!$I$2:$K$40,3,0),"")</f>
        <v>5.74712643678161E-3</v>
      </c>
      <c r="N1731">
        <v>-28</v>
      </c>
      <c r="O1731" t="s">
        <v>133</v>
      </c>
      <c r="P1731" s="22" t="s">
        <v>321</v>
      </c>
      <c r="Q1731" s="2" t="s">
        <v>314</v>
      </c>
      <c r="R1731">
        <v>26</v>
      </c>
      <c r="S1731" s="2">
        <v>37</v>
      </c>
      <c r="T1731" t="s">
        <v>288</v>
      </c>
      <c r="U1731" t="s">
        <v>291</v>
      </c>
      <c r="V1731" t="s">
        <v>292</v>
      </c>
      <c r="W1731" s="32">
        <f>IFERROR(VLOOKUP(TA[[#This Row],[Date]],Raw_Data[[Date]:[Sunset Time (POA&lt;20 W/m2)]],3,0),"")</f>
        <v>0.26250000000000001</v>
      </c>
      <c r="X1731" s="32">
        <f>IFERROR(VLOOKUP(TA[[#This Row],[Date]],Raw_Data[[Date]:[Sunset Time (POA&lt;20 W/m2)]],3,0),"")</f>
        <v>0.26250000000000001</v>
      </c>
      <c r="Y1731" s="26"/>
      <c r="Z1731" s="26"/>
      <c r="AA1731" s="27">
        <f>IF(TA[[#This Row],[Work Start time on Fault]]="NA","",(TA[[#This Row],[Fault Acknowledgement Time ]]-TA[[#This Row],[Fault Time]])*24)</f>
        <v>0</v>
      </c>
      <c r="AB1731" s="27">
        <f>(TA[[#This Row],[Work Start time on Fault]]-TA[[#This Row],[Fault Time]])*24</f>
        <v>-6.3000000000000007</v>
      </c>
      <c r="AC1731" s="26">
        <f>(TA[[#This Row],[Work Completion time on fault]]-TA[[#This Row],[Fault Time]])*24</f>
        <v>-6.3000000000000007</v>
      </c>
      <c r="AD1731" s="27">
        <f>IFERROR((TA[[#This Row],[Work Completion time on fault]]-TA[[#This Row],[Fault Time]])*24,"")</f>
        <v>-6.3000000000000007</v>
      </c>
      <c r="AE1731" t="s">
        <v>319</v>
      </c>
      <c r="AF1731" t="s">
        <v>247</v>
      </c>
      <c r="AG1731" s="2"/>
      <c r="AH1731" s="35">
        <f>1-COS(RADIANS(TA[[#This Row],[Avg. Target Angle during Fault Time (Radians)]]-TA[[#This Row],[Angle of affected equipment ]]))</f>
        <v>0.11705240714107301</v>
      </c>
      <c r="AI1731" s="27">
        <f>IFERROR(TA[[#This Row],[Breakdown Time]]*TA[[#This Row],[Plant Equivalent Weightage]],"")</f>
        <v>-3.6206896551724148E-2</v>
      </c>
    </row>
    <row r="1732" spans="1:35">
      <c r="A1732" s="2">
        <f t="shared" si="218"/>
        <v>1729</v>
      </c>
      <c r="B1732" s="143">
        <f t="shared" si="219"/>
        <v>2026</v>
      </c>
      <c r="C1732" s="116">
        <f t="shared" si="220"/>
        <v>2025</v>
      </c>
      <c r="D1732" s="2" t="s">
        <v>155</v>
      </c>
      <c r="E1732" s="2" t="s">
        <v>155</v>
      </c>
      <c r="F1732" s="30">
        <v>45839</v>
      </c>
      <c r="G1732" s="2">
        <f>DAY(EOMONTH(TA[[#This Row],[Month Year]],0))</f>
        <v>31</v>
      </c>
      <c r="H1732" s="21">
        <v>45869</v>
      </c>
      <c r="I1732" s="32">
        <f>IFERROR(VLOOKUP(TA[[#This Row],[Date]],Raw_Data[[Date]:[Sunset Time (POA&lt;20 W/m2)]],3,0),"")</f>
        <v>0.26250000000000001</v>
      </c>
      <c r="J1732" s="32">
        <f>IFERROR(VLOOKUP(TA[[#This Row],[Date]],Raw_Data[[Date]:[Sunset Time (POA&lt;20 W/m2)]],4,0),"")</f>
        <v>0.78055555555555556</v>
      </c>
      <c r="K1732" s="27">
        <f>IFERROR((TA[[#This Row],[Sunset Time (POA&lt;20 W/m2)]]-TA[[#This Row],[Sunrise Time (POA&gt;20 W/m2)]])*24,"")</f>
        <v>12.433333333333332</v>
      </c>
      <c r="L1732" s="2" t="s">
        <v>303</v>
      </c>
      <c r="M1732" s="33">
        <f>IFERROR(VLOOKUP(TA[[#This Row],[Affected Equipment]],'Basic Data'!$I$2:$K$40,3,0),"")</f>
        <v>5.74712643678161E-3</v>
      </c>
      <c r="N1732">
        <v>-28</v>
      </c>
      <c r="O1732" t="s">
        <v>133</v>
      </c>
      <c r="P1732" s="22" t="s">
        <v>321</v>
      </c>
      <c r="Q1732" s="2" t="s">
        <v>314</v>
      </c>
      <c r="R1732">
        <v>27</v>
      </c>
      <c r="S1732" s="2">
        <v>42</v>
      </c>
      <c r="T1732" t="s">
        <v>288</v>
      </c>
      <c r="U1732" t="s">
        <v>291</v>
      </c>
      <c r="V1732" t="s">
        <v>292</v>
      </c>
      <c r="W1732" s="32">
        <f>IFERROR(VLOOKUP(TA[[#This Row],[Date]],Raw_Data[[Date]:[Sunset Time (POA&lt;20 W/m2)]],3,0),"")</f>
        <v>0.26250000000000001</v>
      </c>
      <c r="X1732" s="32">
        <f>IFERROR(VLOOKUP(TA[[#This Row],[Date]],Raw_Data[[Date]:[Sunset Time (POA&lt;20 W/m2)]],3,0),"")</f>
        <v>0.26250000000000001</v>
      </c>
      <c r="Y1732" s="26"/>
      <c r="Z1732" s="26">
        <v>0.76041666666666663</v>
      </c>
      <c r="AA1732" s="27">
        <f>IF(TA[[#This Row],[Work Start time on Fault]]="NA","",(TA[[#This Row],[Fault Acknowledgement Time ]]-TA[[#This Row],[Fault Time]])*24)</f>
        <v>0</v>
      </c>
      <c r="AB1732" s="27">
        <f>(TA[[#This Row],[Work Start time on Fault]]-TA[[#This Row],[Fault Time]])*24</f>
        <v>-6.3000000000000007</v>
      </c>
      <c r="AC1732" s="26">
        <f>(TA[[#This Row],[Work Completion time on fault]]-TA[[#This Row],[Fault Time]])*24</f>
        <v>11.95</v>
      </c>
      <c r="AD1732" s="27">
        <f>IFERROR((TA[[#This Row],[Work Completion time on fault]]-TA[[#This Row],[Fault Time]])*24,"")</f>
        <v>11.95</v>
      </c>
      <c r="AE1732" t="s">
        <v>300</v>
      </c>
      <c r="AF1732" t="s">
        <v>247</v>
      </c>
      <c r="AG1732" s="2"/>
      <c r="AH1732" s="35">
        <f>1-COS(RADIANS(TA[[#This Row],[Avg. Target Angle during Fault Time (Radians)]]-TA[[#This Row],[Angle of affected equipment ]]))</f>
        <v>0.11705240714107301</v>
      </c>
      <c r="AI1732" s="27">
        <f>IFERROR(TA[[#This Row],[Breakdown Time]]*TA[[#This Row],[Plant Equivalent Weightage]],"")</f>
        <v>6.8678160919540238E-2</v>
      </c>
    </row>
    <row r="1733" spans="1:35">
      <c r="A1733" s="2">
        <f t="shared" si="218"/>
        <v>1730</v>
      </c>
      <c r="B1733" s="143">
        <f t="shared" ref="B1733:B1745" si="221">YEAR(H1733)+IF(MONTH(H1733)&gt;=4,1,0)</f>
        <v>2026</v>
      </c>
      <c r="C1733" s="116">
        <f t="shared" ref="C1733:C1745" si="222">YEAR(H1733)</f>
        <v>2025</v>
      </c>
      <c r="D1733" s="2" t="s">
        <v>155</v>
      </c>
      <c r="E1733" s="2" t="s">
        <v>155</v>
      </c>
      <c r="F1733" s="30">
        <v>45870</v>
      </c>
      <c r="G1733" s="2">
        <f>DAY(EOMONTH(TA[[#This Row],[Month Year]],0))</f>
        <v>31</v>
      </c>
      <c r="H1733" s="21">
        <v>45870</v>
      </c>
      <c r="I1733" s="32">
        <f>IFERROR(VLOOKUP(TA[[#This Row],[Date]],Raw_Data[[Date]:[Sunset Time (POA&lt;20 W/m2)]],3,0),"")</f>
        <v>0.25763888888888886</v>
      </c>
      <c r="J1733" s="32">
        <f>IFERROR(VLOOKUP(TA[[#This Row],[Date]],Raw_Data[[Date]:[Sunset Time (POA&lt;20 W/m2)]],4,0),"")</f>
        <v>0.78402777777777777</v>
      </c>
      <c r="K1733" s="27">
        <f>IFERROR((TA[[#This Row],[Sunset Time (POA&lt;20 W/m2)]]-TA[[#This Row],[Sunrise Time (POA&gt;20 W/m2)]])*24,"")</f>
        <v>12.633333333333333</v>
      </c>
      <c r="L1733" s="2" t="s">
        <v>285</v>
      </c>
      <c r="M1733" s="33">
        <f>IFERROR(VLOOKUP(TA[[#This Row],[Affected Equipment]],'Basic Data'!$I$2:$K$40,3,0),"")</f>
        <v>1.7241379310344799E-3</v>
      </c>
      <c r="N1733">
        <v>-28</v>
      </c>
      <c r="O1733" t="s">
        <v>135</v>
      </c>
      <c r="P1733" s="114" t="s">
        <v>309</v>
      </c>
      <c r="Q1733" s="113" t="s">
        <v>309</v>
      </c>
      <c r="R1733">
        <v>131</v>
      </c>
      <c r="S1733" s="2">
        <v>38</v>
      </c>
      <c r="T1733" t="s">
        <v>286</v>
      </c>
      <c r="U1733" t="s">
        <v>291</v>
      </c>
      <c r="V1733" t="s">
        <v>289</v>
      </c>
      <c r="W1733" s="32"/>
      <c r="X1733" s="32"/>
      <c r="Y1733" s="26"/>
      <c r="Z1733" s="26"/>
      <c r="AA1733" s="27">
        <f>IF(TA[[#This Row],[Work Start time on Fault]]="NA","",(TA[[#This Row],[Fault Acknowledgement Time ]]-TA[[#This Row],[Fault Time]])*24)</f>
        <v>0</v>
      </c>
      <c r="AB1733" s="27">
        <f>(TA[[#This Row],[Work Start time on Fault]]-TA[[#This Row],[Fault Time]])*24</f>
        <v>0</v>
      </c>
      <c r="AC1733" s="26">
        <f>(TA[[#This Row],[Work Completion time on fault]]-TA[[#This Row],[Fault Time]])*24</f>
        <v>0</v>
      </c>
      <c r="AD1733" s="27">
        <f>IFERROR((TA[[#This Row],[Work Completion time on fault]]-TA[[#This Row],[Fault Time]])*24,"")</f>
        <v>0</v>
      </c>
      <c r="AE1733" t="s">
        <v>319</v>
      </c>
      <c r="AF1733" t="s">
        <v>247</v>
      </c>
      <c r="AG1733" s="2"/>
      <c r="AH1733" s="35">
        <f>1-COS(RADIANS(TA[[#This Row],[Avg. Target Angle during Fault Time (Radians)]]-TA[[#This Row],[Angle of affected equipment ]]))</f>
        <v>0.11705240714107301</v>
      </c>
      <c r="AI1733" s="27">
        <f>IFERROR(TA[[#This Row],[Breakdown Time]]*TA[[#This Row],[Plant Equivalent Weightage]],"")</f>
        <v>0</v>
      </c>
    </row>
    <row r="1734" spans="1:35">
      <c r="A1734" s="2">
        <f t="shared" si="218"/>
        <v>1731</v>
      </c>
      <c r="B1734" s="143">
        <f t="shared" si="221"/>
        <v>2026</v>
      </c>
      <c r="C1734" s="116">
        <f t="shared" si="222"/>
        <v>2025</v>
      </c>
      <c r="D1734" s="2" t="s">
        <v>155</v>
      </c>
      <c r="E1734" s="2" t="s">
        <v>155</v>
      </c>
      <c r="F1734" s="30">
        <v>45870</v>
      </c>
      <c r="G1734" s="2">
        <f>DAY(EOMONTH(TA[[#This Row],[Month Year]],0))</f>
        <v>31</v>
      </c>
      <c r="H1734" s="21">
        <v>45870</v>
      </c>
      <c r="I1734" s="32">
        <f>IFERROR(VLOOKUP(TA[[#This Row],[Date]],Raw_Data[[Date]:[Sunset Time (POA&lt;20 W/m2)]],3,0),"")</f>
        <v>0.25763888888888886</v>
      </c>
      <c r="J1734" s="32">
        <f>IFERROR(VLOOKUP(TA[[#This Row],[Date]],Raw_Data[[Date]:[Sunset Time (POA&lt;20 W/m2)]],4,0),"")</f>
        <v>0.78402777777777777</v>
      </c>
      <c r="K1734" s="27">
        <f>IFERROR((TA[[#This Row],[Sunset Time (POA&lt;20 W/m2)]]-TA[[#This Row],[Sunrise Time (POA&gt;20 W/m2)]])*24,"")</f>
        <v>12.633333333333333</v>
      </c>
      <c r="L1734" s="2" t="s">
        <v>285</v>
      </c>
      <c r="M1734" s="33">
        <f>IFERROR(VLOOKUP(TA[[#This Row],[Affected Equipment]],'Basic Data'!$I$2:$K$40,3,0),"")</f>
        <v>1.7241379310344799E-3</v>
      </c>
      <c r="N1734">
        <v>-28</v>
      </c>
      <c r="O1734" t="s">
        <v>135</v>
      </c>
      <c r="P1734" s="114" t="s">
        <v>309</v>
      </c>
      <c r="Q1734" s="113" t="s">
        <v>309</v>
      </c>
      <c r="R1734">
        <v>131</v>
      </c>
      <c r="S1734" s="2">
        <v>39</v>
      </c>
      <c r="T1734" t="s">
        <v>286</v>
      </c>
      <c r="U1734" t="s">
        <v>291</v>
      </c>
      <c r="V1734" t="s">
        <v>289</v>
      </c>
      <c r="W1734" s="32"/>
      <c r="X1734" s="32"/>
      <c r="Y1734" s="26"/>
      <c r="Z1734" s="26"/>
      <c r="AA1734" s="27">
        <f>IF(TA[[#This Row],[Work Start time on Fault]]="NA","",(TA[[#This Row],[Fault Acknowledgement Time ]]-TA[[#This Row],[Fault Time]])*24)</f>
        <v>0</v>
      </c>
      <c r="AB1734" s="27">
        <f>(TA[[#This Row],[Work Start time on Fault]]-TA[[#This Row],[Fault Time]])*24</f>
        <v>0</v>
      </c>
      <c r="AC1734" s="26">
        <f>(TA[[#This Row],[Work Completion time on fault]]-TA[[#This Row],[Fault Time]])*24</f>
        <v>0</v>
      </c>
      <c r="AD1734" s="27">
        <f>IFERROR((TA[[#This Row],[Work Completion time on fault]]-TA[[#This Row],[Fault Time]])*24,"")</f>
        <v>0</v>
      </c>
      <c r="AE1734" t="s">
        <v>319</v>
      </c>
      <c r="AF1734" t="s">
        <v>247</v>
      </c>
      <c r="AG1734" s="2"/>
      <c r="AH1734" s="35">
        <f>1-COS(RADIANS(TA[[#This Row],[Avg. Target Angle during Fault Time (Radians)]]-TA[[#This Row],[Angle of affected equipment ]]))</f>
        <v>0.11705240714107301</v>
      </c>
      <c r="AI1734" s="27">
        <f>IFERROR(TA[[#This Row],[Breakdown Time]]*TA[[#This Row],[Plant Equivalent Weightage]],"")</f>
        <v>0</v>
      </c>
    </row>
    <row r="1735" spans="1:35">
      <c r="A1735" s="2">
        <f t="shared" si="218"/>
        <v>1732</v>
      </c>
      <c r="B1735" s="143">
        <f t="shared" si="221"/>
        <v>2026</v>
      </c>
      <c r="C1735" s="116">
        <f t="shared" si="222"/>
        <v>2025</v>
      </c>
      <c r="D1735" s="2" t="s">
        <v>155</v>
      </c>
      <c r="E1735" s="2" t="s">
        <v>155</v>
      </c>
      <c r="F1735" s="30">
        <v>45870</v>
      </c>
      <c r="G1735" s="2">
        <f>DAY(EOMONTH(TA[[#This Row],[Month Year]],0))</f>
        <v>31</v>
      </c>
      <c r="H1735" s="21">
        <v>45870</v>
      </c>
      <c r="I1735" s="32">
        <f>IFERROR(VLOOKUP(TA[[#This Row],[Date]],Raw_Data[[Date]:[Sunset Time (POA&lt;20 W/m2)]],3,0),"")</f>
        <v>0.25763888888888886</v>
      </c>
      <c r="J1735" s="32">
        <f>IFERROR(VLOOKUP(TA[[#This Row],[Date]],Raw_Data[[Date]:[Sunset Time (POA&lt;20 W/m2)]],4,0),"")</f>
        <v>0.78402777777777777</v>
      </c>
      <c r="K1735" s="27">
        <f>IFERROR((TA[[#This Row],[Sunset Time (POA&lt;20 W/m2)]]-TA[[#This Row],[Sunrise Time (POA&gt;20 W/m2)]])*24,"")</f>
        <v>12.633333333333333</v>
      </c>
      <c r="L1735" s="2" t="s">
        <v>287</v>
      </c>
      <c r="M1735" s="33">
        <f>IFERROR(VLOOKUP(TA[[#This Row],[Affected Equipment]],'Basic Data'!$I$2:$K$40,3,0),"")</f>
        <v>8.6206896551724102E-3</v>
      </c>
      <c r="N1735">
        <v>-28</v>
      </c>
      <c r="O1735" t="s">
        <v>135</v>
      </c>
      <c r="P1735" s="114" t="s">
        <v>309</v>
      </c>
      <c r="Q1735" s="2" t="s">
        <v>312</v>
      </c>
      <c r="R1735">
        <v>133</v>
      </c>
      <c r="S1735" s="2">
        <v>26</v>
      </c>
      <c r="T1735" t="s">
        <v>288</v>
      </c>
      <c r="U1735" t="s">
        <v>291</v>
      </c>
      <c r="V1735" t="s">
        <v>305</v>
      </c>
      <c r="W1735" s="32">
        <f>IFERROR(VLOOKUP(TA[[#This Row],[Date]],Raw_Data[[Date]:[Sunset Time (POA&lt;20 W/m2)]],3,0),"")</f>
        <v>0.25763888888888886</v>
      </c>
      <c r="X1735" s="32">
        <f>IFERROR(VLOOKUP(TA[[#This Row],[Date]],Raw_Data[[Date]:[Sunset Time (POA&lt;20 W/m2)]],3,0),"")</f>
        <v>0.25763888888888886</v>
      </c>
      <c r="Y1735" s="26"/>
      <c r="Z1735" s="26">
        <v>0.76041666666666663</v>
      </c>
      <c r="AA1735" s="27">
        <f>IF(TA[[#This Row],[Work Start time on Fault]]="NA","",(TA[[#This Row],[Fault Acknowledgement Time ]]-TA[[#This Row],[Fault Time]])*24)</f>
        <v>0</v>
      </c>
      <c r="AB1735" s="27">
        <f>(TA[[#This Row],[Work Start time on Fault]]-TA[[#This Row],[Fault Time]])*24</f>
        <v>-6.1833333333333327</v>
      </c>
      <c r="AC1735" s="26">
        <f>(TA[[#This Row],[Work Completion time on fault]]-TA[[#This Row],[Fault Time]])*24</f>
        <v>12.066666666666666</v>
      </c>
      <c r="AD1735" s="27">
        <f>IFERROR((TA[[#This Row],[Work Completion time on fault]]-TA[[#This Row],[Fault Time]])*24,"")</f>
        <v>12.066666666666666</v>
      </c>
      <c r="AE1735" t="s">
        <v>319</v>
      </c>
      <c r="AF1735" t="s">
        <v>247</v>
      </c>
      <c r="AG1735" s="2"/>
      <c r="AH1735" s="35">
        <f>1-COS(RADIANS(TA[[#This Row],[Avg. Target Angle during Fault Time (Radians)]]-TA[[#This Row],[Angle of affected equipment ]]))</f>
        <v>0.11705240714107301</v>
      </c>
      <c r="AI1735" s="27">
        <f>IFERROR(TA[[#This Row],[Breakdown Time]]*TA[[#This Row],[Plant Equivalent Weightage]],"")</f>
        <v>0.10402298850574708</v>
      </c>
    </row>
    <row r="1736" spans="1:35">
      <c r="A1736" s="2">
        <f t="shared" si="218"/>
        <v>1733</v>
      </c>
      <c r="B1736" s="143">
        <f t="shared" si="221"/>
        <v>2026</v>
      </c>
      <c r="C1736" s="116">
        <f t="shared" si="222"/>
        <v>2025</v>
      </c>
      <c r="D1736" s="2" t="s">
        <v>155</v>
      </c>
      <c r="E1736" s="2" t="s">
        <v>155</v>
      </c>
      <c r="F1736" s="30">
        <v>45870</v>
      </c>
      <c r="G1736" s="2">
        <f>DAY(EOMONTH(TA[[#This Row],[Month Year]],0))</f>
        <v>31</v>
      </c>
      <c r="H1736" s="21">
        <v>45870</v>
      </c>
      <c r="I1736" s="32">
        <f>IFERROR(VLOOKUP(TA[[#This Row],[Date]],Raw_Data[[Date]:[Sunset Time (POA&lt;20 W/m2)]],3,0),"")</f>
        <v>0.25763888888888886</v>
      </c>
      <c r="J1736" s="32">
        <f>IFERROR(VLOOKUP(TA[[#This Row],[Date]],Raw_Data[[Date]:[Sunset Time (POA&lt;20 W/m2)]],4,0),"")</f>
        <v>0.78402777777777777</v>
      </c>
      <c r="K1736" s="27">
        <f>IFERROR((TA[[#This Row],[Sunset Time (POA&lt;20 W/m2)]]-TA[[#This Row],[Sunrise Time (POA&gt;20 W/m2)]])*24,"")</f>
        <v>12.633333333333333</v>
      </c>
      <c r="L1736" s="2" t="s">
        <v>285</v>
      </c>
      <c r="M1736" s="33">
        <f>IFERROR(VLOOKUP(TA[[#This Row],[Affected Equipment]],'Basic Data'!$I$2:$K$40,3,0),"")</f>
        <v>1.7241379310344799E-3</v>
      </c>
      <c r="N1736">
        <v>-28</v>
      </c>
      <c r="O1736" t="s">
        <v>133</v>
      </c>
      <c r="P1736" s="114" t="s">
        <v>307</v>
      </c>
      <c r="Q1736" s="113" t="s">
        <v>308</v>
      </c>
      <c r="R1736">
        <v>7</v>
      </c>
      <c r="S1736" s="2">
        <v>32</v>
      </c>
      <c r="T1736" t="s">
        <v>286</v>
      </c>
      <c r="U1736" t="s">
        <v>291</v>
      </c>
      <c r="V1736" t="s">
        <v>289</v>
      </c>
      <c r="W1736" s="32"/>
      <c r="X1736" s="32"/>
      <c r="Y1736" s="26"/>
      <c r="Z1736" s="26"/>
      <c r="AA1736" s="27">
        <f>IF(TA[[#This Row],[Work Start time on Fault]]="NA","",(TA[[#This Row],[Fault Acknowledgement Time ]]-TA[[#This Row],[Fault Time]])*24)</f>
        <v>0</v>
      </c>
      <c r="AB1736" s="27">
        <f>(TA[[#This Row],[Work Start time on Fault]]-TA[[#This Row],[Fault Time]])*24</f>
        <v>0</v>
      </c>
      <c r="AC1736" s="26">
        <f>(TA[[#This Row],[Work Completion time on fault]]-TA[[#This Row],[Fault Time]])*24</f>
        <v>0</v>
      </c>
      <c r="AD1736" s="27">
        <f>IFERROR((TA[[#This Row],[Work Completion time on fault]]-TA[[#This Row],[Fault Time]])*24,"")</f>
        <v>0</v>
      </c>
      <c r="AE1736" t="s">
        <v>319</v>
      </c>
      <c r="AF1736" t="s">
        <v>247</v>
      </c>
      <c r="AG1736" s="2"/>
      <c r="AH1736" s="35">
        <f>1-COS(RADIANS(TA[[#This Row],[Avg. Target Angle during Fault Time (Radians)]]-TA[[#This Row],[Angle of affected equipment ]]))</f>
        <v>0.11705240714107301</v>
      </c>
      <c r="AI1736" s="27">
        <f>IFERROR(TA[[#This Row],[Breakdown Time]]*TA[[#This Row],[Plant Equivalent Weightage]],"")</f>
        <v>0</v>
      </c>
    </row>
    <row r="1737" spans="1:35">
      <c r="A1737" s="2">
        <f t="shared" si="218"/>
        <v>1734</v>
      </c>
      <c r="B1737" s="143">
        <f t="shared" si="221"/>
        <v>2026</v>
      </c>
      <c r="C1737" s="116">
        <f t="shared" si="222"/>
        <v>2025</v>
      </c>
      <c r="D1737" s="2" t="s">
        <v>155</v>
      </c>
      <c r="E1737" s="2" t="s">
        <v>155</v>
      </c>
      <c r="F1737" s="30">
        <v>45870</v>
      </c>
      <c r="G1737" s="2">
        <f>DAY(EOMONTH(TA[[#This Row],[Month Year]],0))</f>
        <v>31</v>
      </c>
      <c r="H1737" s="21">
        <v>45870</v>
      </c>
      <c r="I1737" s="32">
        <f>IFERROR(VLOOKUP(TA[[#This Row],[Date]],Raw_Data[[Date]:[Sunset Time (POA&lt;20 W/m2)]],3,0),"")</f>
        <v>0.25763888888888886</v>
      </c>
      <c r="J1737" s="32">
        <f>IFERROR(VLOOKUP(TA[[#This Row],[Date]],Raw_Data[[Date]:[Sunset Time (POA&lt;20 W/m2)]],4,0),"")</f>
        <v>0.78402777777777777</v>
      </c>
      <c r="K1737" s="27">
        <f>IFERROR((TA[[#This Row],[Sunset Time (POA&lt;20 W/m2)]]-TA[[#This Row],[Sunrise Time (POA&gt;20 W/m2)]])*24,"")</f>
        <v>12.633333333333333</v>
      </c>
      <c r="L1737" s="2" t="s">
        <v>285</v>
      </c>
      <c r="M1737" s="33">
        <f>IFERROR(VLOOKUP(TA[[#This Row],[Affected Equipment]],'Basic Data'!$I$2:$K$40,3,0),"")</f>
        <v>1.7241379310344799E-3</v>
      </c>
      <c r="N1737">
        <v>-28</v>
      </c>
      <c r="O1737" t="s">
        <v>137</v>
      </c>
      <c r="P1737" s="114" t="s">
        <v>306</v>
      </c>
      <c r="Q1737" s="113" t="s">
        <v>310</v>
      </c>
      <c r="R1737">
        <v>166</v>
      </c>
      <c r="S1737" s="2">
        <v>91</v>
      </c>
      <c r="T1737" t="s">
        <v>286</v>
      </c>
      <c r="U1737" t="s">
        <v>291</v>
      </c>
      <c r="V1737" t="s">
        <v>289</v>
      </c>
      <c r="W1737" s="32"/>
      <c r="X1737" s="32"/>
      <c r="Y1737" s="26"/>
      <c r="Z1737" s="26"/>
      <c r="AA1737" s="27">
        <f>IF(TA[[#This Row],[Work Start time on Fault]]="NA","",(TA[[#This Row],[Fault Acknowledgement Time ]]-TA[[#This Row],[Fault Time]])*24)</f>
        <v>0</v>
      </c>
      <c r="AB1737" s="27">
        <f>(TA[[#This Row],[Work Start time on Fault]]-TA[[#This Row],[Fault Time]])*24</f>
        <v>0</v>
      </c>
      <c r="AC1737" s="26">
        <f>(TA[[#This Row],[Work Completion time on fault]]-TA[[#This Row],[Fault Time]])*24</f>
        <v>0</v>
      </c>
      <c r="AD1737" s="27">
        <f>IFERROR((TA[[#This Row],[Work Completion time on fault]]-TA[[#This Row],[Fault Time]])*24,"")</f>
        <v>0</v>
      </c>
      <c r="AE1737" t="s">
        <v>319</v>
      </c>
      <c r="AF1737" t="s">
        <v>247</v>
      </c>
      <c r="AG1737" s="2"/>
      <c r="AH1737" s="35">
        <f>1-COS(RADIANS(TA[[#This Row],[Avg. Target Angle during Fault Time (Radians)]]-TA[[#This Row],[Angle of affected equipment ]]))</f>
        <v>0.11705240714107301</v>
      </c>
      <c r="AI1737" s="27">
        <f>IFERROR(TA[[#This Row],[Breakdown Time]]*TA[[#This Row],[Plant Equivalent Weightage]],"")</f>
        <v>0</v>
      </c>
    </row>
    <row r="1738" spans="1:35">
      <c r="A1738" s="2">
        <f t="shared" si="218"/>
        <v>1735</v>
      </c>
      <c r="B1738" s="143">
        <f t="shared" si="221"/>
        <v>2026</v>
      </c>
      <c r="C1738" s="116">
        <f t="shared" si="222"/>
        <v>2025</v>
      </c>
      <c r="D1738" s="2" t="s">
        <v>155</v>
      </c>
      <c r="E1738" s="2" t="s">
        <v>155</v>
      </c>
      <c r="F1738" s="30">
        <v>45870</v>
      </c>
      <c r="G1738" s="2">
        <f>DAY(EOMONTH(TA[[#This Row],[Month Year]],0))</f>
        <v>31</v>
      </c>
      <c r="H1738" s="21">
        <v>45870</v>
      </c>
      <c r="I1738" s="32">
        <f>IFERROR(VLOOKUP(TA[[#This Row],[Date]],Raw_Data[[Date]:[Sunset Time (POA&lt;20 W/m2)]],3,0),"")</f>
        <v>0.25763888888888886</v>
      </c>
      <c r="J1738" s="32">
        <f>IFERROR(VLOOKUP(TA[[#This Row],[Date]],Raw_Data[[Date]:[Sunset Time (POA&lt;20 W/m2)]],4,0),"")</f>
        <v>0.78402777777777777</v>
      </c>
      <c r="K1738" s="27">
        <f>IFERROR((TA[[#This Row],[Sunset Time (POA&lt;20 W/m2)]]-TA[[#This Row],[Sunrise Time (POA&gt;20 W/m2)]])*24,"")</f>
        <v>12.633333333333333</v>
      </c>
      <c r="L1738" s="2" t="s">
        <v>285</v>
      </c>
      <c r="M1738" s="33">
        <f>IFERROR(VLOOKUP(TA[[#This Row],[Affected Equipment]],'Basic Data'!$I$2:$K$40,3,0),"")</f>
        <v>1.7241379310344799E-3</v>
      </c>
      <c r="N1738">
        <v>-28</v>
      </c>
      <c r="O1738" t="s">
        <v>133</v>
      </c>
      <c r="P1738" s="114" t="s">
        <v>307</v>
      </c>
      <c r="Q1738" s="113" t="s">
        <v>307</v>
      </c>
      <c r="R1738">
        <v>117</v>
      </c>
      <c r="S1738" s="2">
        <v>20</v>
      </c>
      <c r="T1738" t="s">
        <v>286</v>
      </c>
      <c r="U1738" t="s">
        <v>291</v>
      </c>
      <c r="V1738" t="s">
        <v>289</v>
      </c>
      <c r="W1738" s="32"/>
      <c r="X1738" s="32"/>
      <c r="Y1738" s="26"/>
      <c r="Z1738" s="26"/>
      <c r="AA1738" s="27">
        <f>IF(TA[[#This Row],[Work Start time on Fault]]="NA","",(TA[[#This Row],[Fault Acknowledgement Time ]]-TA[[#This Row],[Fault Time]])*24)</f>
        <v>0</v>
      </c>
      <c r="AB1738" s="27">
        <f>(TA[[#This Row],[Work Start time on Fault]]-TA[[#This Row],[Fault Time]])*24</f>
        <v>0</v>
      </c>
      <c r="AC1738" s="26">
        <f>(TA[[#This Row],[Work Completion time on fault]]-TA[[#This Row],[Fault Time]])*24</f>
        <v>0</v>
      </c>
      <c r="AD1738" s="27">
        <f>IFERROR((TA[[#This Row],[Work Completion time on fault]]-TA[[#This Row],[Fault Time]])*24,"")</f>
        <v>0</v>
      </c>
      <c r="AE1738" t="s">
        <v>319</v>
      </c>
      <c r="AF1738" t="s">
        <v>247</v>
      </c>
      <c r="AG1738" s="2"/>
      <c r="AH1738" s="35">
        <f>1-COS(RADIANS(TA[[#This Row],[Avg. Target Angle during Fault Time (Radians)]]-TA[[#This Row],[Angle of affected equipment ]]))</f>
        <v>0.11705240714107301</v>
      </c>
      <c r="AI1738" s="27">
        <f>IFERROR(TA[[#This Row],[Breakdown Time]]*TA[[#This Row],[Plant Equivalent Weightage]],"")</f>
        <v>0</v>
      </c>
    </row>
    <row r="1739" spans="1:35">
      <c r="A1739" s="2">
        <f t="shared" si="218"/>
        <v>1736</v>
      </c>
      <c r="B1739" s="143">
        <f t="shared" si="221"/>
        <v>2026</v>
      </c>
      <c r="C1739" s="116">
        <f t="shared" si="222"/>
        <v>2025</v>
      </c>
      <c r="D1739" s="2" t="s">
        <v>155</v>
      </c>
      <c r="E1739" s="2" t="s">
        <v>155</v>
      </c>
      <c r="F1739" s="30">
        <v>45870</v>
      </c>
      <c r="G1739" s="2">
        <f>DAY(EOMONTH(TA[[#This Row],[Month Year]],0))</f>
        <v>31</v>
      </c>
      <c r="H1739" s="21">
        <v>45870</v>
      </c>
      <c r="I1739" s="32">
        <f>IFERROR(VLOOKUP(TA[[#This Row],[Date]],Raw_Data[[Date]:[Sunset Time (POA&lt;20 W/m2)]],3,0),"")</f>
        <v>0.25763888888888886</v>
      </c>
      <c r="J1739" s="32">
        <f>IFERROR(VLOOKUP(TA[[#This Row],[Date]],Raw_Data[[Date]:[Sunset Time (POA&lt;20 W/m2)]],4,0),"")</f>
        <v>0.78402777777777777</v>
      </c>
      <c r="K1739" s="27">
        <f>IFERROR((TA[[#This Row],[Sunset Time (POA&lt;20 W/m2)]]-TA[[#This Row],[Sunrise Time (POA&gt;20 W/m2)]])*24,"")</f>
        <v>12.633333333333333</v>
      </c>
      <c r="L1739" s="2" t="s">
        <v>285</v>
      </c>
      <c r="M1739" s="33">
        <f>IFERROR(VLOOKUP(TA[[#This Row],[Affected Equipment]],'Basic Data'!$I$2:$K$40,3,0),"")</f>
        <v>1.7241379310344799E-3</v>
      </c>
      <c r="N1739">
        <v>-28</v>
      </c>
      <c r="O1739" t="s">
        <v>133</v>
      </c>
      <c r="P1739" s="114" t="s">
        <v>307</v>
      </c>
      <c r="Q1739" s="113" t="s">
        <v>307</v>
      </c>
      <c r="R1739">
        <v>118</v>
      </c>
      <c r="S1739" s="2">
        <v>22</v>
      </c>
      <c r="T1739" t="s">
        <v>286</v>
      </c>
      <c r="U1739" t="s">
        <v>291</v>
      </c>
      <c r="V1739" t="s">
        <v>289</v>
      </c>
      <c r="W1739" s="32"/>
      <c r="X1739" s="32"/>
      <c r="Y1739" s="26"/>
      <c r="Z1739" s="26"/>
      <c r="AA1739" s="27">
        <f>IF(TA[[#This Row],[Work Start time on Fault]]="NA","",(TA[[#This Row],[Fault Acknowledgement Time ]]-TA[[#This Row],[Fault Time]])*24)</f>
        <v>0</v>
      </c>
      <c r="AB1739" s="27">
        <f>(TA[[#This Row],[Work Start time on Fault]]-TA[[#This Row],[Fault Time]])*24</f>
        <v>0</v>
      </c>
      <c r="AC1739" s="26">
        <f>(TA[[#This Row],[Work Completion time on fault]]-TA[[#This Row],[Fault Time]])*24</f>
        <v>0</v>
      </c>
      <c r="AD1739" s="27">
        <f>IFERROR((TA[[#This Row],[Work Completion time on fault]]-TA[[#This Row],[Fault Time]])*24,"")</f>
        <v>0</v>
      </c>
      <c r="AE1739" t="s">
        <v>319</v>
      </c>
      <c r="AF1739" t="s">
        <v>247</v>
      </c>
      <c r="AG1739" s="2"/>
      <c r="AH1739" s="35">
        <f>1-COS(RADIANS(TA[[#This Row],[Avg. Target Angle during Fault Time (Radians)]]-TA[[#This Row],[Angle of affected equipment ]]))</f>
        <v>0.11705240714107301</v>
      </c>
      <c r="AI1739" s="27">
        <f>IFERROR(TA[[#This Row],[Breakdown Time]]*TA[[#This Row],[Plant Equivalent Weightage]],"")</f>
        <v>0</v>
      </c>
    </row>
    <row r="1740" spans="1:35">
      <c r="A1740" s="2">
        <f t="shared" si="218"/>
        <v>1737</v>
      </c>
      <c r="B1740" s="143">
        <f t="shared" si="221"/>
        <v>2026</v>
      </c>
      <c r="C1740" s="116">
        <f t="shared" si="222"/>
        <v>2025</v>
      </c>
      <c r="D1740" s="2" t="s">
        <v>155</v>
      </c>
      <c r="E1740" s="2" t="s">
        <v>155</v>
      </c>
      <c r="F1740" s="30">
        <v>45870</v>
      </c>
      <c r="G1740" s="2">
        <f>DAY(EOMONTH(TA[[#This Row],[Month Year]],0))</f>
        <v>31</v>
      </c>
      <c r="H1740" s="21">
        <v>45870</v>
      </c>
      <c r="I1740" s="32">
        <f>IFERROR(VLOOKUP(TA[[#This Row],[Date]],Raw_Data[[Date]:[Sunset Time (POA&lt;20 W/m2)]],3,0),"")</f>
        <v>0.25763888888888886</v>
      </c>
      <c r="J1740" s="32">
        <f>IFERROR(VLOOKUP(TA[[#This Row],[Date]],Raw_Data[[Date]:[Sunset Time (POA&lt;20 W/m2)]],4,0),"")</f>
        <v>0.78402777777777777</v>
      </c>
      <c r="K1740" s="27">
        <f>IFERROR((TA[[#This Row],[Sunset Time (POA&lt;20 W/m2)]]-TA[[#This Row],[Sunrise Time (POA&gt;20 W/m2)]])*24,"")</f>
        <v>12.633333333333333</v>
      </c>
      <c r="L1740" s="2" t="s">
        <v>287</v>
      </c>
      <c r="M1740" s="33">
        <f>IFERROR(VLOOKUP(TA[[#This Row],[Affected Equipment]],'Basic Data'!$I$2:$K$40,3,0),"")</f>
        <v>8.6206896551724102E-3</v>
      </c>
      <c r="N1740">
        <v>-28</v>
      </c>
      <c r="O1740" t="s">
        <v>135</v>
      </c>
      <c r="P1740" s="22" t="s">
        <v>314</v>
      </c>
      <c r="Q1740" s="2" t="s">
        <v>320</v>
      </c>
      <c r="R1740">
        <v>45</v>
      </c>
      <c r="S1740" s="2">
        <v>8</v>
      </c>
      <c r="T1740" t="s">
        <v>288</v>
      </c>
      <c r="U1740" t="s">
        <v>291</v>
      </c>
      <c r="V1740" t="s">
        <v>292</v>
      </c>
      <c r="W1740" s="32"/>
      <c r="X1740" s="32"/>
      <c r="Y1740" s="26"/>
      <c r="Z1740" s="26"/>
      <c r="AA1740" s="27">
        <f>IF(TA[[#This Row],[Work Start time on Fault]]="NA","",(TA[[#This Row],[Fault Acknowledgement Time ]]-TA[[#This Row],[Fault Time]])*24)</f>
        <v>0</v>
      </c>
      <c r="AB1740" s="27">
        <f>(TA[[#This Row],[Work Start time on Fault]]-TA[[#This Row],[Fault Time]])*24</f>
        <v>0</v>
      </c>
      <c r="AC1740" s="26">
        <f>(TA[[#This Row],[Work Completion time on fault]]-TA[[#This Row],[Fault Time]])*24</f>
        <v>0</v>
      </c>
      <c r="AD1740" s="27">
        <f>IFERROR((TA[[#This Row],[Work Completion time on fault]]-TA[[#This Row],[Fault Time]])*24,"")</f>
        <v>0</v>
      </c>
      <c r="AE1740" t="s">
        <v>319</v>
      </c>
      <c r="AF1740" t="s">
        <v>247</v>
      </c>
      <c r="AG1740" s="2"/>
      <c r="AH1740" s="35">
        <f>1-COS(RADIANS(TA[[#This Row],[Avg. Target Angle during Fault Time (Radians)]]-TA[[#This Row],[Angle of affected equipment ]]))</f>
        <v>0.11705240714107301</v>
      </c>
      <c r="AI1740" s="27">
        <f>IFERROR(TA[[#This Row],[Breakdown Time]]*TA[[#This Row],[Plant Equivalent Weightage]],"")</f>
        <v>0</v>
      </c>
    </row>
    <row r="1741" spans="1:35">
      <c r="A1741" s="2">
        <f t="shared" si="218"/>
        <v>1738</v>
      </c>
      <c r="B1741" s="143">
        <f t="shared" si="221"/>
        <v>2026</v>
      </c>
      <c r="C1741" s="116">
        <f t="shared" si="222"/>
        <v>2025</v>
      </c>
      <c r="D1741" s="2" t="s">
        <v>155</v>
      </c>
      <c r="E1741" s="2" t="s">
        <v>155</v>
      </c>
      <c r="F1741" s="30">
        <v>45870</v>
      </c>
      <c r="G1741" s="2">
        <f>DAY(EOMONTH(TA[[#This Row],[Month Year]],0))</f>
        <v>31</v>
      </c>
      <c r="H1741" s="21">
        <v>45870</v>
      </c>
      <c r="I1741" s="32">
        <f>IFERROR(VLOOKUP(TA[[#This Row],[Date]],Raw_Data[[Date]:[Sunset Time (POA&lt;20 W/m2)]],3,0),"")</f>
        <v>0.25763888888888886</v>
      </c>
      <c r="J1741" s="32">
        <f>IFERROR(VLOOKUP(TA[[#This Row],[Date]],Raw_Data[[Date]:[Sunset Time (POA&lt;20 W/m2)]],4,0),"")</f>
        <v>0.78402777777777777</v>
      </c>
      <c r="K1741" s="27">
        <f>IFERROR((TA[[#This Row],[Sunset Time (POA&lt;20 W/m2)]]-TA[[#This Row],[Sunrise Time (POA&gt;20 W/m2)]])*24,"")</f>
        <v>12.633333333333333</v>
      </c>
      <c r="L1741" s="2" t="s">
        <v>287</v>
      </c>
      <c r="M1741" s="33">
        <f>IFERROR(VLOOKUP(TA[[#This Row],[Affected Equipment]],'Basic Data'!$I$2:$K$40,3,0),"")</f>
        <v>8.6206896551724102E-3</v>
      </c>
      <c r="N1741">
        <v>-28</v>
      </c>
      <c r="O1741" t="s">
        <v>135</v>
      </c>
      <c r="P1741" s="22" t="s">
        <v>314</v>
      </c>
      <c r="Q1741" s="2" t="s">
        <v>320</v>
      </c>
      <c r="R1741">
        <v>47</v>
      </c>
      <c r="S1741" s="2">
        <v>18</v>
      </c>
      <c r="T1741" t="s">
        <v>288</v>
      </c>
      <c r="U1741" t="s">
        <v>291</v>
      </c>
      <c r="V1741" t="s">
        <v>292</v>
      </c>
      <c r="W1741" s="32"/>
      <c r="X1741" s="32"/>
      <c r="Y1741" s="26"/>
      <c r="Z1741" s="26"/>
      <c r="AA1741" s="27">
        <f>IF(TA[[#This Row],[Work Start time on Fault]]="NA","",(TA[[#This Row],[Fault Acknowledgement Time ]]-TA[[#This Row],[Fault Time]])*24)</f>
        <v>0</v>
      </c>
      <c r="AB1741" s="27">
        <f>(TA[[#This Row],[Work Start time on Fault]]-TA[[#This Row],[Fault Time]])*24</f>
        <v>0</v>
      </c>
      <c r="AC1741" s="26">
        <f>(TA[[#This Row],[Work Completion time on fault]]-TA[[#This Row],[Fault Time]])*24</f>
        <v>0</v>
      </c>
      <c r="AD1741" s="27">
        <f>IFERROR((TA[[#This Row],[Work Completion time on fault]]-TA[[#This Row],[Fault Time]])*24,"")</f>
        <v>0</v>
      </c>
      <c r="AE1741" t="s">
        <v>319</v>
      </c>
      <c r="AF1741" t="s">
        <v>247</v>
      </c>
      <c r="AG1741" s="2"/>
      <c r="AH1741" s="35">
        <f>1-COS(RADIANS(TA[[#This Row],[Avg. Target Angle during Fault Time (Radians)]]-TA[[#This Row],[Angle of affected equipment ]]))</f>
        <v>0.11705240714107301</v>
      </c>
      <c r="AI1741" s="27">
        <f>IFERROR(TA[[#This Row],[Breakdown Time]]*TA[[#This Row],[Plant Equivalent Weightage]],"")</f>
        <v>0</v>
      </c>
    </row>
    <row r="1742" spans="1:35">
      <c r="A1742" s="2">
        <f t="shared" si="218"/>
        <v>1739</v>
      </c>
      <c r="B1742" s="143">
        <f t="shared" si="221"/>
        <v>2026</v>
      </c>
      <c r="C1742" s="116">
        <f t="shared" si="222"/>
        <v>2025</v>
      </c>
      <c r="D1742" s="2" t="s">
        <v>155</v>
      </c>
      <c r="E1742" s="2" t="s">
        <v>155</v>
      </c>
      <c r="F1742" s="30">
        <v>45870</v>
      </c>
      <c r="G1742" s="2">
        <f>DAY(EOMONTH(TA[[#This Row],[Month Year]],0))</f>
        <v>31</v>
      </c>
      <c r="H1742" s="21">
        <v>45870</v>
      </c>
      <c r="I1742" s="32">
        <f>IFERROR(VLOOKUP(TA[[#This Row],[Date]],Raw_Data[[Date]:[Sunset Time (POA&lt;20 W/m2)]],3,0),"")</f>
        <v>0.25763888888888886</v>
      </c>
      <c r="J1742" s="32">
        <f>IFERROR(VLOOKUP(TA[[#This Row],[Date]],Raw_Data[[Date]:[Sunset Time (POA&lt;20 W/m2)]],4,0),"")</f>
        <v>0.78402777777777777</v>
      </c>
      <c r="K1742" s="27">
        <f>IFERROR((TA[[#This Row],[Sunset Time (POA&lt;20 W/m2)]]-TA[[#This Row],[Sunrise Time (POA&gt;20 W/m2)]])*24,"")</f>
        <v>12.633333333333333</v>
      </c>
      <c r="L1742" s="2" t="s">
        <v>287</v>
      </c>
      <c r="M1742" s="33">
        <f>IFERROR(VLOOKUP(TA[[#This Row],[Affected Equipment]],'Basic Data'!$I$2:$K$40,3,0),"")</f>
        <v>8.6206896551724102E-3</v>
      </c>
      <c r="N1742">
        <v>-28</v>
      </c>
      <c r="O1742" t="s">
        <v>134</v>
      </c>
      <c r="P1742" s="22" t="s">
        <v>321</v>
      </c>
      <c r="Q1742" s="2" t="s">
        <v>314</v>
      </c>
      <c r="R1742">
        <v>30</v>
      </c>
      <c r="S1742" s="2">
        <v>57</v>
      </c>
      <c r="T1742" t="s">
        <v>288</v>
      </c>
      <c r="U1742" t="s">
        <v>291</v>
      </c>
      <c r="V1742" t="s">
        <v>292</v>
      </c>
      <c r="W1742" s="32"/>
      <c r="X1742" s="32"/>
      <c r="Y1742" s="26"/>
      <c r="Z1742" s="26"/>
      <c r="AA1742" s="27">
        <f>IF(TA[[#This Row],[Work Start time on Fault]]="NA","",(TA[[#This Row],[Fault Acknowledgement Time ]]-TA[[#This Row],[Fault Time]])*24)</f>
        <v>0</v>
      </c>
      <c r="AB1742" s="27">
        <f>(TA[[#This Row],[Work Start time on Fault]]-TA[[#This Row],[Fault Time]])*24</f>
        <v>0</v>
      </c>
      <c r="AC1742" s="26">
        <f>(TA[[#This Row],[Work Completion time on fault]]-TA[[#This Row],[Fault Time]])*24</f>
        <v>0</v>
      </c>
      <c r="AD1742" s="27">
        <f>IFERROR((TA[[#This Row],[Work Completion time on fault]]-TA[[#This Row],[Fault Time]])*24,"")</f>
        <v>0</v>
      </c>
      <c r="AE1742" t="s">
        <v>319</v>
      </c>
      <c r="AF1742" t="s">
        <v>247</v>
      </c>
      <c r="AG1742" s="2"/>
      <c r="AH1742" s="35">
        <f>1-COS(RADIANS(TA[[#This Row],[Avg. Target Angle during Fault Time (Radians)]]-TA[[#This Row],[Angle of affected equipment ]]))</f>
        <v>0.11705240714107301</v>
      </c>
      <c r="AI1742" s="27">
        <f>IFERROR(TA[[#This Row],[Breakdown Time]]*TA[[#This Row],[Plant Equivalent Weightage]],"")</f>
        <v>0</v>
      </c>
    </row>
    <row r="1743" spans="1:35">
      <c r="A1743" s="2">
        <f t="shared" si="218"/>
        <v>1740</v>
      </c>
      <c r="B1743" s="143">
        <f t="shared" si="221"/>
        <v>2026</v>
      </c>
      <c r="C1743" s="116">
        <f t="shared" si="222"/>
        <v>2025</v>
      </c>
      <c r="D1743" s="2" t="s">
        <v>155</v>
      </c>
      <c r="E1743" s="2" t="s">
        <v>155</v>
      </c>
      <c r="F1743" s="30">
        <v>45870</v>
      </c>
      <c r="G1743" s="2">
        <f>DAY(EOMONTH(TA[[#This Row],[Month Year]],0))</f>
        <v>31</v>
      </c>
      <c r="H1743" s="21">
        <v>45870</v>
      </c>
      <c r="I1743" s="32">
        <f>IFERROR(VLOOKUP(TA[[#This Row],[Date]],Raw_Data[[Date]:[Sunset Time (POA&lt;20 W/m2)]],3,0),"")</f>
        <v>0.25763888888888886</v>
      </c>
      <c r="J1743" s="32">
        <f>IFERROR(VLOOKUP(TA[[#This Row],[Date]],Raw_Data[[Date]:[Sunset Time (POA&lt;20 W/m2)]],4,0),"")</f>
        <v>0.78402777777777777</v>
      </c>
      <c r="K1743" s="27">
        <f>IFERROR((TA[[#This Row],[Sunset Time (POA&lt;20 W/m2)]]-TA[[#This Row],[Sunrise Time (POA&gt;20 W/m2)]])*24,"")</f>
        <v>12.633333333333333</v>
      </c>
      <c r="L1743" s="2" t="s">
        <v>287</v>
      </c>
      <c r="M1743" s="33">
        <f>IFERROR(VLOOKUP(TA[[#This Row],[Affected Equipment]],'Basic Data'!$I$2:$K$40,3,0),"")</f>
        <v>8.6206896551724102E-3</v>
      </c>
      <c r="N1743">
        <v>-28</v>
      </c>
      <c r="O1743" t="s">
        <v>134</v>
      </c>
      <c r="P1743" s="22" t="s">
        <v>321</v>
      </c>
      <c r="Q1743" s="2" t="s">
        <v>314</v>
      </c>
      <c r="R1743">
        <v>31</v>
      </c>
      <c r="S1743" s="2">
        <v>61</v>
      </c>
      <c r="T1743" t="s">
        <v>288</v>
      </c>
      <c r="U1743" t="s">
        <v>291</v>
      </c>
      <c r="V1743" t="s">
        <v>292</v>
      </c>
      <c r="W1743" s="32"/>
      <c r="X1743" s="32"/>
      <c r="Y1743" s="26"/>
      <c r="Z1743" s="26"/>
      <c r="AA1743" s="27">
        <f>IF(TA[[#This Row],[Work Start time on Fault]]="NA","",(TA[[#This Row],[Fault Acknowledgement Time ]]-TA[[#This Row],[Fault Time]])*24)</f>
        <v>0</v>
      </c>
      <c r="AB1743" s="27">
        <f>(TA[[#This Row],[Work Start time on Fault]]-TA[[#This Row],[Fault Time]])*24</f>
        <v>0</v>
      </c>
      <c r="AC1743" s="26">
        <f>(TA[[#This Row],[Work Completion time on fault]]-TA[[#This Row],[Fault Time]])*24</f>
        <v>0</v>
      </c>
      <c r="AD1743" s="27">
        <f>IFERROR((TA[[#This Row],[Work Completion time on fault]]-TA[[#This Row],[Fault Time]])*24,"")</f>
        <v>0</v>
      </c>
      <c r="AE1743" t="s">
        <v>319</v>
      </c>
      <c r="AF1743" t="s">
        <v>247</v>
      </c>
      <c r="AG1743" s="2"/>
      <c r="AH1743" s="35">
        <f>1-COS(RADIANS(TA[[#This Row],[Avg. Target Angle during Fault Time (Radians)]]-TA[[#This Row],[Angle of affected equipment ]]))</f>
        <v>0.11705240714107301</v>
      </c>
      <c r="AI1743" s="27">
        <f>IFERROR(TA[[#This Row],[Breakdown Time]]*TA[[#This Row],[Plant Equivalent Weightage]],"")</f>
        <v>0</v>
      </c>
    </row>
    <row r="1744" spans="1:35">
      <c r="A1744" s="2">
        <f t="shared" si="218"/>
        <v>1741</v>
      </c>
      <c r="B1744" s="143">
        <f t="shared" si="221"/>
        <v>2026</v>
      </c>
      <c r="C1744" s="116">
        <f t="shared" si="222"/>
        <v>2025</v>
      </c>
      <c r="D1744" s="2" t="s">
        <v>155</v>
      </c>
      <c r="E1744" s="2" t="s">
        <v>155</v>
      </c>
      <c r="F1744" s="30">
        <v>45870</v>
      </c>
      <c r="G1744" s="2">
        <f>DAY(EOMONTH(TA[[#This Row],[Month Year]],0))</f>
        <v>31</v>
      </c>
      <c r="H1744" s="21">
        <v>45870</v>
      </c>
      <c r="I1744" s="32">
        <f>IFERROR(VLOOKUP(TA[[#This Row],[Date]],Raw_Data[[Date]:[Sunset Time (POA&lt;20 W/m2)]],3,0),"")</f>
        <v>0.25763888888888886</v>
      </c>
      <c r="J1744" s="32">
        <f>IFERROR(VLOOKUP(TA[[#This Row],[Date]],Raw_Data[[Date]:[Sunset Time (POA&lt;20 W/m2)]],4,0),"")</f>
        <v>0.78402777777777777</v>
      </c>
      <c r="K1744" s="27">
        <f>IFERROR((TA[[#This Row],[Sunset Time (POA&lt;20 W/m2)]]-TA[[#This Row],[Sunrise Time (POA&gt;20 W/m2)]])*24,"")</f>
        <v>12.633333333333333</v>
      </c>
      <c r="L1744" s="2" t="s">
        <v>303</v>
      </c>
      <c r="M1744" s="33">
        <f>IFERROR(VLOOKUP(TA[[#This Row],[Affected Equipment]],'Basic Data'!$I$2:$K$40,3,0),"")</f>
        <v>5.74712643678161E-3</v>
      </c>
      <c r="N1744">
        <v>-28</v>
      </c>
      <c r="O1744" t="s">
        <v>133</v>
      </c>
      <c r="P1744" s="22" t="s">
        <v>321</v>
      </c>
      <c r="Q1744" s="2" t="s">
        <v>314</v>
      </c>
      <c r="R1744">
        <v>26</v>
      </c>
      <c r="S1744" s="2">
        <v>37</v>
      </c>
      <c r="T1744" t="s">
        <v>288</v>
      </c>
      <c r="U1744" t="s">
        <v>291</v>
      </c>
      <c r="V1744" t="s">
        <v>292</v>
      </c>
      <c r="W1744" s="32"/>
      <c r="X1744" s="32"/>
      <c r="Y1744" s="26"/>
      <c r="Z1744" s="26"/>
      <c r="AA1744" s="27">
        <f>IF(TA[[#This Row],[Work Start time on Fault]]="NA","",(TA[[#This Row],[Fault Acknowledgement Time ]]-TA[[#This Row],[Fault Time]])*24)</f>
        <v>0</v>
      </c>
      <c r="AB1744" s="27">
        <f>(TA[[#This Row],[Work Start time on Fault]]-TA[[#This Row],[Fault Time]])*24</f>
        <v>0</v>
      </c>
      <c r="AC1744" s="26">
        <f>(TA[[#This Row],[Work Completion time on fault]]-TA[[#This Row],[Fault Time]])*24</f>
        <v>0</v>
      </c>
      <c r="AD1744" s="27">
        <f>IFERROR((TA[[#This Row],[Work Completion time on fault]]-TA[[#This Row],[Fault Time]])*24,"")</f>
        <v>0</v>
      </c>
      <c r="AE1744" t="s">
        <v>319</v>
      </c>
      <c r="AF1744" t="s">
        <v>247</v>
      </c>
      <c r="AG1744" s="2"/>
      <c r="AH1744" s="35">
        <f>1-COS(RADIANS(TA[[#This Row],[Avg. Target Angle during Fault Time (Radians)]]-TA[[#This Row],[Angle of affected equipment ]]))</f>
        <v>0.11705240714107301</v>
      </c>
      <c r="AI1744" s="27">
        <f>IFERROR(TA[[#This Row],[Breakdown Time]]*TA[[#This Row],[Plant Equivalent Weightage]],"")</f>
        <v>0</v>
      </c>
    </row>
    <row r="1745" spans="1:35">
      <c r="A1745" s="2">
        <f t="shared" si="218"/>
        <v>1742</v>
      </c>
      <c r="B1745" s="143">
        <f t="shared" si="221"/>
        <v>2026</v>
      </c>
      <c r="C1745" s="116">
        <f t="shared" si="222"/>
        <v>2025</v>
      </c>
      <c r="D1745" s="2" t="s">
        <v>155</v>
      </c>
      <c r="E1745" s="2" t="s">
        <v>155</v>
      </c>
      <c r="F1745" s="30">
        <v>45870</v>
      </c>
      <c r="G1745" s="2">
        <f>DAY(EOMONTH(TA[[#This Row],[Month Year]],0))</f>
        <v>31</v>
      </c>
      <c r="H1745" s="21">
        <v>45870</v>
      </c>
      <c r="I1745" s="32">
        <f>IFERROR(VLOOKUP(TA[[#This Row],[Date]],Raw_Data[[Date]:[Sunset Time (POA&lt;20 W/m2)]],3,0),"")</f>
        <v>0.25763888888888886</v>
      </c>
      <c r="J1745" s="32">
        <f>IFERROR(VLOOKUP(TA[[#This Row],[Date]],Raw_Data[[Date]:[Sunset Time (POA&lt;20 W/m2)]],4,0),"")</f>
        <v>0.78402777777777777</v>
      </c>
      <c r="K1745" s="27">
        <f>IFERROR((TA[[#This Row],[Sunset Time (POA&lt;20 W/m2)]]-TA[[#This Row],[Sunrise Time (POA&gt;20 W/m2)]])*24,"")</f>
        <v>12.633333333333333</v>
      </c>
      <c r="L1745" s="2" t="s">
        <v>303</v>
      </c>
      <c r="M1745" s="33">
        <f>IFERROR(VLOOKUP(TA[[#This Row],[Affected Equipment]],'Basic Data'!$I$2:$K$40,3,0),"")</f>
        <v>5.74712643678161E-3</v>
      </c>
      <c r="N1745">
        <v>-28</v>
      </c>
      <c r="O1745" t="s">
        <v>133</v>
      </c>
      <c r="P1745" s="22" t="s">
        <v>321</v>
      </c>
      <c r="Q1745" s="2" t="s">
        <v>314</v>
      </c>
      <c r="R1745">
        <v>27</v>
      </c>
      <c r="S1745" s="2">
        <v>42</v>
      </c>
      <c r="T1745" t="s">
        <v>288</v>
      </c>
      <c r="U1745" t="s">
        <v>291</v>
      </c>
      <c r="V1745" t="s">
        <v>292</v>
      </c>
      <c r="W1745" s="32">
        <f>IFERROR(VLOOKUP(TA[[#This Row],[Date]],Raw_Data[[Date]:[Sunset Time (POA&lt;20 W/m2)]],3,0),"")</f>
        <v>0.25763888888888886</v>
      </c>
      <c r="X1745" s="32">
        <f>IFERROR(VLOOKUP(TA[[#This Row],[Date]],Raw_Data[[Date]:[Sunset Time (POA&lt;20 W/m2)]],3,0),"")</f>
        <v>0.25763888888888886</v>
      </c>
      <c r="Y1745" s="26"/>
      <c r="Z1745" s="26">
        <v>0.76041666666666663</v>
      </c>
      <c r="AA1745" s="27">
        <f>IF(TA[[#This Row],[Work Start time on Fault]]="NA","",(TA[[#This Row],[Fault Acknowledgement Time ]]-TA[[#This Row],[Fault Time]])*24)</f>
        <v>0</v>
      </c>
      <c r="AB1745" s="27">
        <f>(TA[[#This Row],[Work Start time on Fault]]-TA[[#This Row],[Fault Time]])*24</f>
        <v>-6.1833333333333327</v>
      </c>
      <c r="AC1745" s="26">
        <f>(TA[[#This Row],[Work Completion time on fault]]-TA[[#This Row],[Fault Time]])*24</f>
        <v>12.066666666666666</v>
      </c>
      <c r="AD1745" s="27">
        <f>IFERROR((TA[[#This Row],[Work Completion time on fault]]-TA[[#This Row],[Fault Time]])*24,"")</f>
        <v>12.066666666666666</v>
      </c>
      <c r="AE1745" t="s">
        <v>300</v>
      </c>
      <c r="AF1745" t="s">
        <v>247</v>
      </c>
      <c r="AG1745" s="2"/>
      <c r="AH1745" s="35">
        <f>1-COS(RADIANS(TA[[#This Row],[Avg. Target Angle during Fault Time (Radians)]]-TA[[#This Row],[Angle of affected equipment ]]))</f>
        <v>0.11705240714107301</v>
      </c>
      <c r="AI1745" s="27">
        <f>IFERROR(TA[[#This Row],[Breakdown Time]]*TA[[#This Row],[Plant Equivalent Weightage]],"")</f>
        <v>6.9348659003831428E-2</v>
      </c>
    </row>
    <row r="1746" spans="1:35">
      <c r="A1746" s="2">
        <f t="shared" si="218"/>
        <v>1743</v>
      </c>
      <c r="B1746" s="143">
        <f t="shared" ref="B1746:B1758" si="223">YEAR(H1746)+IF(MONTH(H1746)&gt;=4,1,0)</f>
        <v>2026</v>
      </c>
      <c r="C1746" s="116">
        <f t="shared" ref="C1746:C1758" si="224">YEAR(H1746)</f>
        <v>2025</v>
      </c>
      <c r="D1746" s="2" t="s">
        <v>155</v>
      </c>
      <c r="E1746" s="2" t="s">
        <v>155</v>
      </c>
      <c r="F1746" s="30">
        <v>45870</v>
      </c>
      <c r="G1746" s="2">
        <f>DAY(EOMONTH(TA[[#This Row],[Month Year]],0))</f>
        <v>31</v>
      </c>
      <c r="H1746" s="21">
        <v>45871</v>
      </c>
      <c r="I1746" s="32">
        <f>IFERROR(VLOOKUP(TA[[#This Row],[Date]],Raw_Data[[Date]:[Sunset Time (POA&lt;20 W/m2)]],3,0),"")</f>
        <v>0.25694444444444442</v>
      </c>
      <c r="J1746" s="32">
        <f>IFERROR(VLOOKUP(TA[[#This Row],[Date]],Raw_Data[[Date]:[Sunset Time (POA&lt;20 W/m2)]],4,0),"")</f>
        <v>0.77777777777777779</v>
      </c>
      <c r="K1746" s="27">
        <f>IFERROR((TA[[#This Row],[Sunset Time (POA&lt;20 W/m2)]]-TA[[#This Row],[Sunrise Time (POA&gt;20 W/m2)]])*24,"")</f>
        <v>12.5</v>
      </c>
      <c r="L1746" s="2" t="s">
        <v>285</v>
      </c>
      <c r="M1746" s="33">
        <f>IFERROR(VLOOKUP(TA[[#This Row],[Affected Equipment]],'Basic Data'!$I$2:$K$40,3,0),"")</f>
        <v>1.7241379310344799E-3</v>
      </c>
      <c r="N1746">
        <v>-28</v>
      </c>
      <c r="O1746" t="s">
        <v>135</v>
      </c>
      <c r="P1746" s="114" t="s">
        <v>309</v>
      </c>
      <c r="Q1746" s="113" t="s">
        <v>309</v>
      </c>
      <c r="R1746">
        <v>131</v>
      </c>
      <c r="S1746" s="2">
        <v>38</v>
      </c>
      <c r="T1746" t="s">
        <v>286</v>
      </c>
      <c r="U1746" t="s">
        <v>291</v>
      </c>
      <c r="V1746" t="s">
        <v>289</v>
      </c>
      <c r="W1746" s="32"/>
      <c r="X1746" s="32"/>
      <c r="Y1746" s="26"/>
      <c r="Z1746" s="26"/>
      <c r="AA1746" s="27">
        <f>IF(TA[[#This Row],[Work Start time on Fault]]="NA","",(TA[[#This Row],[Fault Acknowledgement Time ]]-TA[[#This Row],[Fault Time]])*24)</f>
        <v>0</v>
      </c>
      <c r="AB1746" s="27">
        <f>(TA[[#This Row],[Work Start time on Fault]]-TA[[#This Row],[Fault Time]])*24</f>
        <v>0</v>
      </c>
      <c r="AC1746" s="26">
        <f>(TA[[#This Row],[Work Completion time on fault]]-TA[[#This Row],[Fault Time]])*24</f>
        <v>0</v>
      </c>
      <c r="AD1746" s="27">
        <f>IFERROR((TA[[#This Row],[Work Completion time on fault]]-TA[[#This Row],[Fault Time]])*24,"")</f>
        <v>0</v>
      </c>
      <c r="AE1746" t="s">
        <v>319</v>
      </c>
      <c r="AF1746" t="s">
        <v>247</v>
      </c>
      <c r="AG1746" s="2"/>
      <c r="AH1746" s="35">
        <f>1-COS(RADIANS(TA[[#This Row],[Avg. Target Angle during Fault Time (Radians)]]-TA[[#This Row],[Angle of affected equipment ]]))</f>
        <v>0.11705240714107301</v>
      </c>
      <c r="AI1746" s="27">
        <f>IFERROR(TA[[#This Row],[Breakdown Time]]*TA[[#This Row],[Plant Equivalent Weightage]],"")</f>
        <v>0</v>
      </c>
    </row>
    <row r="1747" spans="1:35">
      <c r="A1747" s="2">
        <f t="shared" si="218"/>
        <v>1744</v>
      </c>
      <c r="B1747" s="143">
        <f t="shared" si="223"/>
        <v>2026</v>
      </c>
      <c r="C1747" s="116">
        <f t="shared" si="224"/>
        <v>2025</v>
      </c>
      <c r="D1747" s="2" t="s">
        <v>155</v>
      </c>
      <c r="E1747" s="2" t="s">
        <v>155</v>
      </c>
      <c r="F1747" s="30">
        <v>45870</v>
      </c>
      <c r="G1747" s="2">
        <f>DAY(EOMONTH(TA[[#This Row],[Month Year]],0))</f>
        <v>31</v>
      </c>
      <c r="H1747" s="21">
        <v>45871</v>
      </c>
      <c r="I1747" s="32">
        <f>IFERROR(VLOOKUP(TA[[#This Row],[Date]],Raw_Data[[Date]:[Sunset Time (POA&lt;20 W/m2)]],3,0),"")</f>
        <v>0.25694444444444442</v>
      </c>
      <c r="J1747" s="32">
        <f>IFERROR(VLOOKUP(TA[[#This Row],[Date]],Raw_Data[[Date]:[Sunset Time (POA&lt;20 W/m2)]],4,0),"")</f>
        <v>0.77777777777777779</v>
      </c>
      <c r="K1747" s="27">
        <f>IFERROR((TA[[#This Row],[Sunset Time (POA&lt;20 W/m2)]]-TA[[#This Row],[Sunrise Time (POA&gt;20 W/m2)]])*24,"")</f>
        <v>12.5</v>
      </c>
      <c r="L1747" s="2" t="s">
        <v>285</v>
      </c>
      <c r="M1747" s="33">
        <f>IFERROR(VLOOKUP(TA[[#This Row],[Affected Equipment]],'Basic Data'!$I$2:$K$40,3,0),"")</f>
        <v>1.7241379310344799E-3</v>
      </c>
      <c r="N1747">
        <v>-28</v>
      </c>
      <c r="O1747" t="s">
        <v>135</v>
      </c>
      <c r="P1747" s="114" t="s">
        <v>309</v>
      </c>
      <c r="Q1747" s="113" t="s">
        <v>309</v>
      </c>
      <c r="R1747">
        <v>131</v>
      </c>
      <c r="S1747" s="2">
        <v>39</v>
      </c>
      <c r="T1747" t="s">
        <v>286</v>
      </c>
      <c r="U1747" t="s">
        <v>291</v>
      </c>
      <c r="V1747" t="s">
        <v>289</v>
      </c>
      <c r="W1747" s="32"/>
      <c r="X1747" s="32"/>
      <c r="Y1747" s="26"/>
      <c r="Z1747" s="26"/>
      <c r="AA1747" s="27">
        <f>IF(TA[[#This Row],[Work Start time on Fault]]="NA","",(TA[[#This Row],[Fault Acknowledgement Time ]]-TA[[#This Row],[Fault Time]])*24)</f>
        <v>0</v>
      </c>
      <c r="AB1747" s="27">
        <f>(TA[[#This Row],[Work Start time on Fault]]-TA[[#This Row],[Fault Time]])*24</f>
        <v>0</v>
      </c>
      <c r="AC1747" s="26">
        <f>(TA[[#This Row],[Work Completion time on fault]]-TA[[#This Row],[Fault Time]])*24</f>
        <v>0</v>
      </c>
      <c r="AD1747" s="27">
        <f>IFERROR((TA[[#This Row],[Work Completion time on fault]]-TA[[#This Row],[Fault Time]])*24,"")</f>
        <v>0</v>
      </c>
      <c r="AE1747" t="s">
        <v>319</v>
      </c>
      <c r="AF1747" t="s">
        <v>247</v>
      </c>
      <c r="AG1747" s="2"/>
      <c r="AH1747" s="35">
        <f>1-COS(RADIANS(TA[[#This Row],[Avg. Target Angle during Fault Time (Radians)]]-TA[[#This Row],[Angle of affected equipment ]]))</f>
        <v>0.11705240714107301</v>
      </c>
      <c r="AI1747" s="27">
        <f>IFERROR(TA[[#This Row],[Breakdown Time]]*TA[[#This Row],[Plant Equivalent Weightage]],"")</f>
        <v>0</v>
      </c>
    </row>
    <row r="1748" spans="1:35">
      <c r="A1748" s="2">
        <f t="shared" si="218"/>
        <v>1745</v>
      </c>
      <c r="B1748" s="143">
        <f t="shared" si="223"/>
        <v>2026</v>
      </c>
      <c r="C1748" s="116">
        <f t="shared" si="224"/>
        <v>2025</v>
      </c>
      <c r="D1748" s="2" t="s">
        <v>155</v>
      </c>
      <c r="E1748" s="2" t="s">
        <v>155</v>
      </c>
      <c r="F1748" s="30">
        <v>45870</v>
      </c>
      <c r="G1748" s="2">
        <f>DAY(EOMONTH(TA[[#This Row],[Month Year]],0))</f>
        <v>31</v>
      </c>
      <c r="H1748" s="21">
        <v>45871</v>
      </c>
      <c r="I1748" s="32">
        <f>IFERROR(VLOOKUP(TA[[#This Row],[Date]],Raw_Data[[Date]:[Sunset Time (POA&lt;20 W/m2)]],3,0),"")</f>
        <v>0.25694444444444442</v>
      </c>
      <c r="J1748" s="32">
        <f>IFERROR(VLOOKUP(TA[[#This Row],[Date]],Raw_Data[[Date]:[Sunset Time (POA&lt;20 W/m2)]],4,0),"")</f>
        <v>0.77777777777777779</v>
      </c>
      <c r="K1748" s="27">
        <f>IFERROR((TA[[#This Row],[Sunset Time (POA&lt;20 W/m2)]]-TA[[#This Row],[Sunrise Time (POA&gt;20 W/m2)]])*24,"")</f>
        <v>12.5</v>
      </c>
      <c r="L1748" s="2" t="s">
        <v>287</v>
      </c>
      <c r="M1748" s="33">
        <f>IFERROR(VLOOKUP(TA[[#This Row],[Affected Equipment]],'Basic Data'!$I$2:$K$40,3,0),"")</f>
        <v>8.6206896551724102E-3</v>
      </c>
      <c r="N1748">
        <v>-28</v>
      </c>
      <c r="O1748" t="s">
        <v>135</v>
      </c>
      <c r="P1748" s="114" t="s">
        <v>309</v>
      </c>
      <c r="Q1748" s="2" t="s">
        <v>312</v>
      </c>
      <c r="R1748">
        <v>133</v>
      </c>
      <c r="S1748" s="2">
        <v>26</v>
      </c>
      <c r="T1748" t="s">
        <v>288</v>
      </c>
      <c r="U1748" t="s">
        <v>291</v>
      </c>
      <c r="V1748" t="s">
        <v>305</v>
      </c>
      <c r="W1748" s="32">
        <f>IFERROR(VLOOKUP(TA[[#This Row],[Date]],Raw_Data[[Date]:[Sunset Time (POA&lt;20 W/m2)]],3,0),"")</f>
        <v>0.25694444444444442</v>
      </c>
      <c r="X1748" s="32">
        <f>IFERROR(VLOOKUP(TA[[#This Row],[Date]],Raw_Data[[Date]:[Sunset Time (POA&lt;20 W/m2)]],3,0),"")</f>
        <v>0.25694444444444442</v>
      </c>
      <c r="Y1748" s="26"/>
      <c r="Z1748" s="26">
        <v>0.76041666666666663</v>
      </c>
      <c r="AA1748" s="27">
        <f>IF(TA[[#This Row],[Work Start time on Fault]]="NA","",(TA[[#This Row],[Fault Acknowledgement Time ]]-TA[[#This Row],[Fault Time]])*24)</f>
        <v>0</v>
      </c>
      <c r="AB1748" s="27">
        <f>(TA[[#This Row],[Work Start time on Fault]]-TA[[#This Row],[Fault Time]])*24</f>
        <v>-6.1666666666666661</v>
      </c>
      <c r="AC1748" s="26">
        <f>(TA[[#This Row],[Work Completion time on fault]]-TA[[#This Row],[Fault Time]])*24</f>
        <v>12.083333333333332</v>
      </c>
      <c r="AD1748" s="27">
        <f>IFERROR((TA[[#This Row],[Work Completion time on fault]]-TA[[#This Row],[Fault Time]])*24,"")</f>
        <v>12.083333333333332</v>
      </c>
      <c r="AE1748" t="s">
        <v>319</v>
      </c>
      <c r="AF1748" t="s">
        <v>247</v>
      </c>
      <c r="AG1748" s="2"/>
      <c r="AH1748" s="35">
        <f>1-COS(RADIANS(TA[[#This Row],[Avg. Target Angle during Fault Time (Radians)]]-TA[[#This Row],[Angle of affected equipment ]]))</f>
        <v>0.11705240714107301</v>
      </c>
      <c r="AI1748" s="27">
        <f>IFERROR(TA[[#This Row],[Breakdown Time]]*TA[[#This Row],[Plant Equivalent Weightage]],"")</f>
        <v>0.10416666666666662</v>
      </c>
    </row>
    <row r="1749" spans="1:35">
      <c r="A1749" s="2">
        <f t="shared" si="218"/>
        <v>1746</v>
      </c>
      <c r="B1749" s="143">
        <f t="shared" si="223"/>
        <v>2026</v>
      </c>
      <c r="C1749" s="116">
        <f t="shared" si="224"/>
        <v>2025</v>
      </c>
      <c r="D1749" s="2" t="s">
        <v>155</v>
      </c>
      <c r="E1749" s="2" t="s">
        <v>155</v>
      </c>
      <c r="F1749" s="30">
        <v>45870</v>
      </c>
      <c r="G1749" s="2">
        <f>DAY(EOMONTH(TA[[#This Row],[Month Year]],0))</f>
        <v>31</v>
      </c>
      <c r="H1749" s="21">
        <v>45871</v>
      </c>
      <c r="I1749" s="32">
        <f>IFERROR(VLOOKUP(TA[[#This Row],[Date]],Raw_Data[[Date]:[Sunset Time (POA&lt;20 W/m2)]],3,0),"")</f>
        <v>0.25694444444444442</v>
      </c>
      <c r="J1749" s="32">
        <f>IFERROR(VLOOKUP(TA[[#This Row],[Date]],Raw_Data[[Date]:[Sunset Time (POA&lt;20 W/m2)]],4,0),"")</f>
        <v>0.77777777777777779</v>
      </c>
      <c r="K1749" s="27">
        <f>IFERROR((TA[[#This Row],[Sunset Time (POA&lt;20 W/m2)]]-TA[[#This Row],[Sunrise Time (POA&gt;20 W/m2)]])*24,"")</f>
        <v>12.5</v>
      </c>
      <c r="L1749" s="2" t="s">
        <v>285</v>
      </c>
      <c r="M1749" s="33">
        <f>IFERROR(VLOOKUP(TA[[#This Row],[Affected Equipment]],'Basic Data'!$I$2:$K$40,3,0),"")</f>
        <v>1.7241379310344799E-3</v>
      </c>
      <c r="N1749">
        <v>-28</v>
      </c>
      <c r="O1749" t="s">
        <v>133</v>
      </c>
      <c r="P1749" s="114" t="s">
        <v>307</v>
      </c>
      <c r="Q1749" s="113" t="s">
        <v>308</v>
      </c>
      <c r="R1749">
        <v>7</v>
      </c>
      <c r="S1749" s="2">
        <v>32</v>
      </c>
      <c r="T1749" t="s">
        <v>286</v>
      </c>
      <c r="U1749" t="s">
        <v>291</v>
      </c>
      <c r="V1749" t="s">
        <v>289</v>
      </c>
      <c r="W1749" s="32"/>
      <c r="X1749" s="32"/>
      <c r="Y1749" s="26"/>
      <c r="Z1749" s="26"/>
      <c r="AA1749" s="27">
        <f>IF(TA[[#This Row],[Work Start time on Fault]]="NA","",(TA[[#This Row],[Fault Acknowledgement Time ]]-TA[[#This Row],[Fault Time]])*24)</f>
        <v>0</v>
      </c>
      <c r="AB1749" s="27">
        <f>(TA[[#This Row],[Work Start time on Fault]]-TA[[#This Row],[Fault Time]])*24</f>
        <v>0</v>
      </c>
      <c r="AC1749" s="26">
        <f>(TA[[#This Row],[Work Completion time on fault]]-TA[[#This Row],[Fault Time]])*24</f>
        <v>0</v>
      </c>
      <c r="AD1749" s="27">
        <f>IFERROR((TA[[#This Row],[Work Completion time on fault]]-TA[[#This Row],[Fault Time]])*24,"")</f>
        <v>0</v>
      </c>
      <c r="AE1749" t="s">
        <v>319</v>
      </c>
      <c r="AF1749" t="s">
        <v>247</v>
      </c>
      <c r="AG1749" s="2"/>
      <c r="AH1749" s="35">
        <f>1-COS(RADIANS(TA[[#This Row],[Avg. Target Angle during Fault Time (Radians)]]-TA[[#This Row],[Angle of affected equipment ]]))</f>
        <v>0.11705240714107301</v>
      </c>
      <c r="AI1749" s="27">
        <f>IFERROR(TA[[#This Row],[Breakdown Time]]*TA[[#This Row],[Plant Equivalent Weightage]],"")</f>
        <v>0</v>
      </c>
    </row>
    <row r="1750" spans="1:35">
      <c r="A1750" s="2">
        <f t="shared" si="218"/>
        <v>1747</v>
      </c>
      <c r="B1750" s="143">
        <f t="shared" si="223"/>
        <v>2026</v>
      </c>
      <c r="C1750" s="116">
        <f t="shared" si="224"/>
        <v>2025</v>
      </c>
      <c r="D1750" s="2" t="s">
        <v>155</v>
      </c>
      <c r="E1750" s="2" t="s">
        <v>155</v>
      </c>
      <c r="F1750" s="30">
        <v>45870</v>
      </c>
      <c r="G1750" s="2">
        <f>DAY(EOMONTH(TA[[#This Row],[Month Year]],0))</f>
        <v>31</v>
      </c>
      <c r="H1750" s="21">
        <v>45871</v>
      </c>
      <c r="I1750" s="32">
        <f>IFERROR(VLOOKUP(TA[[#This Row],[Date]],Raw_Data[[Date]:[Sunset Time (POA&lt;20 W/m2)]],3,0),"")</f>
        <v>0.25694444444444442</v>
      </c>
      <c r="J1750" s="32">
        <f>IFERROR(VLOOKUP(TA[[#This Row],[Date]],Raw_Data[[Date]:[Sunset Time (POA&lt;20 W/m2)]],4,0),"")</f>
        <v>0.77777777777777779</v>
      </c>
      <c r="K1750" s="27">
        <f>IFERROR((TA[[#This Row],[Sunset Time (POA&lt;20 W/m2)]]-TA[[#This Row],[Sunrise Time (POA&gt;20 W/m2)]])*24,"")</f>
        <v>12.5</v>
      </c>
      <c r="L1750" s="2" t="s">
        <v>285</v>
      </c>
      <c r="M1750" s="33">
        <f>IFERROR(VLOOKUP(TA[[#This Row],[Affected Equipment]],'Basic Data'!$I$2:$K$40,3,0),"")</f>
        <v>1.7241379310344799E-3</v>
      </c>
      <c r="N1750">
        <v>-28</v>
      </c>
      <c r="O1750" t="s">
        <v>137</v>
      </c>
      <c r="P1750" s="114" t="s">
        <v>306</v>
      </c>
      <c r="Q1750" s="113" t="s">
        <v>310</v>
      </c>
      <c r="R1750">
        <v>166</v>
      </c>
      <c r="S1750" s="2">
        <v>91</v>
      </c>
      <c r="T1750" t="s">
        <v>286</v>
      </c>
      <c r="U1750" t="s">
        <v>291</v>
      </c>
      <c r="V1750" t="s">
        <v>289</v>
      </c>
      <c r="W1750" s="32"/>
      <c r="X1750" s="32"/>
      <c r="Y1750" s="26"/>
      <c r="Z1750" s="26"/>
      <c r="AA1750" s="27">
        <f>IF(TA[[#This Row],[Work Start time on Fault]]="NA","",(TA[[#This Row],[Fault Acknowledgement Time ]]-TA[[#This Row],[Fault Time]])*24)</f>
        <v>0</v>
      </c>
      <c r="AB1750" s="27">
        <f>(TA[[#This Row],[Work Start time on Fault]]-TA[[#This Row],[Fault Time]])*24</f>
        <v>0</v>
      </c>
      <c r="AC1750" s="26">
        <f>(TA[[#This Row],[Work Completion time on fault]]-TA[[#This Row],[Fault Time]])*24</f>
        <v>0</v>
      </c>
      <c r="AD1750" s="27">
        <f>IFERROR((TA[[#This Row],[Work Completion time on fault]]-TA[[#This Row],[Fault Time]])*24,"")</f>
        <v>0</v>
      </c>
      <c r="AE1750" t="s">
        <v>319</v>
      </c>
      <c r="AF1750" t="s">
        <v>247</v>
      </c>
      <c r="AG1750" s="2"/>
      <c r="AH1750" s="35">
        <f>1-COS(RADIANS(TA[[#This Row],[Avg. Target Angle during Fault Time (Radians)]]-TA[[#This Row],[Angle of affected equipment ]]))</f>
        <v>0.11705240714107301</v>
      </c>
      <c r="AI1750" s="27">
        <f>IFERROR(TA[[#This Row],[Breakdown Time]]*TA[[#This Row],[Plant Equivalent Weightage]],"")</f>
        <v>0</v>
      </c>
    </row>
    <row r="1751" spans="1:35">
      <c r="A1751" s="2">
        <f t="shared" si="218"/>
        <v>1748</v>
      </c>
      <c r="B1751" s="143">
        <f t="shared" si="223"/>
        <v>2026</v>
      </c>
      <c r="C1751" s="116">
        <f t="shared" si="224"/>
        <v>2025</v>
      </c>
      <c r="D1751" s="2" t="s">
        <v>155</v>
      </c>
      <c r="E1751" s="2" t="s">
        <v>155</v>
      </c>
      <c r="F1751" s="30">
        <v>45870</v>
      </c>
      <c r="G1751" s="2">
        <f>DAY(EOMONTH(TA[[#This Row],[Month Year]],0))</f>
        <v>31</v>
      </c>
      <c r="H1751" s="21">
        <v>45871</v>
      </c>
      <c r="I1751" s="32">
        <f>IFERROR(VLOOKUP(TA[[#This Row],[Date]],Raw_Data[[Date]:[Sunset Time (POA&lt;20 W/m2)]],3,0),"")</f>
        <v>0.25694444444444442</v>
      </c>
      <c r="J1751" s="32">
        <f>IFERROR(VLOOKUP(TA[[#This Row],[Date]],Raw_Data[[Date]:[Sunset Time (POA&lt;20 W/m2)]],4,0),"")</f>
        <v>0.77777777777777779</v>
      </c>
      <c r="K1751" s="27">
        <f>IFERROR((TA[[#This Row],[Sunset Time (POA&lt;20 W/m2)]]-TA[[#This Row],[Sunrise Time (POA&gt;20 W/m2)]])*24,"")</f>
        <v>12.5</v>
      </c>
      <c r="L1751" s="2" t="s">
        <v>285</v>
      </c>
      <c r="M1751" s="33">
        <f>IFERROR(VLOOKUP(TA[[#This Row],[Affected Equipment]],'Basic Data'!$I$2:$K$40,3,0),"")</f>
        <v>1.7241379310344799E-3</v>
      </c>
      <c r="N1751">
        <v>-28</v>
      </c>
      <c r="O1751" t="s">
        <v>133</v>
      </c>
      <c r="P1751" s="114" t="s">
        <v>307</v>
      </c>
      <c r="Q1751" s="113" t="s">
        <v>307</v>
      </c>
      <c r="R1751">
        <v>117</v>
      </c>
      <c r="S1751" s="2">
        <v>20</v>
      </c>
      <c r="T1751" t="s">
        <v>286</v>
      </c>
      <c r="U1751" t="s">
        <v>291</v>
      </c>
      <c r="V1751" t="s">
        <v>289</v>
      </c>
      <c r="W1751" s="32"/>
      <c r="X1751" s="32"/>
      <c r="Y1751" s="26"/>
      <c r="Z1751" s="26"/>
      <c r="AA1751" s="27">
        <f>IF(TA[[#This Row],[Work Start time on Fault]]="NA","",(TA[[#This Row],[Fault Acknowledgement Time ]]-TA[[#This Row],[Fault Time]])*24)</f>
        <v>0</v>
      </c>
      <c r="AB1751" s="27">
        <f>(TA[[#This Row],[Work Start time on Fault]]-TA[[#This Row],[Fault Time]])*24</f>
        <v>0</v>
      </c>
      <c r="AC1751" s="26">
        <f>(TA[[#This Row],[Work Completion time on fault]]-TA[[#This Row],[Fault Time]])*24</f>
        <v>0</v>
      </c>
      <c r="AD1751" s="27">
        <f>IFERROR((TA[[#This Row],[Work Completion time on fault]]-TA[[#This Row],[Fault Time]])*24,"")</f>
        <v>0</v>
      </c>
      <c r="AE1751" t="s">
        <v>319</v>
      </c>
      <c r="AF1751" t="s">
        <v>247</v>
      </c>
      <c r="AG1751" s="2"/>
      <c r="AH1751" s="35">
        <f>1-COS(RADIANS(TA[[#This Row],[Avg. Target Angle during Fault Time (Radians)]]-TA[[#This Row],[Angle of affected equipment ]]))</f>
        <v>0.11705240714107301</v>
      </c>
      <c r="AI1751" s="27">
        <f>IFERROR(TA[[#This Row],[Breakdown Time]]*TA[[#This Row],[Plant Equivalent Weightage]],"")</f>
        <v>0</v>
      </c>
    </row>
    <row r="1752" spans="1:35">
      <c r="A1752" s="2">
        <f t="shared" si="218"/>
        <v>1749</v>
      </c>
      <c r="B1752" s="143">
        <f t="shared" si="223"/>
        <v>2026</v>
      </c>
      <c r="C1752" s="116">
        <f t="shared" si="224"/>
        <v>2025</v>
      </c>
      <c r="D1752" s="2" t="s">
        <v>155</v>
      </c>
      <c r="E1752" s="2" t="s">
        <v>155</v>
      </c>
      <c r="F1752" s="30">
        <v>45870</v>
      </c>
      <c r="G1752" s="2">
        <f>DAY(EOMONTH(TA[[#This Row],[Month Year]],0))</f>
        <v>31</v>
      </c>
      <c r="H1752" s="21">
        <v>45871</v>
      </c>
      <c r="I1752" s="32">
        <f>IFERROR(VLOOKUP(TA[[#This Row],[Date]],Raw_Data[[Date]:[Sunset Time (POA&lt;20 W/m2)]],3,0),"")</f>
        <v>0.25694444444444442</v>
      </c>
      <c r="J1752" s="32">
        <f>IFERROR(VLOOKUP(TA[[#This Row],[Date]],Raw_Data[[Date]:[Sunset Time (POA&lt;20 W/m2)]],4,0),"")</f>
        <v>0.77777777777777779</v>
      </c>
      <c r="K1752" s="27">
        <f>IFERROR((TA[[#This Row],[Sunset Time (POA&lt;20 W/m2)]]-TA[[#This Row],[Sunrise Time (POA&gt;20 W/m2)]])*24,"")</f>
        <v>12.5</v>
      </c>
      <c r="L1752" s="2" t="s">
        <v>285</v>
      </c>
      <c r="M1752" s="33">
        <f>IFERROR(VLOOKUP(TA[[#This Row],[Affected Equipment]],'Basic Data'!$I$2:$K$40,3,0),"")</f>
        <v>1.7241379310344799E-3</v>
      </c>
      <c r="N1752">
        <v>-28</v>
      </c>
      <c r="O1752" t="s">
        <v>133</v>
      </c>
      <c r="P1752" s="114" t="s">
        <v>307</v>
      </c>
      <c r="Q1752" s="113" t="s">
        <v>307</v>
      </c>
      <c r="R1752">
        <v>118</v>
      </c>
      <c r="S1752" s="2">
        <v>22</v>
      </c>
      <c r="T1752" t="s">
        <v>286</v>
      </c>
      <c r="U1752" t="s">
        <v>291</v>
      </c>
      <c r="V1752" t="s">
        <v>289</v>
      </c>
      <c r="W1752" s="32"/>
      <c r="X1752" s="32"/>
      <c r="Y1752" s="26"/>
      <c r="Z1752" s="26"/>
      <c r="AA1752" s="27">
        <f>IF(TA[[#This Row],[Work Start time on Fault]]="NA","",(TA[[#This Row],[Fault Acknowledgement Time ]]-TA[[#This Row],[Fault Time]])*24)</f>
        <v>0</v>
      </c>
      <c r="AB1752" s="27">
        <f>(TA[[#This Row],[Work Start time on Fault]]-TA[[#This Row],[Fault Time]])*24</f>
        <v>0</v>
      </c>
      <c r="AC1752" s="26">
        <f>(TA[[#This Row],[Work Completion time on fault]]-TA[[#This Row],[Fault Time]])*24</f>
        <v>0</v>
      </c>
      <c r="AD1752" s="27">
        <f>IFERROR((TA[[#This Row],[Work Completion time on fault]]-TA[[#This Row],[Fault Time]])*24,"")</f>
        <v>0</v>
      </c>
      <c r="AE1752" t="s">
        <v>319</v>
      </c>
      <c r="AF1752" t="s">
        <v>247</v>
      </c>
      <c r="AG1752" s="2"/>
      <c r="AH1752" s="35">
        <f>1-COS(RADIANS(TA[[#This Row],[Avg. Target Angle during Fault Time (Radians)]]-TA[[#This Row],[Angle of affected equipment ]]))</f>
        <v>0.11705240714107301</v>
      </c>
      <c r="AI1752" s="27">
        <f>IFERROR(TA[[#This Row],[Breakdown Time]]*TA[[#This Row],[Plant Equivalent Weightage]],"")</f>
        <v>0</v>
      </c>
    </row>
    <row r="1753" spans="1:35">
      <c r="A1753" s="2">
        <f t="shared" si="218"/>
        <v>1750</v>
      </c>
      <c r="B1753" s="143">
        <f t="shared" si="223"/>
        <v>2026</v>
      </c>
      <c r="C1753" s="116">
        <f t="shared" si="224"/>
        <v>2025</v>
      </c>
      <c r="D1753" s="2" t="s">
        <v>155</v>
      </c>
      <c r="E1753" s="2" t="s">
        <v>155</v>
      </c>
      <c r="F1753" s="30">
        <v>45870</v>
      </c>
      <c r="G1753" s="2">
        <f>DAY(EOMONTH(TA[[#This Row],[Month Year]],0))</f>
        <v>31</v>
      </c>
      <c r="H1753" s="21">
        <v>45871</v>
      </c>
      <c r="I1753" s="32">
        <f>IFERROR(VLOOKUP(TA[[#This Row],[Date]],Raw_Data[[Date]:[Sunset Time (POA&lt;20 W/m2)]],3,0),"")</f>
        <v>0.25694444444444442</v>
      </c>
      <c r="J1753" s="32">
        <f>IFERROR(VLOOKUP(TA[[#This Row],[Date]],Raw_Data[[Date]:[Sunset Time (POA&lt;20 W/m2)]],4,0),"")</f>
        <v>0.77777777777777779</v>
      </c>
      <c r="K1753" s="27">
        <f>IFERROR((TA[[#This Row],[Sunset Time (POA&lt;20 W/m2)]]-TA[[#This Row],[Sunrise Time (POA&gt;20 W/m2)]])*24,"")</f>
        <v>12.5</v>
      </c>
      <c r="L1753" s="2" t="s">
        <v>287</v>
      </c>
      <c r="M1753" s="33">
        <f>IFERROR(VLOOKUP(TA[[#This Row],[Affected Equipment]],'Basic Data'!$I$2:$K$40,3,0),"")</f>
        <v>8.6206896551724102E-3</v>
      </c>
      <c r="N1753">
        <v>-28</v>
      </c>
      <c r="O1753" t="s">
        <v>135</v>
      </c>
      <c r="P1753" s="22" t="s">
        <v>314</v>
      </c>
      <c r="Q1753" s="2" t="s">
        <v>320</v>
      </c>
      <c r="R1753">
        <v>45</v>
      </c>
      <c r="S1753" s="2">
        <v>8</v>
      </c>
      <c r="T1753" t="s">
        <v>288</v>
      </c>
      <c r="U1753" t="s">
        <v>291</v>
      </c>
      <c r="V1753" t="s">
        <v>292</v>
      </c>
      <c r="W1753" s="32"/>
      <c r="X1753" s="32"/>
      <c r="Y1753" s="26"/>
      <c r="Z1753" s="26"/>
      <c r="AA1753" s="27">
        <f>IF(TA[[#This Row],[Work Start time on Fault]]="NA","",(TA[[#This Row],[Fault Acknowledgement Time ]]-TA[[#This Row],[Fault Time]])*24)</f>
        <v>0</v>
      </c>
      <c r="AB1753" s="27">
        <f>(TA[[#This Row],[Work Start time on Fault]]-TA[[#This Row],[Fault Time]])*24</f>
        <v>0</v>
      </c>
      <c r="AC1753" s="26">
        <f>(TA[[#This Row],[Work Completion time on fault]]-TA[[#This Row],[Fault Time]])*24</f>
        <v>0</v>
      </c>
      <c r="AD1753" s="27">
        <f>IFERROR((TA[[#This Row],[Work Completion time on fault]]-TA[[#This Row],[Fault Time]])*24,"")</f>
        <v>0</v>
      </c>
      <c r="AE1753" t="s">
        <v>319</v>
      </c>
      <c r="AF1753" t="s">
        <v>247</v>
      </c>
      <c r="AG1753" s="2"/>
      <c r="AH1753" s="35">
        <f>1-COS(RADIANS(TA[[#This Row],[Avg. Target Angle during Fault Time (Radians)]]-TA[[#This Row],[Angle of affected equipment ]]))</f>
        <v>0.11705240714107301</v>
      </c>
      <c r="AI1753" s="27">
        <f>IFERROR(TA[[#This Row],[Breakdown Time]]*TA[[#This Row],[Plant Equivalent Weightage]],"")</f>
        <v>0</v>
      </c>
    </row>
    <row r="1754" spans="1:35">
      <c r="A1754" s="2">
        <f t="shared" si="218"/>
        <v>1751</v>
      </c>
      <c r="B1754" s="143">
        <f t="shared" si="223"/>
        <v>2026</v>
      </c>
      <c r="C1754" s="116">
        <f t="shared" si="224"/>
        <v>2025</v>
      </c>
      <c r="D1754" s="2" t="s">
        <v>155</v>
      </c>
      <c r="E1754" s="2" t="s">
        <v>155</v>
      </c>
      <c r="F1754" s="30">
        <v>45870</v>
      </c>
      <c r="G1754" s="2">
        <f>DAY(EOMONTH(TA[[#This Row],[Month Year]],0))</f>
        <v>31</v>
      </c>
      <c r="H1754" s="21">
        <v>45871</v>
      </c>
      <c r="I1754" s="32">
        <f>IFERROR(VLOOKUP(TA[[#This Row],[Date]],Raw_Data[[Date]:[Sunset Time (POA&lt;20 W/m2)]],3,0),"")</f>
        <v>0.25694444444444442</v>
      </c>
      <c r="J1754" s="32">
        <f>IFERROR(VLOOKUP(TA[[#This Row],[Date]],Raw_Data[[Date]:[Sunset Time (POA&lt;20 W/m2)]],4,0),"")</f>
        <v>0.77777777777777779</v>
      </c>
      <c r="K1754" s="27">
        <f>IFERROR((TA[[#This Row],[Sunset Time (POA&lt;20 W/m2)]]-TA[[#This Row],[Sunrise Time (POA&gt;20 W/m2)]])*24,"")</f>
        <v>12.5</v>
      </c>
      <c r="L1754" s="2" t="s">
        <v>287</v>
      </c>
      <c r="M1754" s="33">
        <f>IFERROR(VLOOKUP(TA[[#This Row],[Affected Equipment]],'Basic Data'!$I$2:$K$40,3,0),"")</f>
        <v>8.6206896551724102E-3</v>
      </c>
      <c r="N1754">
        <v>-28</v>
      </c>
      <c r="O1754" t="s">
        <v>135</v>
      </c>
      <c r="P1754" s="22" t="s">
        <v>314</v>
      </c>
      <c r="Q1754" s="2" t="s">
        <v>320</v>
      </c>
      <c r="R1754">
        <v>47</v>
      </c>
      <c r="S1754" s="2">
        <v>18</v>
      </c>
      <c r="T1754" t="s">
        <v>288</v>
      </c>
      <c r="U1754" t="s">
        <v>291</v>
      </c>
      <c r="V1754" t="s">
        <v>292</v>
      </c>
      <c r="W1754" s="32"/>
      <c r="X1754" s="32"/>
      <c r="Y1754" s="26"/>
      <c r="Z1754" s="26"/>
      <c r="AA1754" s="27">
        <f>IF(TA[[#This Row],[Work Start time on Fault]]="NA","",(TA[[#This Row],[Fault Acknowledgement Time ]]-TA[[#This Row],[Fault Time]])*24)</f>
        <v>0</v>
      </c>
      <c r="AB1754" s="27">
        <f>(TA[[#This Row],[Work Start time on Fault]]-TA[[#This Row],[Fault Time]])*24</f>
        <v>0</v>
      </c>
      <c r="AC1754" s="26">
        <f>(TA[[#This Row],[Work Completion time on fault]]-TA[[#This Row],[Fault Time]])*24</f>
        <v>0</v>
      </c>
      <c r="AD1754" s="27">
        <f>IFERROR((TA[[#This Row],[Work Completion time on fault]]-TA[[#This Row],[Fault Time]])*24,"")</f>
        <v>0</v>
      </c>
      <c r="AE1754" t="s">
        <v>319</v>
      </c>
      <c r="AF1754" t="s">
        <v>247</v>
      </c>
      <c r="AG1754" s="2"/>
      <c r="AH1754" s="35">
        <f>1-COS(RADIANS(TA[[#This Row],[Avg. Target Angle during Fault Time (Radians)]]-TA[[#This Row],[Angle of affected equipment ]]))</f>
        <v>0.11705240714107301</v>
      </c>
      <c r="AI1754" s="27">
        <f>IFERROR(TA[[#This Row],[Breakdown Time]]*TA[[#This Row],[Plant Equivalent Weightage]],"")</f>
        <v>0</v>
      </c>
    </row>
    <row r="1755" spans="1:35">
      <c r="A1755" s="2">
        <f t="shared" si="218"/>
        <v>1752</v>
      </c>
      <c r="B1755" s="143">
        <f t="shared" si="223"/>
        <v>2026</v>
      </c>
      <c r="C1755" s="116">
        <f t="shared" si="224"/>
        <v>2025</v>
      </c>
      <c r="D1755" s="2" t="s">
        <v>155</v>
      </c>
      <c r="E1755" s="2" t="s">
        <v>155</v>
      </c>
      <c r="F1755" s="30">
        <v>45870</v>
      </c>
      <c r="G1755" s="2">
        <f>DAY(EOMONTH(TA[[#This Row],[Month Year]],0))</f>
        <v>31</v>
      </c>
      <c r="H1755" s="21">
        <v>45871</v>
      </c>
      <c r="I1755" s="32">
        <f>IFERROR(VLOOKUP(TA[[#This Row],[Date]],Raw_Data[[Date]:[Sunset Time (POA&lt;20 W/m2)]],3,0),"")</f>
        <v>0.25694444444444442</v>
      </c>
      <c r="J1755" s="32">
        <f>IFERROR(VLOOKUP(TA[[#This Row],[Date]],Raw_Data[[Date]:[Sunset Time (POA&lt;20 W/m2)]],4,0),"")</f>
        <v>0.77777777777777779</v>
      </c>
      <c r="K1755" s="27">
        <f>IFERROR((TA[[#This Row],[Sunset Time (POA&lt;20 W/m2)]]-TA[[#This Row],[Sunrise Time (POA&gt;20 W/m2)]])*24,"")</f>
        <v>12.5</v>
      </c>
      <c r="L1755" s="2" t="s">
        <v>287</v>
      </c>
      <c r="M1755" s="33">
        <f>IFERROR(VLOOKUP(TA[[#This Row],[Affected Equipment]],'Basic Data'!$I$2:$K$40,3,0),"")</f>
        <v>8.6206896551724102E-3</v>
      </c>
      <c r="N1755">
        <v>-28</v>
      </c>
      <c r="O1755" t="s">
        <v>134</v>
      </c>
      <c r="P1755" s="22" t="s">
        <v>321</v>
      </c>
      <c r="Q1755" s="2" t="s">
        <v>314</v>
      </c>
      <c r="R1755">
        <v>30</v>
      </c>
      <c r="S1755" s="2">
        <v>57</v>
      </c>
      <c r="T1755" t="s">
        <v>288</v>
      </c>
      <c r="U1755" t="s">
        <v>291</v>
      </c>
      <c r="V1755" t="s">
        <v>292</v>
      </c>
      <c r="W1755" s="32"/>
      <c r="X1755" s="32"/>
      <c r="Y1755" s="26"/>
      <c r="Z1755" s="26"/>
      <c r="AA1755" s="27">
        <f>IF(TA[[#This Row],[Work Start time on Fault]]="NA","",(TA[[#This Row],[Fault Acknowledgement Time ]]-TA[[#This Row],[Fault Time]])*24)</f>
        <v>0</v>
      </c>
      <c r="AB1755" s="27">
        <f>(TA[[#This Row],[Work Start time on Fault]]-TA[[#This Row],[Fault Time]])*24</f>
        <v>0</v>
      </c>
      <c r="AC1755" s="26">
        <f>(TA[[#This Row],[Work Completion time on fault]]-TA[[#This Row],[Fault Time]])*24</f>
        <v>0</v>
      </c>
      <c r="AD1755" s="27">
        <f>IFERROR((TA[[#This Row],[Work Completion time on fault]]-TA[[#This Row],[Fault Time]])*24,"")</f>
        <v>0</v>
      </c>
      <c r="AE1755" t="s">
        <v>319</v>
      </c>
      <c r="AF1755" t="s">
        <v>247</v>
      </c>
      <c r="AG1755" s="2"/>
      <c r="AH1755" s="35">
        <f>1-COS(RADIANS(TA[[#This Row],[Avg. Target Angle during Fault Time (Radians)]]-TA[[#This Row],[Angle of affected equipment ]]))</f>
        <v>0.11705240714107301</v>
      </c>
      <c r="AI1755" s="27">
        <f>IFERROR(TA[[#This Row],[Breakdown Time]]*TA[[#This Row],[Plant Equivalent Weightage]],"")</f>
        <v>0</v>
      </c>
    </row>
    <row r="1756" spans="1:35">
      <c r="A1756" s="2">
        <f t="shared" si="218"/>
        <v>1753</v>
      </c>
      <c r="B1756" s="143">
        <f t="shared" si="223"/>
        <v>2026</v>
      </c>
      <c r="C1756" s="116">
        <f t="shared" si="224"/>
        <v>2025</v>
      </c>
      <c r="D1756" s="2" t="s">
        <v>155</v>
      </c>
      <c r="E1756" s="2" t="s">
        <v>155</v>
      </c>
      <c r="F1756" s="30">
        <v>45870</v>
      </c>
      <c r="G1756" s="2">
        <f>DAY(EOMONTH(TA[[#This Row],[Month Year]],0))</f>
        <v>31</v>
      </c>
      <c r="H1756" s="21">
        <v>45871</v>
      </c>
      <c r="I1756" s="32">
        <f>IFERROR(VLOOKUP(TA[[#This Row],[Date]],Raw_Data[[Date]:[Sunset Time (POA&lt;20 W/m2)]],3,0),"")</f>
        <v>0.25694444444444442</v>
      </c>
      <c r="J1756" s="32">
        <f>IFERROR(VLOOKUP(TA[[#This Row],[Date]],Raw_Data[[Date]:[Sunset Time (POA&lt;20 W/m2)]],4,0),"")</f>
        <v>0.77777777777777779</v>
      </c>
      <c r="K1756" s="27">
        <f>IFERROR((TA[[#This Row],[Sunset Time (POA&lt;20 W/m2)]]-TA[[#This Row],[Sunrise Time (POA&gt;20 W/m2)]])*24,"")</f>
        <v>12.5</v>
      </c>
      <c r="L1756" s="2" t="s">
        <v>287</v>
      </c>
      <c r="M1756" s="33">
        <f>IFERROR(VLOOKUP(TA[[#This Row],[Affected Equipment]],'Basic Data'!$I$2:$K$40,3,0),"")</f>
        <v>8.6206896551724102E-3</v>
      </c>
      <c r="N1756">
        <v>-28</v>
      </c>
      <c r="O1756" t="s">
        <v>134</v>
      </c>
      <c r="P1756" s="22" t="s">
        <v>321</v>
      </c>
      <c r="Q1756" s="2" t="s">
        <v>314</v>
      </c>
      <c r="R1756">
        <v>31</v>
      </c>
      <c r="S1756" s="2">
        <v>61</v>
      </c>
      <c r="T1756" t="s">
        <v>288</v>
      </c>
      <c r="U1756" t="s">
        <v>291</v>
      </c>
      <c r="V1756" t="s">
        <v>292</v>
      </c>
      <c r="W1756" s="32"/>
      <c r="X1756" s="32"/>
      <c r="Y1756" s="26"/>
      <c r="Z1756" s="26"/>
      <c r="AA1756" s="27">
        <f>IF(TA[[#This Row],[Work Start time on Fault]]="NA","",(TA[[#This Row],[Fault Acknowledgement Time ]]-TA[[#This Row],[Fault Time]])*24)</f>
        <v>0</v>
      </c>
      <c r="AB1756" s="27">
        <f>(TA[[#This Row],[Work Start time on Fault]]-TA[[#This Row],[Fault Time]])*24</f>
        <v>0</v>
      </c>
      <c r="AC1756" s="26">
        <f>(TA[[#This Row],[Work Completion time on fault]]-TA[[#This Row],[Fault Time]])*24</f>
        <v>0</v>
      </c>
      <c r="AD1756" s="27">
        <f>IFERROR((TA[[#This Row],[Work Completion time on fault]]-TA[[#This Row],[Fault Time]])*24,"")</f>
        <v>0</v>
      </c>
      <c r="AE1756" t="s">
        <v>319</v>
      </c>
      <c r="AF1756" t="s">
        <v>247</v>
      </c>
      <c r="AG1756" s="2"/>
      <c r="AH1756" s="35">
        <f>1-COS(RADIANS(TA[[#This Row],[Avg. Target Angle during Fault Time (Radians)]]-TA[[#This Row],[Angle of affected equipment ]]))</f>
        <v>0.11705240714107301</v>
      </c>
      <c r="AI1756" s="27">
        <f>IFERROR(TA[[#This Row],[Breakdown Time]]*TA[[#This Row],[Plant Equivalent Weightage]],"")</f>
        <v>0</v>
      </c>
    </row>
    <row r="1757" spans="1:35">
      <c r="A1757" s="2">
        <f t="shared" si="218"/>
        <v>1754</v>
      </c>
      <c r="B1757" s="143">
        <f t="shared" si="223"/>
        <v>2026</v>
      </c>
      <c r="C1757" s="116">
        <f t="shared" si="224"/>
        <v>2025</v>
      </c>
      <c r="D1757" s="2" t="s">
        <v>155</v>
      </c>
      <c r="E1757" s="2" t="s">
        <v>155</v>
      </c>
      <c r="F1757" s="30">
        <v>45870</v>
      </c>
      <c r="G1757" s="2">
        <f>DAY(EOMONTH(TA[[#This Row],[Month Year]],0))</f>
        <v>31</v>
      </c>
      <c r="H1757" s="21">
        <v>45871</v>
      </c>
      <c r="I1757" s="32">
        <f>IFERROR(VLOOKUP(TA[[#This Row],[Date]],Raw_Data[[Date]:[Sunset Time (POA&lt;20 W/m2)]],3,0),"")</f>
        <v>0.25694444444444442</v>
      </c>
      <c r="J1757" s="32">
        <f>IFERROR(VLOOKUP(TA[[#This Row],[Date]],Raw_Data[[Date]:[Sunset Time (POA&lt;20 W/m2)]],4,0),"")</f>
        <v>0.77777777777777779</v>
      </c>
      <c r="K1757" s="27">
        <f>IFERROR((TA[[#This Row],[Sunset Time (POA&lt;20 W/m2)]]-TA[[#This Row],[Sunrise Time (POA&gt;20 W/m2)]])*24,"")</f>
        <v>12.5</v>
      </c>
      <c r="L1757" s="2" t="s">
        <v>303</v>
      </c>
      <c r="M1757" s="33">
        <f>IFERROR(VLOOKUP(TA[[#This Row],[Affected Equipment]],'Basic Data'!$I$2:$K$40,3,0),"")</f>
        <v>5.74712643678161E-3</v>
      </c>
      <c r="N1757">
        <v>-28</v>
      </c>
      <c r="O1757" t="s">
        <v>133</v>
      </c>
      <c r="P1757" s="22" t="s">
        <v>321</v>
      </c>
      <c r="Q1757" s="2" t="s">
        <v>314</v>
      </c>
      <c r="R1757">
        <v>26</v>
      </c>
      <c r="S1757" s="2">
        <v>37</v>
      </c>
      <c r="T1757" t="s">
        <v>288</v>
      </c>
      <c r="U1757" t="s">
        <v>291</v>
      </c>
      <c r="V1757" t="s">
        <v>292</v>
      </c>
      <c r="W1757" s="32"/>
      <c r="X1757" s="32"/>
      <c r="Y1757" s="26"/>
      <c r="Z1757" s="26"/>
      <c r="AA1757" s="27">
        <f>IF(TA[[#This Row],[Work Start time on Fault]]="NA","",(TA[[#This Row],[Fault Acknowledgement Time ]]-TA[[#This Row],[Fault Time]])*24)</f>
        <v>0</v>
      </c>
      <c r="AB1757" s="27">
        <f>(TA[[#This Row],[Work Start time on Fault]]-TA[[#This Row],[Fault Time]])*24</f>
        <v>0</v>
      </c>
      <c r="AC1757" s="26">
        <f>(TA[[#This Row],[Work Completion time on fault]]-TA[[#This Row],[Fault Time]])*24</f>
        <v>0</v>
      </c>
      <c r="AD1757" s="27">
        <f>IFERROR((TA[[#This Row],[Work Completion time on fault]]-TA[[#This Row],[Fault Time]])*24,"")</f>
        <v>0</v>
      </c>
      <c r="AE1757" t="s">
        <v>319</v>
      </c>
      <c r="AF1757" t="s">
        <v>247</v>
      </c>
      <c r="AG1757" s="2"/>
      <c r="AH1757" s="35">
        <f>1-COS(RADIANS(TA[[#This Row],[Avg. Target Angle during Fault Time (Radians)]]-TA[[#This Row],[Angle of affected equipment ]]))</f>
        <v>0.11705240714107301</v>
      </c>
      <c r="AI1757" s="27">
        <f>IFERROR(TA[[#This Row],[Breakdown Time]]*TA[[#This Row],[Plant Equivalent Weightage]],"")</f>
        <v>0</v>
      </c>
    </row>
    <row r="1758" spans="1:35">
      <c r="A1758" s="2">
        <f t="shared" si="218"/>
        <v>1755</v>
      </c>
      <c r="B1758" s="143">
        <f t="shared" si="223"/>
        <v>2026</v>
      </c>
      <c r="C1758" s="116">
        <f t="shared" si="224"/>
        <v>2025</v>
      </c>
      <c r="D1758" s="2" t="s">
        <v>155</v>
      </c>
      <c r="E1758" s="2" t="s">
        <v>155</v>
      </c>
      <c r="F1758" s="30">
        <v>45870</v>
      </c>
      <c r="G1758" s="2">
        <f>DAY(EOMONTH(TA[[#This Row],[Month Year]],0))</f>
        <v>31</v>
      </c>
      <c r="H1758" s="21">
        <v>45871</v>
      </c>
      <c r="I1758" s="32">
        <f>IFERROR(VLOOKUP(TA[[#This Row],[Date]],Raw_Data[[Date]:[Sunset Time (POA&lt;20 W/m2)]],3,0),"")</f>
        <v>0.25694444444444442</v>
      </c>
      <c r="J1758" s="32">
        <f>IFERROR(VLOOKUP(TA[[#This Row],[Date]],Raw_Data[[Date]:[Sunset Time (POA&lt;20 W/m2)]],4,0),"")</f>
        <v>0.77777777777777779</v>
      </c>
      <c r="K1758" s="27">
        <f>IFERROR((TA[[#This Row],[Sunset Time (POA&lt;20 W/m2)]]-TA[[#This Row],[Sunrise Time (POA&gt;20 W/m2)]])*24,"")</f>
        <v>12.5</v>
      </c>
      <c r="L1758" s="2" t="s">
        <v>303</v>
      </c>
      <c r="M1758" s="33">
        <f>IFERROR(VLOOKUP(TA[[#This Row],[Affected Equipment]],'Basic Data'!$I$2:$K$40,3,0),"")</f>
        <v>5.74712643678161E-3</v>
      </c>
      <c r="N1758">
        <v>-28</v>
      </c>
      <c r="O1758" t="s">
        <v>133</v>
      </c>
      <c r="P1758" s="22" t="s">
        <v>321</v>
      </c>
      <c r="Q1758" s="2" t="s">
        <v>314</v>
      </c>
      <c r="R1758">
        <v>27</v>
      </c>
      <c r="S1758" s="2">
        <v>42</v>
      </c>
      <c r="T1758" t="s">
        <v>288</v>
      </c>
      <c r="U1758" t="s">
        <v>291</v>
      </c>
      <c r="V1758" t="s">
        <v>292</v>
      </c>
      <c r="W1758" s="32">
        <f>IFERROR(VLOOKUP(TA[[#This Row],[Date]],Raw_Data[[Date]:[Sunset Time (POA&lt;20 W/m2)]],3,0),"")</f>
        <v>0.25694444444444442</v>
      </c>
      <c r="X1758" s="32">
        <f>IFERROR(VLOOKUP(TA[[#This Row],[Date]],Raw_Data[[Date]:[Sunset Time (POA&lt;20 W/m2)]],3,0),"")</f>
        <v>0.25694444444444442</v>
      </c>
      <c r="Y1758" s="26"/>
      <c r="Z1758" s="26">
        <v>0.76041666666666663</v>
      </c>
      <c r="AA1758" s="27">
        <f>IF(TA[[#This Row],[Work Start time on Fault]]="NA","",(TA[[#This Row],[Fault Acknowledgement Time ]]-TA[[#This Row],[Fault Time]])*24)</f>
        <v>0</v>
      </c>
      <c r="AB1758" s="27">
        <f>(TA[[#This Row],[Work Start time on Fault]]-TA[[#This Row],[Fault Time]])*24</f>
        <v>-6.1666666666666661</v>
      </c>
      <c r="AC1758" s="26">
        <f>(TA[[#This Row],[Work Completion time on fault]]-TA[[#This Row],[Fault Time]])*24</f>
        <v>12.083333333333332</v>
      </c>
      <c r="AD1758" s="27">
        <f>IFERROR((TA[[#This Row],[Work Completion time on fault]]-TA[[#This Row],[Fault Time]])*24,"")</f>
        <v>12.083333333333332</v>
      </c>
      <c r="AE1758" t="s">
        <v>300</v>
      </c>
      <c r="AF1758" t="s">
        <v>247</v>
      </c>
      <c r="AG1758" s="2"/>
      <c r="AH1758" s="35">
        <f>1-COS(RADIANS(TA[[#This Row],[Avg. Target Angle during Fault Time (Radians)]]-TA[[#This Row],[Angle of affected equipment ]]))</f>
        <v>0.11705240714107301</v>
      </c>
      <c r="AI1758" s="27">
        <f>IFERROR(TA[[#This Row],[Breakdown Time]]*TA[[#This Row],[Plant Equivalent Weightage]],"")</f>
        <v>6.9444444444444448E-2</v>
      </c>
    </row>
    <row r="1759" spans="1:35">
      <c r="A1759" s="2">
        <f t="shared" si="218"/>
        <v>1756</v>
      </c>
      <c r="B1759" s="143">
        <f t="shared" ref="B1759:B1771" si="225">YEAR(H1759)+IF(MONTH(H1759)&gt;=4,1,0)</f>
        <v>2026</v>
      </c>
      <c r="C1759" s="116">
        <f t="shared" ref="C1759:C1771" si="226">YEAR(H1759)</f>
        <v>2025</v>
      </c>
      <c r="D1759" s="2" t="s">
        <v>155</v>
      </c>
      <c r="E1759" s="2" t="s">
        <v>155</v>
      </c>
      <c r="F1759" s="30">
        <v>45870</v>
      </c>
      <c r="G1759" s="2">
        <f>DAY(EOMONTH(TA[[#This Row],[Month Year]],0))</f>
        <v>31</v>
      </c>
      <c r="H1759" s="21">
        <v>45872</v>
      </c>
      <c r="I1759" s="32">
        <f>IFERROR(VLOOKUP(TA[[#This Row],[Date]],Raw_Data[[Date]:[Sunset Time (POA&lt;20 W/m2)]],3,0),"")</f>
        <v>0.25694444444444442</v>
      </c>
      <c r="J1759" s="32">
        <f>IFERROR(VLOOKUP(TA[[#This Row],[Date]],Raw_Data[[Date]:[Sunset Time (POA&lt;20 W/m2)]],4,0),"")</f>
        <v>0.77777777777777779</v>
      </c>
      <c r="K1759" s="27">
        <f>IFERROR((TA[[#This Row],[Sunset Time (POA&lt;20 W/m2)]]-TA[[#This Row],[Sunrise Time (POA&gt;20 W/m2)]])*24,"")</f>
        <v>12.5</v>
      </c>
      <c r="L1759" s="2" t="s">
        <v>285</v>
      </c>
      <c r="M1759" s="33">
        <f>IFERROR(VLOOKUP(TA[[#This Row],[Affected Equipment]],'Basic Data'!$I$2:$K$40,3,0),"")</f>
        <v>1.7241379310344799E-3</v>
      </c>
      <c r="N1759">
        <v>-28</v>
      </c>
      <c r="O1759" t="s">
        <v>135</v>
      </c>
      <c r="P1759" s="114" t="s">
        <v>309</v>
      </c>
      <c r="Q1759" s="113" t="s">
        <v>309</v>
      </c>
      <c r="R1759">
        <v>131</v>
      </c>
      <c r="S1759" s="2">
        <v>38</v>
      </c>
      <c r="T1759" t="s">
        <v>286</v>
      </c>
      <c r="U1759" t="s">
        <v>291</v>
      </c>
      <c r="V1759" t="s">
        <v>289</v>
      </c>
      <c r="W1759" s="32"/>
      <c r="X1759" s="32"/>
      <c r="Y1759" s="26"/>
      <c r="Z1759" s="26"/>
      <c r="AA1759" s="27">
        <f>IF(TA[[#This Row],[Work Start time on Fault]]="NA","",(TA[[#This Row],[Fault Acknowledgement Time ]]-TA[[#This Row],[Fault Time]])*24)</f>
        <v>0</v>
      </c>
      <c r="AB1759" s="27">
        <f>(TA[[#This Row],[Work Start time on Fault]]-TA[[#This Row],[Fault Time]])*24</f>
        <v>0</v>
      </c>
      <c r="AC1759" s="26">
        <f>(TA[[#This Row],[Work Completion time on fault]]-TA[[#This Row],[Fault Time]])*24</f>
        <v>0</v>
      </c>
      <c r="AD1759" s="27">
        <f>IFERROR((TA[[#This Row],[Work Completion time on fault]]-TA[[#This Row],[Fault Time]])*24,"")</f>
        <v>0</v>
      </c>
      <c r="AE1759" t="s">
        <v>319</v>
      </c>
      <c r="AF1759" t="s">
        <v>247</v>
      </c>
      <c r="AG1759" s="2"/>
      <c r="AH1759" s="35">
        <f>1-COS(RADIANS(TA[[#This Row],[Avg. Target Angle during Fault Time (Radians)]]-TA[[#This Row],[Angle of affected equipment ]]))</f>
        <v>0.11705240714107301</v>
      </c>
      <c r="AI1759" s="27">
        <f>IFERROR(TA[[#This Row],[Breakdown Time]]*TA[[#This Row],[Plant Equivalent Weightage]],"")</f>
        <v>0</v>
      </c>
    </row>
    <row r="1760" spans="1:35">
      <c r="A1760" s="2">
        <f t="shared" si="218"/>
        <v>1757</v>
      </c>
      <c r="B1760" s="143">
        <f t="shared" si="225"/>
        <v>2026</v>
      </c>
      <c r="C1760" s="116">
        <f t="shared" si="226"/>
        <v>2025</v>
      </c>
      <c r="D1760" s="2" t="s">
        <v>155</v>
      </c>
      <c r="E1760" s="2" t="s">
        <v>155</v>
      </c>
      <c r="F1760" s="30">
        <v>45870</v>
      </c>
      <c r="G1760" s="2">
        <f>DAY(EOMONTH(TA[[#This Row],[Month Year]],0))</f>
        <v>31</v>
      </c>
      <c r="H1760" s="21">
        <v>45872</v>
      </c>
      <c r="I1760" s="32">
        <f>IFERROR(VLOOKUP(TA[[#This Row],[Date]],Raw_Data[[Date]:[Sunset Time (POA&lt;20 W/m2)]],3,0),"")</f>
        <v>0.25694444444444442</v>
      </c>
      <c r="J1760" s="32">
        <f>IFERROR(VLOOKUP(TA[[#This Row],[Date]],Raw_Data[[Date]:[Sunset Time (POA&lt;20 W/m2)]],4,0),"")</f>
        <v>0.77777777777777779</v>
      </c>
      <c r="K1760" s="27">
        <f>IFERROR((TA[[#This Row],[Sunset Time (POA&lt;20 W/m2)]]-TA[[#This Row],[Sunrise Time (POA&gt;20 W/m2)]])*24,"")</f>
        <v>12.5</v>
      </c>
      <c r="L1760" s="2" t="s">
        <v>285</v>
      </c>
      <c r="M1760" s="33">
        <f>IFERROR(VLOOKUP(TA[[#This Row],[Affected Equipment]],'Basic Data'!$I$2:$K$40,3,0),"")</f>
        <v>1.7241379310344799E-3</v>
      </c>
      <c r="N1760">
        <v>-28</v>
      </c>
      <c r="O1760" t="s">
        <v>135</v>
      </c>
      <c r="P1760" s="114" t="s">
        <v>309</v>
      </c>
      <c r="Q1760" s="113" t="s">
        <v>309</v>
      </c>
      <c r="R1760">
        <v>131</v>
      </c>
      <c r="S1760" s="2">
        <v>39</v>
      </c>
      <c r="T1760" t="s">
        <v>286</v>
      </c>
      <c r="U1760" t="s">
        <v>291</v>
      </c>
      <c r="V1760" t="s">
        <v>289</v>
      </c>
      <c r="W1760" s="32"/>
      <c r="X1760" s="32"/>
      <c r="Y1760" s="26"/>
      <c r="Z1760" s="26"/>
      <c r="AA1760" s="27">
        <f>IF(TA[[#This Row],[Work Start time on Fault]]="NA","",(TA[[#This Row],[Fault Acknowledgement Time ]]-TA[[#This Row],[Fault Time]])*24)</f>
        <v>0</v>
      </c>
      <c r="AB1760" s="27">
        <f>(TA[[#This Row],[Work Start time on Fault]]-TA[[#This Row],[Fault Time]])*24</f>
        <v>0</v>
      </c>
      <c r="AC1760" s="26">
        <f>(TA[[#This Row],[Work Completion time on fault]]-TA[[#This Row],[Fault Time]])*24</f>
        <v>0</v>
      </c>
      <c r="AD1760" s="27">
        <f>IFERROR((TA[[#This Row],[Work Completion time on fault]]-TA[[#This Row],[Fault Time]])*24,"")</f>
        <v>0</v>
      </c>
      <c r="AE1760" t="s">
        <v>319</v>
      </c>
      <c r="AF1760" t="s">
        <v>247</v>
      </c>
      <c r="AG1760" s="2"/>
      <c r="AH1760" s="35">
        <f>1-COS(RADIANS(TA[[#This Row],[Avg. Target Angle during Fault Time (Radians)]]-TA[[#This Row],[Angle of affected equipment ]]))</f>
        <v>0.11705240714107301</v>
      </c>
      <c r="AI1760" s="27">
        <f>IFERROR(TA[[#This Row],[Breakdown Time]]*TA[[#This Row],[Plant Equivalent Weightage]],"")</f>
        <v>0</v>
      </c>
    </row>
    <row r="1761" spans="1:35">
      <c r="A1761" s="2">
        <f t="shared" si="218"/>
        <v>1758</v>
      </c>
      <c r="B1761" s="143">
        <f t="shared" si="225"/>
        <v>2026</v>
      </c>
      <c r="C1761" s="116">
        <f t="shared" si="226"/>
        <v>2025</v>
      </c>
      <c r="D1761" s="2" t="s">
        <v>155</v>
      </c>
      <c r="E1761" s="2" t="s">
        <v>155</v>
      </c>
      <c r="F1761" s="30">
        <v>45870</v>
      </c>
      <c r="G1761" s="2">
        <f>DAY(EOMONTH(TA[[#This Row],[Month Year]],0))</f>
        <v>31</v>
      </c>
      <c r="H1761" s="21">
        <v>45872</v>
      </c>
      <c r="I1761" s="32">
        <f>IFERROR(VLOOKUP(TA[[#This Row],[Date]],Raw_Data[[Date]:[Sunset Time (POA&lt;20 W/m2)]],3,0),"")</f>
        <v>0.25694444444444442</v>
      </c>
      <c r="J1761" s="32">
        <f>IFERROR(VLOOKUP(TA[[#This Row],[Date]],Raw_Data[[Date]:[Sunset Time (POA&lt;20 W/m2)]],4,0),"")</f>
        <v>0.77777777777777779</v>
      </c>
      <c r="K1761" s="27">
        <f>IFERROR((TA[[#This Row],[Sunset Time (POA&lt;20 W/m2)]]-TA[[#This Row],[Sunrise Time (POA&gt;20 W/m2)]])*24,"")</f>
        <v>12.5</v>
      </c>
      <c r="L1761" s="2" t="s">
        <v>287</v>
      </c>
      <c r="M1761" s="33">
        <f>IFERROR(VLOOKUP(TA[[#This Row],[Affected Equipment]],'Basic Data'!$I$2:$K$40,3,0),"")</f>
        <v>8.6206896551724102E-3</v>
      </c>
      <c r="N1761">
        <v>-28</v>
      </c>
      <c r="O1761" t="s">
        <v>135</v>
      </c>
      <c r="P1761" s="114" t="s">
        <v>309</v>
      </c>
      <c r="Q1761" s="2" t="s">
        <v>312</v>
      </c>
      <c r="R1761">
        <v>133</v>
      </c>
      <c r="S1761" s="2">
        <v>26</v>
      </c>
      <c r="T1761" t="s">
        <v>288</v>
      </c>
      <c r="U1761" t="s">
        <v>291</v>
      </c>
      <c r="V1761" t="s">
        <v>305</v>
      </c>
      <c r="W1761" s="32">
        <f>IFERROR(VLOOKUP(TA[[#This Row],[Date]],Raw_Data[[Date]:[Sunset Time (POA&lt;20 W/m2)]],3,0),"")</f>
        <v>0.25694444444444442</v>
      </c>
      <c r="X1761" s="32">
        <f>IFERROR(VLOOKUP(TA[[#This Row],[Date]],Raw_Data[[Date]:[Sunset Time (POA&lt;20 W/m2)]],3,0),"")</f>
        <v>0.25694444444444442</v>
      </c>
      <c r="Y1761" s="26"/>
      <c r="Z1761" s="26">
        <v>0.76041666666666663</v>
      </c>
      <c r="AA1761" s="27">
        <f>IF(TA[[#This Row],[Work Start time on Fault]]="NA","",(TA[[#This Row],[Fault Acknowledgement Time ]]-TA[[#This Row],[Fault Time]])*24)</f>
        <v>0</v>
      </c>
      <c r="AB1761" s="27">
        <f>(TA[[#This Row],[Work Start time on Fault]]-TA[[#This Row],[Fault Time]])*24</f>
        <v>-6.1666666666666661</v>
      </c>
      <c r="AC1761" s="26">
        <f>(TA[[#This Row],[Work Completion time on fault]]-TA[[#This Row],[Fault Time]])*24</f>
        <v>12.083333333333332</v>
      </c>
      <c r="AD1761" s="27">
        <f>IFERROR((TA[[#This Row],[Work Completion time on fault]]-TA[[#This Row],[Fault Time]])*24,"")</f>
        <v>12.083333333333332</v>
      </c>
      <c r="AE1761" t="s">
        <v>319</v>
      </c>
      <c r="AF1761" t="s">
        <v>247</v>
      </c>
      <c r="AG1761" s="2"/>
      <c r="AH1761" s="35">
        <f>1-COS(RADIANS(TA[[#This Row],[Avg. Target Angle during Fault Time (Radians)]]-TA[[#This Row],[Angle of affected equipment ]]))</f>
        <v>0.11705240714107301</v>
      </c>
      <c r="AI1761" s="27">
        <f>IFERROR(TA[[#This Row],[Breakdown Time]]*TA[[#This Row],[Plant Equivalent Weightage]],"")</f>
        <v>0.10416666666666662</v>
      </c>
    </row>
    <row r="1762" spans="1:35">
      <c r="A1762" s="2">
        <f t="shared" si="218"/>
        <v>1759</v>
      </c>
      <c r="B1762" s="143">
        <f t="shared" si="225"/>
        <v>2026</v>
      </c>
      <c r="C1762" s="116">
        <f t="shared" si="226"/>
        <v>2025</v>
      </c>
      <c r="D1762" s="2" t="s">
        <v>155</v>
      </c>
      <c r="E1762" s="2" t="s">
        <v>155</v>
      </c>
      <c r="F1762" s="30">
        <v>45870</v>
      </c>
      <c r="G1762" s="2">
        <f>DAY(EOMONTH(TA[[#This Row],[Month Year]],0))</f>
        <v>31</v>
      </c>
      <c r="H1762" s="21">
        <v>45872</v>
      </c>
      <c r="I1762" s="32">
        <f>IFERROR(VLOOKUP(TA[[#This Row],[Date]],Raw_Data[[Date]:[Sunset Time (POA&lt;20 W/m2)]],3,0),"")</f>
        <v>0.25694444444444442</v>
      </c>
      <c r="J1762" s="32">
        <f>IFERROR(VLOOKUP(TA[[#This Row],[Date]],Raw_Data[[Date]:[Sunset Time (POA&lt;20 W/m2)]],4,0),"")</f>
        <v>0.77777777777777779</v>
      </c>
      <c r="K1762" s="27">
        <f>IFERROR((TA[[#This Row],[Sunset Time (POA&lt;20 W/m2)]]-TA[[#This Row],[Sunrise Time (POA&gt;20 W/m2)]])*24,"")</f>
        <v>12.5</v>
      </c>
      <c r="L1762" s="2" t="s">
        <v>285</v>
      </c>
      <c r="M1762" s="33">
        <f>IFERROR(VLOOKUP(TA[[#This Row],[Affected Equipment]],'Basic Data'!$I$2:$K$40,3,0),"")</f>
        <v>1.7241379310344799E-3</v>
      </c>
      <c r="N1762">
        <v>-28</v>
      </c>
      <c r="O1762" t="s">
        <v>133</v>
      </c>
      <c r="P1762" s="114" t="s">
        <v>307</v>
      </c>
      <c r="Q1762" s="113" t="s">
        <v>308</v>
      </c>
      <c r="R1762">
        <v>7</v>
      </c>
      <c r="S1762" s="2">
        <v>32</v>
      </c>
      <c r="T1762" t="s">
        <v>286</v>
      </c>
      <c r="U1762" t="s">
        <v>291</v>
      </c>
      <c r="V1762" t="s">
        <v>289</v>
      </c>
      <c r="W1762" s="32"/>
      <c r="X1762" s="32"/>
      <c r="Y1762" s="26"/>
      <c r="Z1762" s="26"/>
      <c r="AA1762" s="27">
        <f>IF(TA[[#This Row],[Work Start time on Fault]]="NA","",(TA[[#This Row],[Fault Acknowledgement Time ]]-TA[[#This Row],[Fault Time]])*24)</f>
        <v>0</v>
      </c>
      <c r="AB1762" s="27">
        <f>(TA[[#This Row],[Work Start time on Fault]]-TA[[#This Row],[Fault Time]])*24</f>
        <v>0</v>
      </c>
      <c r="AC1762" s="26">
        <f>(TA[[#This Row],[Work Completion time on fault]]-TA[[#This Row],[Fault Time]])*24</f>
        <v>0</v>
      </c>
      <c r="AD1762" s="27">
        <f>IFERROR((TA[[#This Row],[Work Completion time on fault]]-TA[[#This Row],[Fault Time]])*24,"")</f>
        <v>0</v>
      </c>
      <c r="AE1762" t="s">
        <v>319</v>
      </c>
      <c r="AF1762" t="s">
        <v>247</v>
      </c>
      <c r="AG1762" s="2"/>
      <c r="AH1762" s="35">
        <f>1-COS(RADIANS(TA[[#This Row],[Avg. Target Angle during Fault Time (Radians)]]-TA[[#This Row],[Angle of affected equipment ]]))</f>
        <v>0.11705240714107301</v>
      </c>
      <c r="AI1762" s="27">
        <f>IFERROR(TA[[#This Row],[Breakdown Time]]*TA[[#This Row],[Plant Equivalent Weightage]],"")</f>
        <v>0</v>
      </c>
    </row>
    <row r="1763" spans="1:35">
      <c r="A1763" s="2">
        <f t="shared" si="218"/>
        <v>1760</v>
      </c>
      <c r="B1763" s="143">
        <f t="shared" si="225"/>
        <v>2026</v>
      </c>
      <c r="C1763" s="116">
        <f t="shared" si="226"/>
        <v>2025</v>
      </c>
      <c r="D1763" s="2" t="s">
        <v>155</v>
      </c>
      <c r="E1763" s="2" t="s">
        <v>155</v>
      </c>
      <c r="F1763" s="30">
        <v>45870</v>
      </c>
      <c r="G1763" s="2">
        <f>DAY(EOMONTH(TA[[#This Row],[Month Year]],0))</f>
        <v>31</v>
      </c>
      <c r="H1763" s="21">
        <v>45872</v>
      </c>
      <c r="I1763" s="32">
        <f>IFERROR(VLOOKUP(TA[[#This Row],[Date]],Raw_Data[[Date]:[Sunset Time (POA&lt;20 W/m2)]],3,0),"")</f>
        <v>0.25694444444444442</v>
      </c>
      <c r="J1763" s="32">
        <f>IFERROR(VLOOKUP(TA[[#This Row],[Date]],Raw_Data[[Date]:[Sunset Time (POA&lt;20 W/m2)]],4,0),"")</f>
        <v>0.77777777777777779</v>
      </c>
      <c r="K1763" s="27">
        <f>IFERROR((TA[[#This Row],[Sunset Time (POA&lt;20 W/m2)]]-TA[[#This Row],[Sunrise Time (POA&gt;20 W/m2)]])*24,"")</f>
        <v>12.5</v>
      </c>
      <c r="L1763" s="2" t="s">
        <v>285</v>
      </c>
      <c r="M1763" s="33">
        <f>IFERROR(VLOOKUP(TA[[#This Row],[Affected Equipment]],'Basic Data'!$I$2:$K$40,3,0),"")</f>
        <v>1.7241379310344799E-3</v>
      </c>
      <c r="N1763">
        <v>-28</v>
      </c>
      <c r="O1763" t="s">
        <v>137</v>
      </c>
      <c r="P1763" s="114" t="s">
        <v>306</v>
      </c>
      <c r="Q1763" s="113" t="s">
        <v>310</v>
      </c>
      <c r="R1763">
        <v>166</v>
      </c>
      <c r="S1763" s="2">
        <v>91</v>
      </c>
      <c r="T1763" t="s">
        <v>286</v>
      </c>
      <c r="U1763" t="s">
        <v>291</v>
      </c>
      <c r="V1763" t="s">
        <v>289</v>
      </c>
      <c r="W1763" s="32"/>
      <c r="X1763" s="32"/>
      <c r="Y1763" s="26"/>
      <c r="Z1763" s="26"/>
      <c r="AA1763" s="27">
        <f>IF(TA[[#This Row],[Work Start time on Fault]]="NA","",(TA[[#This Row],[Fault Acknowledgement Time ]]-TA[[#This Row],[Fault Time]])*24)</f>
        <v>0</v>
      </c>
      <c r="AB1763" s="27">
        <f>(TA[[#This Row],[Work Start time on Fault]]-TA[[#This Row],[Fault Time]])*24</f>
        <v>0</v>
      </c>
      <c r="AC1763" s="26">
        <f>(TA[[#This Row],[Work Completion time on fault]]-TA[[#This Row],[Fault Time]])*24</f>
        <v>0</v>
      </c>
      <c r="AD1763" s="27">
        <f>IFERROR((TA[[#This Row],[Work Completion time on fault]]-TA[[#This Row],[Fault Time]])*24,"")</f>
        <v>0</v>
      </c>
      <c r="AE1763" t="s">
        <v>319</v>
      </c>
      <c r="AF1763" t="s">
        <v>247</v>
      </c>
      <c r="AG1763" s="2"/>
      <c r="AH1763" s="35">
        <f>1-COS(RADIANS(TA[[#This Row],[Avg. Target Angle during Fault Time (Radians)]]-TA[[#This Row],[Angle of affected equipment ]]))</f>
        <v>0.11705240714107301</v>
      </c>
      <c r="AI1763" s="27">
        <f>IFERROR(TA[[#This Row],[Breakdown Time]]*TA[[#This Row],[Plant Equivalent Weightage]],"")</f>
        <v>0</v>
      </c>
    </row>
    <row r="1764" spans="1:35">
      <c r="A1764" s="2">
        <f t="shared" si="218"/>
        <v>1761</v>
      </c>
      <c r="B1764" s="143">
        <f t="shared" si="225"/>
        <v>2026</v>
      </c>
      <c r="C1764" s="116">
        <f t="shared" si="226"/>
        <v>2025</v>
      </c>
      <c r="D1764" s="2" t="s">
        <v>155</v>
      </c>
      <c r="E1764" s="2" t="s">
        <v>155</v>
      </c>
      <c r="F1764" s="30">
        <v>45870</v>
      </c>
      <c r="G1764" s="2">
        <f>DAY(EOMONTH(TA[[#This Row],[Month Year]],0))</f>
        <v>31</v>
      </c>
      <c r="H1764" s="21">
        <v>45872</v>
      </c>
      <c r="I1764" s="32">
        <f>IFERROR(VLOOKUP(TA[[#This Row],[Date]],Raw_Data[[Date]:[Sunset Time (POA&lt;20 W/m2)]],3,0),"")</f>
        <v>0.25694444444444442</v>
      </c>
      <c r="J1764" s="32">
        <f>IFERROR(VLOOKUP(TA[[#This Row],[Date]],Raw_Data[[Date]:[Sunset Time (POA&lt;20 W/m2)]],4,0),"")</f>
        <v>0.77777777777777779</v>
      </c>
      <c r="K1764" s="27">
        <f>IFERROR((TA[[#This Row],[Sunset Time (POA&lt;20 W/m2)]]-TA[[#This Row],[Sunrise Time (POA&gt;20 W/m2)]])*24,"")</f>
        <v>12.5</v>
      </c>
      <c r="L1764" s="2" t="s">
        <v>285</v>
      </c>
      <c r="M1764" s="33">
        <f>IFERROR(VLOOKUP(TA[[#This Row],[Affected Equipment]],'Basic Data'!$I$2:$K$40,3,0),"")</f>
        <v>1.7241379310344799E-3</v>
      </c>
      <c r="N1764">
        <v>-28</v>
      </c>
      <c r="O1764" t="s">
        <v>133</v>
      </c>
      <c r="P1764" s="114" t="s">
        <v>307</v>
      </c>
      <c r="Q1764" s="113" t="s">
        <v>307</v>
      </c>
      <c r="R1764">
        <v>117</v>
      </c>
      <c r="S1764" s="2">
        <v>20</v>
      </c>
      <c r="T1764" t="s">
        <v>286</v>
      </c>
      <c r="U1764" t="s">
        <v>291</v>
      </c>
      <c r="V1764" t="s">
        <v>289</v>
      </c>
      <c r="W1764" s="32"/>
      <c r="X1764" s="32"/>
      <c r="Y1764" s="26"/>
      <c r="Z1764" s="26"/>
      <c r="AA1764" s="27">
        <f>IF(TA[[#This Row],[Work Start time on Fault]]="NA","",(TA[[#This Row],[Fault Acknowledgement Time ]]-TA[[#This Row],[Fault Time]])*24)</f>
        <v>0</v>
      </c>
      <c r="AB1764" s="27">
        <f>(TA[[#This Row],[Work Start time on Fault]]-TA[[#This Row],[Fault Time]])*24</f>
        <v>0</v>
      </c>
      <c r="AC1764" s="26">
        <f>(TA[[#This Row],[Work Completion time on fault]]-TA[[#This Row],[Fault Time]])*24</f>
        <v>0</v>
      </c>
      <c r="AD1764" s="27">
        <f>IFERROR((TA[[#This Row],[Work Completion time on fault]]-TA[[#This Row],[Fault Time]])*24,"")</f>
        <v>0</v>
      </c>
      <c r="AE1764" t="s">
        <v>319</v>
      </c>
      <c r="AF1764" t="s">
        <v>247</v>
      </c>
      <c r="AG1764" s="2"/>
      <c r="AH1764" s="35">
        <f>1-COS(RADIANS(TA[[#This Row],[Avg. Target Angle during Fault Time (Radians)]]-TA[[#This Row],[Angle of affected equipment ]]))</f>
        <v>0.11705240714107301</v>
      </c>
      <c r="AI1764" s="27">
        <f>IFERROR(TA[[#This Row],[Breakdown Time]]*TA[[#This Row],[Plant Equivalent Weightage]],"")</f>
        <v>0</v>
      </c>
    </row>
    <row r="1765" spans="1:35">
      <c r="A1765" s="2">
        <f t="shared" si="218"/>
        <v>1762</v>
      </c>
      <c r="B1765" s="143">
        <f t="shared" si="225"/>
        <v>2026</v>
      </c>
      <c r="C1765" s="116">
        <f t="shared" si="226"/>
        <v>2025</v>
      </c>
      <c r="D1765" s="2" t="s">
        <v>155</v>
      </c>
      <c r="E1765" s="2" t="s">
        <v>155</v>
      </c>
      <c r="F1765" s="30">
        <v>45870</v>
      </c>
      <c r="G1765" s="2">
        <f>DAY(EOMONTH(TA[[#This Row],[Month Year]],0))</f>
        <v>31</v>
      </c>
      <c r="H1765" s="21">
        <v>45872</v>
      </c>
      <c r="I1765" s="32">
        <f>IFERROR(VLOOKUP(TA[[#This Row],[Date]],Raw_Data[[Date]:[Sunset Time (POA&lt;20 W/m2)]],3,0),"")</f>
        <v>0.25694444444444442</v>
      </c>
      <c r="J1765" s="32">
        <f>IFERROR(VLOOKUP(TA[[#This Row],[Date]],Raw_Data[[Date]:[Sunset Time (POA&lt;20 W/m2)]],4,0),"")</f>
        <v>0.77777777777777779</v>
      </c>
      <c r="K1765" s="27">
        <f>IFERROR((TA[[#This Row],[Sunset Time (POA&lt;20 W/m2)]]-TA[[#This Row],[Sunrise Time (POA&gt;20 W/m2)]])*24,"")</f>
        <v>12.5</v>
      </c>
      <c r="L1765" s="2" t="s">
        <v>285</v>
      </c>
      <c r="M1765" s="33">
        <f>IFERROR(VLOOKUP(TA[[#This Row],[Affected Equipment]],'Basic Data'!$I$2:$K$40,3,0),"")</f>
        <v>1.7241379310344799E-3</v>
      </c>
      <c r="N1765">
        <v>-28</v>
      </c>
      <c r="O1765" t="s">
        <v>133</v>
      </c>
      <c r="P1765" s="114" t="s">
        <v>307</v>
      </c>
      <c r="Q1765" s="113" t="s">
        <v>307</v>
      </c>
      <c r="R1765">
        <v>118</v>
      </c>
      <c r="S1765" s="2">
        <v>22</v>
      </c>
      <c r="T1765" t="s">
        <v>286</v>
      </c>
      <c r="U1765" t="s">
        <v>291</v>
      </c>
      <c r="V1765" t="s">
        <v>289</v>
      </c>
      <c r="W1765" s="32"/>
      <c r="X1765" s="32"/>
      <c r="Y1765" s="26"/>
      <c r="Z1765" s="26"/>
      <c r="AA1765" s="27">
        <f>IF(TA[[#This Row],[Work Start time on Fault]]="NA","",(TA[[#This Row],[Fault Acknowledgement Time ]]-TA[[#This Row],[Fault Time]])*24)</f>
        <v>0</v>
      </c>
      <c r="AB1765" s="27">
        <f>(TA[[#This Row],[Work Start time on Fault]]-TA[[#This Row],[Fault Time]])*24</f>
        <v>0</v>
      </c>
      <c r="AC1765" s="26">
        <f>(TA[[#This Row],[Work Completion time on fault]]-TA[[#This Row],[Fault Time]])*24</f>
        <v>0</v>
      </c>
      <c r="AD1765" s="27">
        <f>IFERROR((TA[[#This Row],[Work Completion time on fault]]-TA[[#This Row],[Fault Time]])*24,"")</f>
        <v>0</v>
      </c>
      <c r="AE1765" t="s">
        <v>319</v>
      </c>
      <c r="AF1765" t="s">
        <v>247</v>
      </c>
      <c r="AG1765" s="2"/>
      <c r="AH1765" s="35">
        <f>1-COS(RADIANS(TA[[#This Row],[Avg. Target Angle during Fault Time (Radians)]]-TA[[#This Row],[Angle of affected equipment ]]))</f>
        <v>0.11705240714107301</v>
      </c>
      <c r="AI1765" s="27">
        <f>IFERROR(TA[[#This Row],[Breakdown Time]]*TA[[#This Row],[Plant Equivalent Weightage]],"")</f>
        <v>0</v>
      </c>
    </row>
    <row r="1766" spans="1:35">
      <c r="A1766" s="2">
        <f t="shared" si="218"/>
        <v>1763</v>
      </c>
      <c r="B1766" s="143">
        <f t="shared" si="225"/>
        <v>2026</v>
      </c>
      <c r="C1766" s="116">
        <f t="shared" si="226"/>
        <v>2025</v>
      </c>
      <c r="D1766" s="2" t="s">
        <v>155</v>
      </c>
      <c r="E1766" s="2" t="s">
        <v>155</v>
      </c>
      <c r="F1766" s="30">
        <v>45870</v>
      </c>
      <c r="G1766" s="2">
        <f>DAY(EOMONTH(TA[[#This Row],[Month Year]],0))</f>
        <v>31</v>
      </c>
      <c r="H1766" s="21">
        <v>45872</v>
      </c>
      <c r="I1766" s="32">
        <f>IFERROR(VLOOKUP(TA[[#This Row],[Date]],Raw_Data[[Date]:[Sunset Time (POA&lt;20 W/m2)]],3,0),"")</f>
        <v>0.25694444444444442</v>
      </c>
      <c r="J1766" s="32">
        <f>IFERROR(VLOOKUP(TA[[#This Row],[Date]],Raw_Data[[Date]:[Sunset Time (POA&lt;20 W/m2)]],4,0),"")</f>
        <v>0.77777777777777779</v>
      </c>
      <c r="K1766" s="27">
        <f>IFERROR((TA[[#This Row],[Sunset Time (POA&lt;20 W/m2)]]-TA[[#This Row],[Sunrise Time (POA&gt;20 W/m2)]])*24,"")</f>
        <v>12.5</v>
      </c>
      <c r="L1766" s="2" t="s">
        <v>287</v>
      </c>
      <c r="M1766" s="33">
        <f>IFERROR(VLOOKUP(TA[[#This Row],[Affected Equipment]],'Basic Data'!$I$2:$K$40,3,0),"")</f>
        <v>8.6206896551724102E-3</v>
      </c>
      <c r="N1766">
        <v>-28</v>
      </c>
      <c r="O1766" t="s">
        <v>135</v>
      </c>
      <c r="P1766" s="22" t="s">
        <v>314</v>
      </c>
      <c r="Q1766" s="2" t="s">
        <v>320</v>
      </c>
      <c r="R1766">
        <v>45</v>
      </c>
      <c r="S1766" s="2">
        <v>8</v>
      </c>
      <c r="T1766" t="s">
        <v>288</v>
      </c>
      <c r="U1766" t="s">
        <v>291</v>
      </c>
      <c r="V1766" t="s">
        <v>292</v>
      </c>
      <c r="W1766" s="32"/>
      <c r="X1766" s="32"/>
      <c r="Y1766" s="26"/>
      <c r="Z1766" s="26"/>
      <c r="AA1766" s="27">
        <f>IF(TA[[#This Row],[Work Start time on Fault]]="NA","",(TA[[#This Row],[Fault Acknowledgement Time ]]-TA[[#This Row],[Fault Time]])*24)</f>
        <v>0</v>
      </c>
      <c r="AB1766" s="27">
        <f>(TA[[#This Row],[Work Start time on Fault]]-TA[[#This Row],[Fault Time]])*24</f>
        <v>0</v>
      </c>
      <c r="AC1766" s="26">
        <f>(TA[[#This Row],[Work Completion time on fault]]-TA[[#This Row],[Fault Time]])*24</f>
        <v>0</v>
      </c>
      <c r="AD1766" s="27">
        <f>IFERROR((TA[[#This Row],[Work Completion time on fault]]-TA[[#This Row],[Fault Time]])*24,"")</f>
        <v>0</v>
      </c>
      <c r="AE1766" t="s">
        <v>319</v>
      </c>
      <c r="AF1766" t="s">
        <v>247</v>
      </c>
      <c r="AG1766" s="2"/>
      <c r="AH1766" s="35">
        <f>1-COS(RADIANS(TA[[#This Row],[Avg. Target Angle during Fault Time (Radians)]]-TA[[#This Row],[Angle of affected equipment ]]))</f>
        <v>0.11705240714107301</v>
      </c>
      <c r="AI1766" s="27">
        <f>IFERROR(TA[[#This Row],[Breakdown Time]]*TA[[#This Row],[Plant Equivalent Weightage]],"")</f>
        <v>0</v>
      </c>
    </row>
    <row r="1767" spans="1:35">
      <c r="A1767" s="2">
        <f t="shared" si="218"/>
        <v>1764</v>
      </c>
      <c r="B1767" s="143">
        <f t="shared" si="225"/>
        <v>2026</v>
      </c>
      <c r="C1767" s="116">
        <f t="shared" si="226"/>
        <v>2025</v>
      </c>
      <c r="D1767" s="2" t="s">
        <v>155</v>
      </c>
      <c r="E1767" s="2" t="s">
        <v>155</v>
      </c>
      <c r="F1767" s="30">
        <v>45870</v>
      </c>
      <c r="G1767" s="2">
        <f>DAY(EOMONTH(TA[[#This Row],[Month Year]],0))</f>
        <v>31</v>
      </c>
      <c r="H1767" s="21">
        <v>45872</v>
      </c>
      <c r="I1767" s="32">
        <f>IFERROR(VLOOKUP(TA[[#This Row],[Date]],Raw_Data[[Date]:[Sunset Time (POA&lt;20 W/m2)]],3,0),"")</f>
        <v>0.25694444444444442</v>
      </c>
      <c r="J1767" s="32">
        <f>IFERROR(VLOOKUP(TA[[#This Row],[Date]],Raw_Data[[Date]:[Sunset Time (POA&lt;20 W/m2)]],4,0),"")</f>
        <v>0.77777777777777779</v>
      </c>
      <c r="K1767" s="27">
        <f>IFERROR((TA[[#This Row],[Sunset Time (POA&lt;20 W/m2)]]-TA[[#This Row],[Sunrise Time (POA&gt;20 W/m2)]])*24,"")</f>
        <v>12.5</v>
      </c>
      <c r="L1767" s="2" t="s">
        <v>287</v>
      </c>
      <c r="M1767" s="33">
        <f>IFERROR(VLOOKUP(TA[[#This Row],[Affected Equipment]],'Basic Data'!$I$2:$K$40,3,0),"")</f>
        <v>8.6206896551724102E-3</v>
      </c>
      <c r="N1767">
        <v>-28</v>
      </c>
      <c r="O1767" t="s">
        <v>135</v>
      </c>
      <c r="P1767" s="22" t="s">
        <v>314</v>
      </c>
      <c r="Q1767" s="2" t="s">
        <v>320</v>
      </c>
      <c r="R1767">
        <v>47</v>
      </c>
      <c r="S1767" s="2">
        <v>18</v>
      </c>
      <c r="T1767" t="s">
        <v>288</v>
      </c>
      <c r="U1767" t="s">
        <v>291</v>
      </c>
      <c r="V1767" t="s">
        <v>292</v>
      </c>
      <c r="W1767" s="32"/>
      <c r="X1767" s="32"/>
      <c r="Y1767" s="26"/>
      <c r="Z1767" s="26"/>
      <c r="AA1767" s="27">
        <f>IF(TA[[#This Row],[Work Start time on Fault]]="NA","",(TA[[#This Row],[Fault Acknowledgement Time ]]-TA[[#This Row],[Fault Time]])*24)</f>
        <v>0</v>
      </c>
      <c r="AB1767" s="27">
        <f>(TA[[#This Row],[Work Start time on Fault]]-TA[[#This Row],[Fault Time]])*24</f>
        <v>0</v>
      </c>
      <c r="AC1767" s="26">
        <f>(TA[[#This Row],[Work Completion time on fault]]-TA[[#This Row],[Fault Time]])*24</f>
        <v>0</v>
      </c>
      <c r="AD1767" s="27">
        <f>IFERROR((TA[[#This Row],[Work Completion time on fault]]-TA[[#This Row],[Fault Time]])*24,"")</f>
        <v>0</v>
      </c>
      <c r="AE1767" t="s">
        <v>319</v>
      </c>
      <c r="AF1767" t="s">
        <v>247</v>
      </c>
      <c r="AG1767" s="2"/>
      <c r="AH1767" s="35">
        <f>1-COS(RADIANS(TA[[#This Row],[Avg. Target Angle during Fault Time (Radians)]]-TA[[#This Row],[Angle of affected equipment ]]))</f>
        <v>0.11705240714107301</v>
      </c>
      <c r="AI1767" s="27">
        <f>IFERROR(TA[[#This Row],[Breakdown Time]]*TA[[#This Row],[Plant Equivalent Weightage]],"")</f>
        <v>0</v>
      </c>
    </row>
    <row r="1768" spans="1:35">
      <c r="A1768" s="2">
        <f t="shared" si="218"/>
        <v>1765</v>
      </c>
      <c r="B1768" s="143">
        <f t="shared" si="225"/>
        <v>2026</v>
      </c>
      <c r="C1768" s="116">
        <f t="shared" si="226"/>
        <v>2025</v>
      </c>
      <c r="D1768" s="2" t="s">
        <v>155</v>
      </c>
      <c r="E1768" s="2" t="s">
        <v>155</v>
      </c>
      <c r="F1768" s="30">
        <v>45870</v>
      </c>
      <c r="G1768" s="2">
        <f>DAY(EOMONTH(TA[[#This Row],[Month Year]],0))</f>
        <v>31</v>
      </c>
      <c r="H1768" s="21">
        <v>45872</v>
      </c>
      <c r="I1768" s="32">
        <f>IFERROR(VLOOKUP(TA[[#This Row],[Date]],Raw_Data[[Date]:[Sunset Time (POA&lt;20 W/m2)]],3,0),"")</f>
        <v>0.25694444444444442</v>
      </c>
      <c r="J1768" s="32">
        <f>IFERROR(VLOOKUP(TA[[#This Row],[Date]],Raw_Data[[Date]:[Sunset Time (POA&lt;20 W/m2)]],4,0),"")</f>
        <v>0.77777777777777779</v>
      </c>
      <c r="K1768" s="27">
        <f>IFERROR((TA[[#This Row],[Sunset Time (POA&lt;20 W/m2)]]-TA[[#This Row],[Sunrise Time (POA&gt;20 W/m2)]])*24,"")</f>
        <v>12.5</v>
      </c>
      <c r="L1768" s="2" t="s">
        <v>287</v>
      </c>
      <c r="M1768" s="33">
        <f>IFERROR(VLOOKUP(TA[[#This Row],[Affected Equipment]],'Basic Data'!$I$2:$K$40,3,0),"")</f>
        <v>8.6206896551724102E-3</v>
      </c>
      <c r="N1768">
        <v>-28</v>
      </c>
      <c r="O1768" t="s">
        <v>134</v>
      </c>
      <c r="P1768" s="22" t="s">
        <v>321</v>
      </c>
      <c r="Q1768" s="2" t="s">
        <v>314</v>
      </c>
      <c r="R1768">
        <v>30</v>
      </c>
      <c r="S1768" s="2">
        <v>57</v>
      </c>
      <c r="T1768" t="s">
        <v>288</v>
      </c>
      <c r="U1768" t="s">
        <v>291</v>
      </c>
      <c r="V1768" t="s">
        <v>292</v>
      </c>
      <c r="W1768" s="32"/>
      <c r="X1768" s="32"/>
      <c r="Y1768" s="26"/>
      <c r="Z1768" s="26"/>
      <c r="AA1768" s="27">
        <f>IF(TA[[#This Row],[Work Start time on Fault]]="NA","",(TA[[#This Row],[Fault Acknowledgement Time ]]-TA[[#This Row],[Fault Time]])*24)</f>
        <v>0</v>
      </c>
      <c r="AB1768" s="27">
        <f>(TA[[#This Row],[Work Start time on Fault]]-TA[[#This Row],[Fault Time]])*24</f>
        <v>0</v>
      </c>
      <c r="AC1768" s="26">
        <f>(TA[[#This Row],[Work Completion time on fault]]-TA[[#This Row],[Fault Time]])*24</f>
        <v>0</v>
      </c>
      <c r="AD1768" s="27">
        <f>IFERROR((TA[[#This Row],[Work Completion time on fault]]-TA[[#This Row],[Fault Time]])*24,"")</f>
        <v>0</v>
      </c>
      <c r="AE1768" t="s">
        <v>319</v>
      </c>
      <c r="AF1768" t="s">
        <v>247</v>
      </c>
      <c r="AG1768" s="2"/>
      <c r="AH1768" s="35">
        <f>1-COS(RADIANS(TA[[#This Row],[Avg. Target Angle during Fault Time (Radians)]]-TA[[#This Row],[Angle of affected equipment ]]))</f>
        <v>0.11705240714107301</v>
      </c>
      <c r="AI1768" s="27">
        <f>IFERROR(TA[[#This Row],[Breakdown Time]]*TA[[#This Row],[Plant Equivalent Weightage]],"")</f>
        <v>0</v>
      </c>
    </row>
    <row r="1769" spans="1:35">
      <c r="A1769" s="2">
        <f t="shared" si="218"/>
        <v>1766</v>
      </c>
      <c r="B1769" s="143">
        <f t="shared" si="225"/>
        <v>2026</v>
      </c>
      <c r="C1769" s="116">
        <f t="shared" si="226"/>
        <v>2025</v>
      </c>
      <c r="D1769" s="2" t="s">
        <v>155</v>
      </c>
      <c r="E1769" s="2" t="s">
        <v>155</v>
      </c>
      <c r="F1769" s="30">
        <v>45870</v>
      </c>
      <c r="G1769" s="2">
        <f>DAY(EOMONTH(TA[[#This Row],[Month Year]],0))</f>
        <v>31</v>
      </c>
      <c r="H1769" s="21">
        <v>45872</v>
      </c>
      <c r="I1769" s="32">
        <f>IFERROR(VLOOKUP(TA[[#This Row],[Date]],Raw_Data[[Date]:[Sunset Time (POA&lt;20 W/m2)]],3,0),"")</f>
        <v>0.25694444444444442</v>
      </c>
      <c r="J1769" s="32">
        <f>IFERROR(VLOOKUP(TA[[#This Row],[Date]],Raw_Data[[Date]:[Sunset Time (POA&lt;20 W/m2)]],4,0),"")</f>
        <v>0.77777777777777779</v>
      </c>
      <c r="K1769" s="27">
        <f>IFERROR((TA[[#This Row],[Sunset Time (POA&lt;20 W/m2)]]-TA[[#This Row],[Sunrise Time (POA&gt;20 W/m2)]])*24,"")</f>
        <v>12.5</v>
      </c>
      <c r="L1769" s="2" t="s">
        <v>287</v>
      </c>
      <c r="M1769" s="33">
        <f>IFERROR(VLOOKUP(TA[[#This Row],[Affected Equipment]],'Basic Data'!$I$2:$K$40,3,0),"")</f>
        <v>8.6206896551724102E-3</v>
      </c>
      <c r="N1769">
        <v>-28</v>
      </c>
      <c r="O1769" t="s">
        <v>134</v>
      </c>
      <c r="P1769" s="22" t="s">
        <v>321</v>
      </c>
      <c r="Q1769" s="2" t="s">
        <v>314</v>
      </c>
      <c r="R1769">
        <v>31</v>
      </c>
      <c r="S1769" s="2">
        <v>61</v>
      </c>
      <c r="T1769" t="s">
        <v>288</v>
      </c>
      <c r="U1769" t="s">
        <v>291</v>
      </c>
      <c r="V1769" t="s">
        <v>292</v>
      </c>
      <c r="W1769" s="32"/>
      <c r="X1769" s="32"/>
      <c r="Y1769" s="26"/>
      <c r="Z1769" s="26"/>
      <c r="AA1769" s="27">
        <f>IF(TA[[#This Row],[Work Start time on Fault]]="NA","",(TA[[#This Row],[Fault Acknowledgement Time ]]-TA[[#This Row],[Fault Time]])*24)</f>
        <v>0</v>
      </c>
      <c r="AB1769" s="27">
        <f>(TA[[#This Row],[Work Start time on Fault]]-TA[[#This Row],[Fault Time]])*24</f>
        <v>0</v>
      </c>
      <c r="AC1769" s="26">
        <f>(TA[[#This Row],[Work Completion time on fault]]-TA[[#This Row],[Fault Time]])*24</f>
        <v>0</v>
      </c>
      <c r="AD1769" s="27">
        <f>IFERROR((TA[[#This Row],[Work Completion time on fault]]-TA[[#This Row],[Fault Time]])*24,"")</f>
        <v>0</v>
      </c>
      <c r="AE1769" t="s">
        <v>319</v>
      </c>
      <c r="AF1769" t="s">
        <v>247</v>
      </c>
      <c r="AG1769" s="2"/>
      <c r="AH1769" s="35">
        <f>1-COS(RADIANS(TA[[#This Row],[Avg. Target Angle during Fault Time (Radians)]]-TA[[#This Row],[Angle of affected equipment ]]))</f>
        <v>0.11705240714107301</v>
      </c>
      <c r="AI1769" s="27">
        <f>IFERROR(TA[[#This Row],[Breakdown Time]]*TA[[#This Row],[Plant Equivalent Weightage]],"")</f>
        <v>0</v>
      </c>
    </row>
    <row r="1770" spans="1:35">
      <c r="A1770" s="2">
        <f t="shared" si="218"/>
        <v>1767</v>
      </c>
      <c r="B1770" s="143">
        <f t="shared" si="225"/>
        <v>2026</v>
      </c>
      <c r="C1770" s="116">
        <f t="shared" si="226"/>
        <v>2025</v>
      </c>
      <c r="D1770" s="2" t="s">
        <v>155</v>
      </c>
      <c r="E1770" s="2" t="s">
        <v>155</v>
      </c>
      <c r="F1770" s="30">
        <v>45870</v>
      </c>
      <c r="G1770" s="2">
        <f>DAY(EOMONTH(TA[[#This Row],[Month Year]],0))</f>
        <v>31</v>
      </c>
      <c r="H1770" s="21">
        <v>45872</v>
      </c>
      <c r="I1770" s="32">
        <f>IFERROR(VLOOKUP(TA[[#This Row],[Date]],Raw_Data[[Date]:[Sunset Time (POA&lt;20 W/m2)]],3,0),"")</f>
        <v>0.25694444444444442</v>
      </c>
      <c r="J1770" s="32">
        <f>IFERROR(VLOOKUP(TA[[#This Row],[Date]],Raw_Data[[Date]:[Sunset Time (POA&lt;20 W/m2)]],4,0),"")</f>
        <v>0.77777777777777779</v>
      </c>
      <c r="K1770" s="27">
        <f>IFERROR((TA[[#This Row],[Sunset Time (POA&lt;20 W/m2)]]-TA[[#This Row],[Sunrise Time (POA&gt;20 W/m2)]])*24,"")</f>
        <v>12.5</v>
      </c>
      <c r="L1770" s="2" t="s">
        <v>303</v>
      </c>
      <c r="M1770" s="33">
        <f>IFERROR(VLOOKUP(TA[[#This Row],[Affected Equipment]],'Basic Data'!$I$2:$K$40,3,0),"")</f>
        <v>5.74712643678161E-3</v>
      </c>
      <c r="N1770">
        <v>-28</v>
      </c>
      <c r="O1770" t="s">
        <v>133</v>
      </c>
      <c r="P1770" s="22" t="s">
        <v>321</v>
      </c>
      <c r="Q1770" s="2" t="s">
        <v>314</v>
      </c>
      <c r="R1770">
        <v>26</v>
      </c>
      <c r="S1770" s="2">
        <v>37</v>
      </c>
      <c r="T1770" t="s">
        <v>288</v>
      </c>
      <c r="U1770" t="s">
        <v>291</v>
      </c>
      <c r="V1770" t="s">
        <v>292</v>
      </c>
      <c r="W1770" s="32"/>
      <c r="X1770" s="32"/>
      <c r="Y1770" s="26"/>
      <c r="Z1770" s="26"/>
      <c r="AA1770" s="27">
        <f>IF(TA[[#This Row],[Work Start time on Fault]]="NA","",(TA[[#This Row],[Fault Acknowledgement Time ]]-TA[[#This Row],[Fault Time]])*24)</f>
        <v>0</v>
      </c>
      <c r="AB1770" s="27">
        <f>(TA[[#This Row],[Work Start time on Fault]]-TA[[#This Row],[Fault Time]])*24</f>
        <v>0</v>
      </c>
      <c r="AC1770" s="26">
        <f>(TA[[#This Row],[Work Completion time on fault]]-TA[[#This Row],[Fault Time]])*24</f>
        <v>0</v>
      </c>
      <c r="AD1770" s="27">
        <f>IFERROR((TA[[#This Row],[Work Completion time on fault]]-TA[[#This Row],[Fault Time]])*24,"")</f>
        <v>0</v>
      </c>
      <c r="AE1770" t="s">
        <v>319</v>
      </c>
      <c r="AF1770" t="s">
        <v>247</v>
      </c>
      <c r="AG1770" s="2"/>
      <c r="AH1770" s="35">
        <f>1-COS(RADIANS(TA[[#This Row],[Avg. Target Angle during Fault Time (Radians)]]-TA[[#This Row],[Angle of affected equipment ]]))</f>
        <v>0.11705240714107301</v>
      </c>
      <c r="AI1770" s="27">
        <f>IFERROR(TA[[#This Row],[Breakdown Time]]*TA[[#This Row],[Plant Equivalent Weightage]],"")</f>
        <v>0</v>
      </c>
    </row>
    <row r="1771" spans="1:35">
      <c r="A1771" s="2">
        <f t="shared" si="218"/>
        <v>1768</v>
      </c>
      <c r="B1771" s="143">
        <f t="shared" si="225"/>
        <v>2026</v>
      </c>
      <c r="C1771" s="116">
        <f t="shared" si="226"/>
        <v>2025</v>
      </c>
      <c r="D1771" s="2" t="s">
        <v>155</v>
      </c>
      <c r="E1771" s="2" t="s">
        <v>155</v>
      </c>
      <c r="F1771" s="30">
        <v>45870</v>
      </c>
      <c r="G1771" s="2">
        <f>DAY(EOMONTH(TA[[#This Row],[Month Year]],0))</f>
        <v>31</v>
      </c>
      <c r="H1771" s="21">
        <v>45872</v>
      </c>
      <c r="I1771" s="32">
        <f>IFERROR(VLOOKUP(TA[[#This Row],[Date]],Raw_Data[[Date]:[Sunset Time (POA&lt;20 W/m2)]],3,0),"")</f>
        <v>0.25694444444444442</v>
      </c>
      <c r="J1771" s="32">
        <f>IFERROR(VLOOKUP(TA[[#This Row],[Date]],Raw_Data[[Date]:[Sunset Time (POA&lt;20 W/m2)]],4,0),"")</f>
        <v>0.77777777777777779</v>
      </c>
      <c r="K1771" s="27">
        <f>IFERROR((TA[[#This Row],[Sunset Time (POA&lt;20 W/m2)]]-TA[[#This Row],[Sunrise Time (POA&gt;20 W/m2)]])*24,"")</f>
        <v>12.5</v>
      </c>
      <c r="L1771" s="2" t="s">
        <v>303</v>
      </c>
      <c r="M1771" s="33">
        <f>IFERROR(VLOOKUP(TA[[#This Row],[Affected Equipment]],'Basic Data'!$I$2:$K$40,3,0),"")</f>
        <v>5.74712643678161E-3</v>
      </c>
      <c r="N1771">
        <v>-28</v>
      </c>
      <c r="O1771" t="s">
        <v>133</v>
      </c>
      <c r="P1771" s="22" t="s">
        <v>321</v>
      </c>
      <c r="Q1771" s="2" t="s">
        <v>314</v>
      </c>
      <c r="R1771">
        <v>27</v>
      </c>
      <c r="S1771" s="2">
        <v>42</v>
      </c>
      <c r="T1771" t="s">
        <v>288</v>
      </c>
      <c r="U1771" t="s">
        <v>291</v>
      </c>
      <c r="V1771" t="s">
        <v>292</v>
      </c>
      <c r="W1771" s="32">
        <f>IFERROR(VLOOKUP(TA[[#This Row],[Date]],Raw_Data[[Date]:[Sunset Time (POA&lt;20 W/m2)]],3,0),"")</f>
        <v>0.25694444444444442</v>
      </c>
      <c r="X1771" s="32">
        <f>IFERROR(VLOOKUP(TA[[#This Row],[Date]],Raw_Data[[Date]:[Sunset Time (POA&lt;20 W/m2)]],3,0),"")</f>
        <v>0.25694444444444442</v>
      </c>
      <c r="Y1771" s="26"/>
      <c r="Z1771" s="26">
        <v>0.76041666666666663</v>
      </c>
      <c r="AA1771" s="27">
        <f>IF(TA[[#This Row],[Work Start time on Fault]]="NA","",(TA[[#This Row],[Fault Acknowledgement Time ]]-TA[[#This Row],[Fault Time]])*24)</f>
        <v>0</v>
      </c>
      <c r="AB1771" s="27">
        <f>(TA[[#This Row],[Work Start time on Fault]]-TA[[#This Row],[Fault Time]])*24</f>
        <v>-6.1666666666666661</v>
      </c>
      <c r="AC1771" s="26">
        <f>(TA[[#This Row],[Work Completion time on fault]]-TA[[#This Row],[Fault Time]])*24</f>
        <v>12.083333333333332</v>
      </c>
      <c r="AD1771" s="27">
        <f>IFERROR((TA[[#This Row],[Work Completion time on fault]]-TA[[#This Row],[Fault Time]])*24,"")</f>
        <v>12.083333333333332</v>
      </c>
      <c r="AE1771" t="s">
        <v>300</v>
      </c>
      <c r="AF1771" t="s">
        <v>247</v>
      </c>
      <c r="AG1771" s="2"/>
      <c r="AH1771" s="35">
        <f>1-COS(RADIANS(TA[[#This Row],[Avg. Target Angle during Fault Time (Radians)]]-TA[[#This Row],[Angle of affected equipment ]]))</f>
        <v>0.11705240714107301</v>
      </c>
      <c r="AI1771" s="27">
        <f>IFERROR(TA[[#This Row],[Breakdown Time]]*TA[[#This Row],[Plant Equivalent Weightage]],"")</f>
        <v>6.9444444444444448E-2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 L1707:L1713 L1720:L1726 L1733:L1739 L1746:L1752 L1759:L1765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 T1707:T1713 T1720:T1726 T1733:T1739 T1746:T1752 T1759:T1765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 O1707:O1713 O1720:O1726 O1733:O1739 O1746:O1752 O1759:O1765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AF4:AF1771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I126" sqref="I126"/>
    </sheetView>
  </sheetViews>
  <sheetFormatPr defaultColWidth="9" defaultRowHeight="14.5"/>
  <cols>
    <col min="1" max="1" width="8.7265625" style="2"/>
    <col min="2" max="2" width="11.26953125" style="2" customWidth="1"/>
    <col min="3" max="3" width="12.26953125" style="2" customWidth="1"/>
    <col min="4" max="4" width="14.26953125" style="2" customWidth="1"/>
    <col min="5" max="5" width="13.7265625" style="2" customWidth="1"/>
    <col min="6" max="6" width="10.7265625" style="2" customWidth="1"/>
    <col min="7" max="7" width="8.7265625" style="2"/>
    <col min="8" max="8" width="12.54296875" style="2" customWidth="1"/>
    <col min="9" max="9" width="12.26953125" customWidth="1"/>
    <col min="10" max="10" width="11.453125" customWidth="1"/>
    <col min="11" max="16" width="8.7265625" customWidth="1"/>
    <col min="17" max="17" width="17.7265625" style="2" customWidth="1"/>
    <col min="18" max="18" width="13" customWidth="1"/>
    <col min="19" max="19" width="12.54296875" customWidth="1"/>
    <col min="20" max="20" width="13.54296875" customWidth="1"/>
    <col min="21" max="21" width="9.7265625" customWidth="1"/>
    <col min="22" max="22" width="10.7265625" customWidth="1"/>
    <col min="23" max="23" width="9.7265625" customWidth="1"/>
    <col min="24" max="24" width="10.7265625" hidden="1" customWidth="1"/>
    <col min="28" max="28" width="13.7265625" customWidth="1"/>
    <col min="30" max="30" width="18.26953125" customWidth="1"/>
    <col min="32" max="32" width="20.7265625" customWidth="1"/>
  </cols>
  <sheetData>
    <row r="1" spans="1:26" hidden="1"/>
    <row r="2" spans="1:26" s="1" customFormat="1" ht="29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332</v>
      </c>
      <c r="J2" s="1" t="s">
        <v>333</v>
      </c>
      <c r="K2" s="20" t="s">
        <v>334</v>
      </c>
      <c r="L2" s="20" t="s">
        <v>335</v>
      </c>
      <c r="M2" s="20" t="s">
        <v>336</v>
      </c>
      <c r="N2" s="20" t="s">
        <v>337</v>
      </c>
      <c r="O2" s="20" t="s">
        <v>338</v>
      </c>
      <c r="P2" s="20" t="s">
        <v>339</v>
      </c>
      <c r="Q2" s="17" t="s">
        <v>340</v>
      </c>
      <c r="R2" s="20" t="s">
        <v>341</v>
      </c>
      <c r="S2" s="20" t="s">
        <v>342</v>
      </c>
      <c r="T2" s="20" t="s">
        <v>343</v>
      </c>
      <c r="U2" s="20" t="s">
        <v>344</v>
      </c>
      <c r="V2" s="20" t="s">
        <v>345</v>
      </c>
      <c r="W2" s="1" t="s">
        <v>346</v>
      </c>
      <c r="X2" s="20" t="s">
        <v>347</v>
      </c>
      <c r="Y2" s="1" t="s">
        <v>322</v>
      </c>
      <c r="Z2" s="1" t="s">
        <v>348</v>
      </c>
    </row>
    <row r="3" spans="1:26">
      <c r="A3" s="2">
        <v>1</v>
      </c>
      <c r="B3" s="143">
        <f>YEAR(H3)+IF(MONTH(H3)&gt;=4,1,0)</f>
        <v>2025</v>
      </c>
      <c r="C3" s="116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349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43">
        <f t="shared" ref="B4:B40" si="2">YEAR(H4)+IF(MONTH(H4)&gt;=4,1,0)</f>
        <v>2025</v>
      </c>
      <c r="C4" s="116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349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43">
        <f t="shared" si="2"/>
        <v>2025</v>
      </c>
      <c r="C5" s="116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349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43">
        <f t="shared" si="2"/>
        <v>2026</v>
      </c>
      <c r="C6" s="116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349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43">
        <f t="shared" si="2"/>
        <v>2026</v>
      </c>
      <c r="C7" s="116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349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43">
        <f t="shared" si="2"/>
        <v>2026</v>
      </c>
      <c r="C8" s="116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349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43">
        <f t="shared" si="2"/>
        <v>2026</v>
      </c>
      <c r="C9" s="116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349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43">
        <f t="shared" si="2"/>
        <v>2026</v>
      </c>
      <c r="C10" s="116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349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43">
        <f t="shared" si="2"/>
        <v>2026</v>
      </c>
      <c r="C11" s="116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349</v>
      </c>
      <c r="Q11" s="2">
        <f>SUM(MC[[#This Row],[IC1_Inv1_MC]:[IC2_Inv2_MC]])</f>
        <v>0</v>
      </c>
    </row>
    <row r="12" spans="1:26">
      <c r="A12" s="2">
        <f t="shared" si="6"/>
        <v>10</v>
      </c>
      <c r="B12" s="143">
        <f t="shared" si="2"/>
        <v>2026</v>
      </c>
      <c r="C12" s="116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349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43">
        <f t="shared" si="2"/>
        <v>2026</v>
      </c>
      <c r="C13" s="116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349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43">
        <f t="shared" si="2"/>
        <v>2026</v>
      </c>
      <c r="C14" s="116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349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43">
        <f t="shared" si="2"/>
        <v>2026</v>
      </c>
      <c r="C15" s="116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349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43">
        <f t="shared" si="2"/>
        <v>2026</v>
      </c>
      <c r="C16" s="116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349</v>
      </c>
      <c r="Q16" s="2">
        <f>SUM(MC[[#This Row],[IC1_Inv1_MC]:[IC2_Inv2_MC]])</f>
        <v>0</v>
      </c>
    </row>
    <row r="17" spans="1:17">
      <c r="A17" s="2">
        <f t="shared" si="6"/>
        <v>15</v>
      </c>
      <c r="B17" s="143">
        <f t="shared" si="2"/>
        <v>2026</v>
      </c>
      <c r="C17" s="116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349</v>
      </c>
      <c r="Q17" s="2">
        <f>SUM(MC[[#This Row],[IC1_Inv1_MC]:[IC2_Inv2_MC]])</f>
        <v>0</v>
      </c>
    </row>
    <row r="18" spans="1:17">
      <c r="A18" s="2">
        <f t="shared" si="6"/>
        <v>16</v>
      </c>
      <c r="B18" s="143">
        <f t="shared" si="2"/>
        <v>2026</v>
      </c>
      <c r="C18" s="116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349</v>
      </c>
      <c r="Q18" s="2">
        <f>SUM(MC[[#This Row],[IC1_Inv1_MC]:[IC2_Inv2_MC]])</f>
        <v>0</v>
      </c>
    </row>
    <row r="19" spans="1:17">
      <c r="A19" s="2">
        <f t="shared" si="6"/>
        <v>17</v>
      </c>
      <c r="B19" s="143">
        <f t="shared" si="2"/>
        <v>2026</v>
      </c>
      <c r="C19" s="116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349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43">
        <f t="shared" si="2"/>
        <v>2026</v>
      </c>
      <c r="C20" s="116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349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43">
        <f t="shared" si="2"/>
        <v>2026</v>
      </c>
      <c r="C21" s="116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349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43">
        <f t="shared" si="2"/>
        <v>2026</v>
      </c>
      <c r="C22" s="116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349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43">
        <f t="shared" si="2"/>
        <v>2026</v>
      </c>
      <c r="C23" s="116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349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43">
        <f t="shared" si="2"/>
        <v>2026</v>
      </c>
      <c r="C24" s="116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349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43">
        <f t="shared" si="2"/>
        <v>2026</v>
      </c>
      <c r="C25" s="116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349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43">
        <f t="shared" si="2"/>
        <v>2026</v>
      </c>
      <c r="C26" s="116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349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43">
        <f t="shared" si="2"/>
        <v>2026</v>
      </c>
      <c r="C27" s="116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349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43">
        <f t="shared" si="2"/>
        <v>2026</v>
      </c>
      <c r="C28" s="116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349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43">
        <f t="shared" si="2"/>
        <v>2026</v>
      </c>
      <c r="C29" s="116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349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43">
        <f t="shared" si="2"/>
        <v>2026</v>
      </c>
      <c r="C30" s="116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349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43">
        <f t="shared" si="2"/>
        <v>2026</v>
      </c>
      <c r="C31" s="116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349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43">
        <f t="shared" si="2"/>
        <v>2026</v>
      </c>
      <c r="C32" s="116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349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43">
        <f t="shared" si="2"/>
        <v>2026</v>
      </c>
      <c r="C33" s="116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349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43">
        <f t="shared" si="2"/>
        <v>2026</v>
      </c>
      <c r="C34" s="116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349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43">
        <f t="shared" si="2"/>
        <v>2026</v>
      </c>
      <c r="C35" s="116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349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43">
        <f t="shared" si="2"/>
        <v>2026</v>
      </c>
      <c r="C36" s="116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349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43">
        <f t="shared" si="2"/>
        <v>2026</v>
      </c>
      <c r="C37" s="116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349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43">
        <f t="shared" si="2"/>
        <v>2026</v>
      </c>
      <c r="C38" s="116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349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43">
        <f t="shared" si="2"/>
        <v>2026</v>
      </c>
      <c r="C39" s="116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349</v>
      </c>
      <c r="Q39" s="2">
        <f>SUM(MC[[#This Row],[IC1_Inv1_MC]:[IC2_Inv2_MC]])</f>
        <v>0</v>
      </c>
    </row>
    <row r="40" spans="1:17">
      <c r="A40" s="2">
        <f t="shared" si="6"/>
        <v>38</v>
      </c>
      <c r="B40" s="143">
        <f t="shared" si="2"/>
        <v>2026</v>
      </c>
      <c r="C40" s="116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349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43">
        <f t="shared" ref="B41" si="45">YEAR(H41)+IF(MONTH(H41)&gt;=4,1,0)</f>
        <v>2026</v>
      </c>
      <c r="C41" s="116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349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43">
        <f t="shared" ref="B42" si="48">YEAR(H42)+IF(MONTH(H42)&gt;=4,1,0)</f>
        <v>2026</v>
      </c>
      <c r="C42" s="116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349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43">
        <f t="shared" ref="B43" si="51">YEAR(H43)+IF(MONTH(H43)&gt;=4,1,0)</f>
        <v>2026</v>
      </c>
      <c r="C43" s="116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349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43">
        <f t="shared" ref="B44" si="54">YEAR(H44)+IF(MONTH(H44)&gt;=4,1,0)</f>
        <v>2026</v>
      </c>
      <c r="C44" s="116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349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43">
        <f t="shared" ref="B45" si="57">YEAR(H45)+IF(MONTH(H45)&gt;=4,1,0)</f>
        <v>2026</v>
      </c>
      <c r="C45" s="116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349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43">
        <f t="shared" ref="B46" si="60">YEAR(H46)+IF(MONTH(H46)&gt;=4,1,0)</f>
        <v>2026</v>
      </c>
      <c r="C46" s="116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349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43">
        <f t="shared" ref="B47" si="63">YEAR(H47)+IF(MONTH(H47)&gt;=4,1,0)</f>
        <v>2026</v>
      </c>
      <c r="C47" s="116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349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43">
        <f t="shared" ref="B48" si="66">YEAR(H48)+IF(MONTH(H48)&gt;=4,1,0)</f>
        <v>2026</v>
      </c>
      <c r="C48" s="116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349</v>
      </c>
      <c r="Q48" s="2">
        <f>SUM(MC[[#This Row],[IC1_Inv1_MC]:[IC2_Inv2_MC]])</f>
        <v>0</v>
      </c>
    </row>
    <row r="49" spans="1:17">
      <c r="A49" s="2">
        <f t="shared" si="6"/>
        <v>47</v>
      </c>
      <c r="B49" s="143">
        <f t="shared" ref="B49" si="69">YEAR(H49)+IF(MONTH(H49)&gt;=4,1,0)</f>
        <v>2026</v>
      </c>
      <c r="C49" s="116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349</v>
      </c>
      <c r="Q49" s="2">
        <f>SUM(MC[[#This Row],[IC1_Inv1_MC]:[IC2_Inv2_MC]])</f>
        <v>0</v>
      </c>
    </row>
    <row r="50" spans="1:17">
      <c r="A50" s="2">
        <f t="shared" si="6"/>
        <v>48</v>
      </c>
      <c r="B50" s="143">
        <f t="shared" ref="B50" si="72">YEAR(H50)+IF(MONTH(H50)&gt;=4,1,0)</f>
        <v>2026</v>
      </c>
      <c r="C50" s="116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349</v>
      </c>
      <c r="Q50" s="2">
        <f>SUM(MC[[#This Row],[IC1_Inv1_MC]:[IC2_Inv2_MC]])</f>
        <v>0</v>
      </c>
    </row>
    <row r="51" spans="1:17">
      <c r="A51" s="2">
        <f t="shared" si="6"/>
        <v>49</v>
      </c>
      <c r="B51" s="143">
        <f t="shared" ref="B51" si="75">YEAR(H51)+IF(MONTH(H51)&gt;=4,1,0)</f>
        <v>2026</v>
      </c>
      <c r="C51" s="116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349</v>
      </c>
      <c r="Q51" s="2">
        <f>SUM(MC[[#This Row],[IC1_Inv1_MC]:[IC2_Inv2_MC]])</f>
        <v>0</v>
      </c>
    </row>
    <row r="52" spans="1:17">
      <c r="A52" s="2">
        <f t="shared" si="6"/>
        <v>50</v>
      </c>
      <c r="B52" s="143">
        <f t="shared" ref="B52" si="78">YEAR(H52)+IF(MONTH(H52)&gt;=4,1,0)</f>
        <v>2026</v>
      </c>
      <c r="C52" s="116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349</v>
      </c>
      <c r="Q52" s="2">
        <f>SUM(MC[[#This Row],[IC1_Inv1_MC]:[IC2_Inv2_MC]])</f>
        <v>0</v>
      </c>
    </row>
    <row r="53" spans="1:17">
      <c r="A53" s="2">
        <f t="shared" si="6"/>
        <v>51</v>
      </c>
      <c r="B53" s="143">
        <f t="shared" ref="B53" si="81">YEAR(H53)+IF(MONTH(H53)&gt;=4,1,0)</f>
        <v>2026</v>
      </c>
      <c r="C53" s="116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349</v>
      </c>
      <c r="Q53" s="2">
        <f>SUM(MC[[#This Row],[IC1_Inv1_MC]:[IC2_Inv2_MC]])</f>
        <v>0</v>
      </c>
    </row>
    <row r="54" spans="1:17">
      <c r="A54" s="2">
        <f t="shared" si="6"/>
        <v>52</v>
      </c>
      <c r="B54" s="143">
        <f t="shared" ref="B54" si="84">YEAR(H54)+IF(MONTH(H54)&gt;=4,1,0)</f>
        <v>2026</v>
      </c>
      <c r="C54" s="116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349</v>
      </c>
      <c r="Q54" s="2">
        <f>SUM(MC[[#This Row],[IC1_Inv1_MC]:[IC2_Inv2_MC]])</f>
        <v>0</v>
      </c>
    </row>
    <row r="55" spans="1:17">
      <c r="A55" s="2">
        <f t="shared" si="6"/>
        <v>53</v>
      </c>
      <c r="B55" s="143">
        <f t="shared" ref="B55" si="87">YEAR(H55)+IF(MONTH(H55)&gt;=4,1,0)</f>
        <v>2026</v>
      </c>
      <c r="C55" s="116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349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43">
        <f t="shared" ref="B56" si="90">YEAR(H56)+IF(MONTH(H56)&gt;=4,1,0)</f>
        <v>2026</v>
      </c>
      <c r="C56" s="116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349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43">
        <f t="shared" ref="B57" si="93">YEAR(H57)+IF(MONTH(H57)&gt;=4,1,0)</f>
        <v>2026</v>
      </c>
      <c r="C57" s="116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349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43">
        <f t="shared" ref="B58" si="96">YEAR(H58)+IF(MONTH(H58)&gt;=4,1,0)</f>
        <v>2026</v>
      </c>
      <c r="C58" s="116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349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43">
        <f t="shared" ref="B59" si="99">YEAR(H59)+IF(MONTH(H59)&gt;=4,1,0)</f>
        <v>2026</v>
      </c>
      <c r="C59" s="116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349</v>
      </c>
      <c r="Q59" s="2">
        <f>SUM(MC[[#This Row],[IC1_Inv1_MC]:[IC2_Inv2_MC]])</f>
        <v>0</v>
      </c>
    </row>
    <row r="60" spans="1:17">
      <c r="A60" s="2">
        <f t="shared" si="6"/>
        <v>58</v>
      </c>
      <c r="B60" s="143">
        <f t="shared" ref="B60" si="102">YEAR(H60)+IF(MONTH(H60)&gt;=4,1,0)</f>
        <v>2026</v>
      </c>
      <c r="C60" s="116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349</v>
      </c>
      <c r="Q60" s="2">
        <f>SUM(MC[[#This Row],[IC1_Inv1_MC]:[IC2_Inv2_MC]])</f>
        <v>0</v>
      </c>
    </row>
    <row r="61" spans="1:17">
      <c r="A61" s="2">
        <f t="shared" si="6"/>
        <v>59</v>
      </c>
      <c r="B61" s="143">
        <f t="shared" ref="B61" si="105">YEAR(H61)+IF(MONTH(H61)&gt;=4,1,0)</f>
        <v>2026</v>
      </c>
      <c r="C61" s="116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349</v>
      </c>
      <c r="Q61" s="2">
        <f>SUM(MC[[#This Row],[IC1_Inv1_MC]:[IC2_Inv2_MC]])</f>
        <v>0</v>
      </c>
    </row>
    <row r="62" spans="1:17">
      <c r="A62" s="2">
        <f t="shared" si="6"/>
        <v>60</v>
      </c>
      <c r="B62" s="143">
        <f t="shared" ref="B62" si="108">YEAR(H62)+IF(MONTH(H62)&gt;=4,1,0)</f>
        <v>2026</v>
      </c>
      <c r="C62" s="116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349</v>
      </c>
      <c r="Q62" s="2">
        <f>SUM(MC[[#This Row],[IC1_Inv1_MC]:[IC2_Inv2_MC]])</f>
        <v>0</v>
      </c>
    </row>
    <row r="63" spans="1:17">
      <c r="A63" s="2">
        <f t="shared" si="6"/>
        <v>61</v>
      </c>
      <c r="B63" s="143">
        <f t="shared" ref="B63" si="112">YEAR(H63)+IF(MONTH(H63)&gt;=4,1,0)</f>
        <v>2026</v>
      </c>
      <c r="C63" s="116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349</v>
      </c>
      <c r="Q63" s="2">
        <f>SUM(MC[[#This Row],[IC1_Inv1_MC]:[IC2_Inv2_MC]])</f>
        <v>0</v>
      </c>
    </row>
    <row r="64" spans="1:17">
      <c r="A64" s="2">
        <f t="shared" si="6"/>
        <v>62</v>
      </c>
      <c r="B64" s="143">
        <f t="shared" ref="B64" si="115">YEAR(H64)+IF(MONTH(H64)&gt;=4,1,0)</f>
        <v>2026</v>
      </c>
      <c r="C64" s="116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349</v>
      </c>
      <c r="Q64" s="2">
        <f>SUM(MC[[#This Row],[IC1_Inv1_MC]:[IC2_Inv2_MC]])</f>
        <v>0</v>
      </c>
    </row>
    <row r="65" spans="1:17">
      <c r="A65" s="2">
        <f t="shared" si="6"/>
        <v>63</v>
      </c>
      <c r="B65" s="143">
        <f t="shared" ref="B65" si="118">YEAR(H65)+IF(MONTH(H65)&gt;=4,1,0)</f>
        <v>2026</v>
      </c>
      <c r="C65" s="116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349</v>
      </c>
      <c r="Q65" s="2">
        <f>SUM(MC[[#This Row],[IC1_Inv1_MC]:[IC2_Inv2_MC]])</f>
        <v>0</v>
      </c>
    </row>
    <row r="66" spans="1:17">
      <c r="A66" s="2">
        <f t="shared" si="6"/>
        <v>64</v>
      </c>
      <c r="B66" s="143">
        <f t="shared" ref="B66" si="121">YEAR(H66)+IF(MONTH(H66)&gt;=4,1,0)</f>
        <v>2026</v>
      </c>
      <c r="C66" s="116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349</v>
      </c>
      <c r="Q66" s="2">
        <f>SUM(MC[[#This Row],[IC1_Inv1_MC]:[IC2_Inv2_MC]])</f>
        <v>0</v>
      </c>
    </row>
    <row r="67" spans="1:17">
      <c r="A67" s="2">
        <f t="shared" si="6"/>
        <v>65</v>
      </c>
      <c r="B67" s="143">
        <f t="shared" ref="B67" si="124">YEAR(H67)+IF(MONTH(H67)&gt;=4,1,0)</f>
        <v>2026</v>
      </c>
      <c r="C67" s="116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349</v>
      </c>
      <c r="Q67" s="2">
        <f>SUM(MC[[#This Row],[IC1_Inv1_MC]:[IC2_Inv2_MC]])</f>
        <v>0</v>
      </c>
    </row>
    <row r="68" spans="1:17">
      <c r="A68" s="2">
        <f t="shared" si="6"/>
        <v>66</v>
      </c>
      <c r="B68" s="143">
        <f t="shared" ref="B68" si="127">YEAR(H68)+IF(MONTH(H68)&gt;=4,1,0)</f>
        <v>2026</v>
      </c>
      <c r="C68" s="116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349</v>
      </c>
      <c r="Q68" s="2">
        <f>SUM(MC[[#This Row],[IC1_Inv1_MC]:[IC2_Inv2_MC]])</f>
        <v>0</v>
      </c>
    </row>
    <row r="69" spans="1:17">
      <c r="A69" s="2">
        <f t="shared" si="6"/>
        <v>67</v>
      </c>
      <c r="B69" s="143">
        <f t="shared" ref="B69" si="130">YEAR(H69)+IF(MONTH(H69)&gt;=4,1,0)</f>
        <v>2026</v>
      </c>
      <c r="C69" s="116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349</v>
      </c>
      <c r="Q69" s="2">
        <f>SUM(MC[[#This Row],[IC1_Inv1_MC]:[IC2_Inv2_MC]])</f>
        <v>0</v>
      </c>
    </row>
    <row r="70" spans="1:17">
      <c r="A70" s="2">
        <f t="shared" si="6"/>
        <v>68</v>
      </c>
      <c r="B70" s="143">
        <f t="shared" ref="B70" si="133">YEAR(H70)+IF(MONTH(H70)&gt;=4,1,0)</f>
        <v>2026</v>
      </c>
      <c r="C70" s="116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349</v>
      </c>
      <c r="Q70" s="2">
        <f>SUM(MC[[#This Row],[IC1_Inv1_MC]:[IC2_Inv2_MC]])</f>
        <v>0</v>
      </c>
    </row>
    <row r="71" spans="1:17">
      <c r="A71" s="2">
        <f t="shared" si="6"/>
        <v>69</v>
      </c>
      <c r="B71" s="143">
        <f t="shared" ref="B71" si="136">YEAR(H71)+IF(MONTH(H71)&gt;=4,1,0)</f>
        <v>2026</v>
      </c>
      <c r="C71" s="116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349</v>
      </c>
      <c r="Q71" s="2">
        <f>SUM(MC[[#This Row],[IC1_Inv1_MC]:[IC2_Inv2_MC]])</f>
        <v>0</v>
      </c>
    </row>
    <row r="72" spans="1:17">
      <c r="A72" s="2">
        <f t="shared" si="6"/>
        <v>70</v>
      </c>
      <c r="B72" s="143">
        <f t="shared" ref="B72" si="139">YEAR(H72)+IF(MONTH(H72)&gt;=4,1,0)</f>
        <v>2026</v>
      </c>
      <c r="C72" s="116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349</v>
      </c>
      <c r="Q72" s="2">
        <f>SUM(MC[[#This Row],[IC1_Inv1_MC]:[IC2_Inv2_MC]])</f>
        <v>0</v>
      </c>
    </row>
    <row r="73" spans="1:17">
      <c r="A73" s="2">
        <f t="shared" si="6"/>
        <v>71</v>
      </c>
      <c r="B73" s="143">
        <f t="shared" ref="B73" si="142">YEAR(H73)+IF(MONTH(H73)&gt;=4,1,0)</f>
        <v>2026</v>
      </c>
      <c r="C73" s="116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349</v>
      </c>
      <c r="Q73" s="2">
        <f>SUM(MC[[#This Row],[IC1_Inv1_MC]:[IC2_Inv2_MC]])</f>
        <v>0</v>
      </c>
    </row>
    <row r="74" spans="1:17">
      <c r="A74" s="2">
        <f t="shared" si="6"/>
        <v>72</v>
      </c>
      <c r="B74" s="143">
        <f t="shared" ref="B74" si="145">YEAR(H74)+IF(MONTH(H74)&gt;=4,1,0)</f>
        <v>2026</v>
      </c>
      <c r="C74" s="116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349</v>
      </c>
      <c r="Q74" s="2">
        <f>SUM(MC[[#This Row],[IC1_Inv1_MC]:[IC2_Inv2_MC]])</f>
        <v>0</v>
      </c>
    </row>
    <row r="75" spans="1:17">
      <c r="A75" s="2">
        <f t="shared" si="6"/>
        <v>73</v>
      </c>
      <c r="B75" s="143">
        <f t="shared" ref="B75" si="148">YEAR(H75)+IF(MONTH(H75)&gt;=4,1,0)</f>
        <v>2026</v>
      </c>
      <c r="C75" s="116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349</v>
      </c>
      <c r="Q75" s="2">
        <f>SUM(MC[[#This Row],[IC1_Inv1_MC]:[IC2_Inv2_MC]])</f>
        <v>0</v>
      </c>
    </row>
    <row r="76" spans="1:17">
      <c r="A76" s="2">
        <f t="shared" si="6"/>
        <v>74</v>
      </c>
      <c r="B76" s="143">
        <f t="shared" ref="B76" si="151">YEAR(H76)+IF(MONTH(H76)&gt;=4,1,0)</f>
        <v>2026</v>
      </c>
      <c r="C76" s="116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349</v>
      </c>
      <c r="Q76" s="2">
        <f>SUM(MC[[#This Row],[IC1_Inv1_MC]:[IC2_Inv2_MC]])</f>
        <v>0</v>
      </c>
    </row>
    <row r="77" spans="1:17">
      <c r="A77" s="2">
        <f t="shared" si="6"/>
        <v>75</v>
      </c>
      <c r="B77" s="143">
        <f t="shared" ref="B77" si="154">YEAR(H77)+IF(MONTH(H77)&gt;=4,1,0)</f>
        <v>2026</v>
      </c>
      <c r="C77" s="116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349</v>
      </c>
      <c r="Q77" s="2">
        <f>SUM(MC[[#This Row],[IC1_Inv1_MC]:[IC2_Inv2_MC]])</f>
        <v>0</v>
      </c>
    </row>
    <row r="78" spans="1:17">
      <c r="A78" s="2">
        <f t="shared" si="6"/>
        <v>76</v>
      </c>
      <c r="B78" s="143">
        <f t="shared" ref="B78" si="157">YEAR(H78)+IF(MONTH(H78)&gt;=4,1,0)</f>
        <v>2026</v>
      </c>
      <c r="C78" s="116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349</v>
      </c>
      <c r="Q78" s="2">
        <f>SUM(MC[[#This Row],[IC1_Inv1_MC]:[IC2_Inv2_MC]])</f>
        <v>0</v>
      </c>
    </row>
    <row r="79" spans="1:17">
      <c r="A79" s="2">
        <f t="shared" si="6"/>
        <v>77</v>
      </c>
      <c r="B79" s="143">
        <f t="shared" ref="B79" si="160">YEAR(H79)+IF(MONTH(H79)&gt;=4,1,0)</f>
        <v>2026</v>
      </c>
      <c r="C79" s="116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349</v>
      </c>
      <c r="Q79" s="2">
        <f>SUM(MC[[#This Row],[IC1_Inv1_MC]:[IC2_Inv2_MC]])</f>
        <v>0</v>
      </c>
    </row>
    <row r="80" spans="1:17">
      <c r="A80" s="2">
        <f t="shared" si="6"/>
        <v>78</v>
      </c>
      <c r="B80" s="143">
        <f t="shared" ref="B80:B81" si="163">YEAR(H80)+IF(MONTH(H80)&gt;=4,1,0)</f>
        <v>2026</v>
      </c>
      <c r="C80" s="116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349</v>
      </c>
      <c r="Q80" s="2">
        <f>SUM(MC[[#This Row],[IC1_Inv1_MC]:[IC2_Inv2_MC]])</f>
        <v>0</v>
      </c>
    </row>
    <row r="81" spans="1:17">
      <c r="A81" s="2">
        <f t="shared" si="6"/>
        <v>79</v>
      </c>
      <c r="B81" s="143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349</v>
      </c>
      <c r="Q81" s="2">
        <f>SUM(MC[[#This Row],[IC1_Inv1_MC]:[IC2_Inv2_MC]])</f>
        <v>0</v>
      </c>
    </row>
    <row r="82" spans="1:17">
      <c r="A82" s="2">
        <f t="shared" si="6"/>
        <v>80</v>
      </c>
      <c r="B82" s="143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349</v>
      </c>
      <c r="Q82" s="2">
        <f>SUM(MC[[#This Row],[IC1_Inv1_MC]:[IC2_Inv2_MC]])</f>
        <v>0</v>
      </c>
    </row>
    <row r="83" spans="1:17">
      <c r="A83" s="2">
        <f t="shared" si="6"/>
        <v>81</v>
      </c>
      <c r="B83" s="143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349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43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349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43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349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43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349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43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349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43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349</v>
      </c>
      <c r="Q88" s="2">
        <f>SUM(MC[[#This Row],[IC1_Inv1_MC]:[IC2_Inv2_MC]])</f>
        <v>0</v>
      </c>
    </row>
    <row r="89" spans="1:17">
      <c r="A89" s="2">
        <f t="shared" si="6"/>
        <v>87</v>
      </c>
      <c r="B89" s="143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349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43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349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43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349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43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349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43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349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43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349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43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349</v>
      </c>
      <c r="Q95" s="2">
        <f>SUM(MC[[#This Row],[IC1_Inv1_MC]:[IC2_Inv2_MC]])</f>
        <v>0</v>
      </c>
    </row>
    <row r="96" spans="1:17">
      <c r="A96" s="2">
        <f t="shared" si="6"/>
        <v>94</v>
      </c>
      <c r="B96" s="143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349</v>
      </c>
      <c r="Q96" s="2">
        <f>SUM(MC[[#This Row],[IC1_Inv1_MC]:[IC2_Inv2_MC]])</f>
        <v>0</v>
      </c>
    </row>
    <row r="97" spans="1:17">
      <c r="A97" s="2">
        <f t="shared" si="6"/>
        <v>95</v>
      </c>
      <c r="B97" s="143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349</v>
      </c>
      <c r="Q97" s="2">
        <f>SUM(MC[[#This Row],[IC1_Inv1_MC]:[IC2_Inv2_MC]])</f>
        <v>0</v>
      </c>
    </row>
    <row r="98" spans="1:17">
      <c r="A98" s="2">
        <f t="shared" si="6"/>
        <v>96</v>
      </c>
      <c r="B98" s="143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349</v>
      </c>
      <c r="Q98" s="2">
        <f>SUM(MC[[#This Row],[IC1_Inv1_MC]:[IC2_Inv2_MC]])</f>
        <v>0</v>
      </c>
    </row>
    <row r="99" spans="1:17">
      <c r="A99" s="2">
        <f t="shared" si="6"/>
        <v>97</v>
      </c>
      <c r="B99" s="143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349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43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349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43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349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43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349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43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349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43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349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43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349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43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349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43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349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43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349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43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349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43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349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43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349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43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349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43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349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43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349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43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349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43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349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43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349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43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349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43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349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43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349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43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349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43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349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43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349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43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349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43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349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43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349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43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349</v>
      </c>
      <c r="Q127" s="2">
        <f>SUM(MC[[#This Row],[IC1_Inv1_MC]:[IC2_Inv2_MC]])</f>
        <v>0</v>
      </c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N115" activePane="bottomRight" state="frozen"/>
      <selection pane="topRight" activeCell="I2" sqref="I2"/>
      <selection pane="bottomLeft" activeCell="A3" sqref="A3"/>
      <selection pane="bottomRight" activeCell="R123" sqref="R123"/>
    </sheetView>
  </sheetViews>
  <sheetFormatPr defaultColWidth="9" defaultRowHeight="14.5"/>
  <cols>
    <col min="2" max="2" width="11.26953125" customWidth="1"/>
    <col min="3" max="3" width="12.54296875" customWidth="1"/>
    <col min="4" max="4" width="14.7265625" customWidth="1"/>
    <col min="5" max="5" width="13.453125" customWidth="1"/>
    <col min="6" max="6" width="10.7265625" customWidth="1"/>
    <col min="7" max="7" width="4.7265625" customWidth="1"/>
    <col min="8" max="8" width="11.54296875" customWidth="1"/>
    <col min="10" max="10" width="9.26953125" customWidth="1"/>
    <col min="17" max="17" width="12.54296875" customWidth="1"/>
    <col min="18" max="18" width="37.453125" customWidth="1"/>
    <col min="19" max="19" width="19.7265625" customWidth="1"/>
  </cols>
  <sheetData>
    <row r="1" spans="1:19" hidden="1"/>
    <row r="2" spans="1:19" ht="29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332</v>
      </c>
      <c r="J2" s="20" t="s">
        <v>333</v>
      </c>
      <c r="K2" s="20" t="s">
        <v>350</v>
      </c>
      <c r="L2" s="20" t="s">
        <v>351</v>
      </c>
      <c r="M2" s="20" t="s">
        <v>352</v>
      </c>
      <c r="N2" s="20" t="s">
        <v>353</v>
      </c>
      <c r="O2" s="20" t="s">
        <v>354</v>
      </c>
      <c r="P2" s="20" t="s">
        <v>355</v>
      </c>
      <c r="Q2" s="23" t="s">
        <v>356</v>
      </c>
      <c r="R2" s="20" t="s">
        <v>347</v>
      </c>
      <c r="S2" t="s">
        <v>322</v>
      </c>
    </row>
    <row r="3" spans="1:19">
      <c r="A3" s="2">
        <v>1</v>
      </c>
      <c r="B3" s="143">
        <f t="shared" ref="B3:B43" si="0">YEAR(H3)+IF(MONTH(H3)&gt;=4,1,0)</f>
        <v>2025</v>
      </c>
      <c r="C3" s="116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43">
        <f t="shared" si="0"/>
        <v>2025</v>
      </c>
      <c r="C4" s="116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43">
        <f t="shared" si="0"/>
        <v>2025</v>
      </c>
      <c r="C5" s="116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43">
        <f t="shared" si="0"/>
        <v>2026</v>
      </c>
      <c r="C6" s="116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43">
        <f t="shared" si="0"/>
        <v>2026</v>
      </c>
      <c r="C7" s="116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43">
        <f t="shared" si="0"/>
        <v>2026</v>
      </c>
      <c r="C8" s="116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43">
        <f t="shared" si="0"/>
        <v>2026</v>
      </c>
      <c r="C9" s="116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43">
        <f t="shared" si="0"/>
        <v>2026</v>
      </c>
      <c r="C10" s="116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43">
        <f t="shared" si="0"/>
        <v>2026</v>
      </c>
      <c r="C11" s="116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43">
        <f t="shared" si="0"/>
        <v>2026</v>
      </c>
      <c r="C12" s="116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43">
        <f t="shared" si="0"/>
        <v>2026</v>
      </c>
      <c r="C13" s="116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43">
        <f t="shared" si="0"/>
        <v>2026</v>
      </c>
      <c r="C14" s="116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43">
        <f t="shared" si="0"/>
        <v>2026</v>
      </c>
      <c r="C15" s="116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43">
        <f t="shared" si="0"/>
        <v>2026</v>
      </c>
      <c r="C16" s="116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43">
        <f t="shared" si="0"/>
        <v>2026</v>
      </c>
      <c r="C17" s="116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43">
        <f t="shared" si="0"/>
        <v>2026</v>
      </c>
      <c r="C18" s="116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43">
        <f t="shared" si="0"/>
        <v>2026</v>
      </c>
      <c r="C19" s="116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43">
        <f t="shared" si="0"/>
        <v>2026</v>
      </c>
      <c r="C20" s="116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43">
        <f t="shared" si="0"/>
        <v>2026</v>
      </c>
      <c r="C21" s="116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43">
        <f t="shared" si="0"/>
        <v>2026</v>
      </c>
      <c r="C22" s="116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43">
        <f t="shared" si="0"/>
        <v>2026</v>
      </c>
      <c r="C23" s="116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43">
        <f t="shared" si="0"/>
        <v>2026</v>
      </c>
      <c r="C24" s="116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43">
        <f t="shared" si="0"/>
        <v>2026</v>
      </c>
      <c r="C25" s="116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43">
        <f t="shared" si="0"/>
        <v>2026</v>
      </c>
      <c r="C26" s="116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43">
        <f t="shared" si="0"/>
        <v>2026</v>
      </c>
      <c r="C27" s="116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43">
        <f t="shared" si="0"/>
        <v>2026</v>
      </c>
      <c r="C28" s="116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43">
        <f t="shared" si="0"/>
        <v>2026</v>
      </c>
      <c r="C29" s="116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43">
        <f t="shared" si="0"/>
        <v>2026</v>
      </c>
      <c r="C30" s="116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43">
        <f t="shared" si="0"/>
        <v>2026</v>
      </c>
      <c r="C31" s="116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43">
        <f t="shared" si="0"/>
        <v>2026</v>
      </c>
      <c r="C32" s="116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43">
        <f t="shared" si="0"/>
        <v>2026</v>
      </c>
      <c r="C33" s="116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43">
        <f t="shared" si="0"/>
        <v>2026</v>
      </c>
      <c r="C34" s="116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43">
        <f t="shared" si="0"/>
        <v>2026</v>
      </c>
      <c r="C35" s="116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43">
        <f t="shared" si="0"/>
        <v>2026</v>
      </c>
      <c r="C36" s="116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43">
        <f t="shared" si="0"/>
        <v>2026</v>
      </c>
      <c r="C37" s="116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43">
        <f t="shared" si="0"/>
        <v>2026</v>
      </c>
      <c r="C38" s="116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43">
        <f t="shared" si="0"/>
        <v>2026</v>
      </c>
      <c r="C39" s="116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43">
        <f t="shared" si="0"/>
        <v>2026</v>
      </c>
      <c r="C40" s="116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43">
        <f t="shared" si="0"/>
        <v>2026</v>
      </c>
      <c r="C41" s="116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43">
        <f t="shared" si="0"/>
        <v>2026</v>
      </c>
      <c r="C42" s="116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43">
        <f t="shared" si="0"/>
        <v>2026</v>
      </c>
      <c r="C43" s="116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43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43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43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43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43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43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43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43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43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43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43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43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43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43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43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43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43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43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43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43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43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43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43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43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43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43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43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43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43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43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43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43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43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43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43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43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500</v>
      </c>
    </row>
    <row r="80" spans="1:18">
      <c r="A80" s="2">
        <f t="shared" si="7"/>
        <v>78</v>
      </c>
      <c r="B80" s="143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500</v>
      </c>
    </row>
    <row r="81" spans="1:18">
      <c r="A81" s="2">
        <f t="shared" si="7"/>
        <v>79</v>
      </c>
      <c r="B81" s="143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500</v>
      </c>
    </row>
    <row r="82" spans="1:18">
      <c r="A82" s="2">
        <f t="shared" si="7"/>
        <v>80</v>
      </c>
      <c r="B82" s="143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500</v>
      </c>
    </row>
    <row r="83" spans="1:18">
      <c r="A83" s="2">
        <f t="shared" si="7"/>
        <v>81</v>
      </c>
      <c r="B83" s="143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500</v>
      </c>
    </row>
    <row r="84" spans="1:18">
      <c r="A84" s="2">
        <f t="shared" si="7"/>
        <v>82</v>
      </c>
      <c r="B84" s="143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500</v>
      </c>
    </row>
    <row r="85" spans="1:18">
      <c r="A85" s="2">
        <f t="shared" si="7"/>
        <v>83</v>
      </c>
      <c r="B85" s="143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43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500</v>
      </c>
    </row>
    <row r="87" spans="1:18">
      <c r="A87" s="2">
        <f t="shared" si="7"/>
        <v>85</v>
      </c>
      <c r="B87" s="143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506</v>
      </c>
    </row>
    <row r="88" spans="1:18">
      <c r="A88" s="2">
        <f t="shared" si="7"/>
        <v>86</v>
      </c>
      <c r="B88" s="143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43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43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506</v>
      </c>
    </row>
    <row r="91" spans="1:18">
      <c r="A91" s="2">
        <f t="shared" si="7"/>
        <v>89</v>
      </c>
      <c r="B91" s="143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506</v>
      </c>
    </row>
    <row r="92" spans="1:18">
      <c r="A92" s="2">
        <f t="shared" si="7"/>
        <v>90</v>
      </c>
      <c r="B92" s="143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507</v>
      </c>
    </row>
    <row r="93" spans="1:18">
      <c r="A93" s="2">
        <f t="shared" si="7"/>
        <v>91</v>
      </c>
      <c r="B93" s="143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508</v>
      </c>
    </row>
    <row r="94" spans="1:18">
      <c r="A94" s="2">
        <f t="shared" si="7"/>
        <v>92</v>
      </c>
      <c r="B94" s="143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43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43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43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509</v>
      </c>
    </row>
    <row r="98" spans="1:18">
      <c r="A98" s="2">
        <f t="shared" si="7"/>
        <v>96</v>
      </c>
      <c r="B98" s="143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510</v>
      </c>
    </row>
    <row r="99" spans="1:18">
      <c r="A99" s="2">
        <f t="shared" si="7"/>
        <v>97</v>
      </c>
      <c r="B99" s="143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510</v>
      </c>
    </row>
    <row r="100" spans="1:18">
      <c r="A100" s="2">
        <f t="shared" si="7"/>
        <v>98</v>
      </c>
      <c r="B100" s="143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510</v>
      </c>
    </row>
    <row r="101" spans="1:18">
      <c r="A101" s="2">
        <f t="shared" si="7"/>
        <v>99</v>
      </c>
      <c r="B101" s="143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511</v>
      </c>
    </row>
    <row r="102" spans="1:18">
      <c r="A102" s="2">
        <f t="shared" si="7"/>
        <v>100</v>
      </c>
      <c r="B102" s="143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511</v>
      </c>
    </row>
    <row r="103" spans="1:18">
      <c r="A103" s="2">
        <f t="shared" si="7"/>
        <v>101</v>
      </c>
      <c r="B103" s="143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512</v>
      </c>
    </row>
    <row r="104" spans="1:18">
      <c r="A104" s="2">
        <f t="shared" si="7"/>
        <v>102</v>
      </c>
      <c r="B104" s="143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512</v>
      </c>
    </row>
    <row r="105" spans="1:18">
      <c r="A105" s="2">
        <f t="shared" si="7"/>
        <v>103</v>
      </c>
      <c r="B105" s="143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43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513</v>
      </c>
    </row>
    <row r="107" spans="1:18">
      <c r="A107" s="2">
        <f t="shared" si="7"/>
        <v>105</v>
      </c>
      <c r="B107" s="143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513</v>
      </c>
    </row>
    <row r="108" spans="1:18">
      <c r="A108" s="2">
        <f t="shared" si="7"/>
        <v>106</v>
      </c>
      <c r="B108" s="143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513</v>
      </c>
    </row>
    <row r="109" spans="1:18">
      <c r="A109" s="2">
        <f t="shared" si="7"/>
        <v>107</v>
      </c>
      <c r="B109" s="143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43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43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43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43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43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43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43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43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43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43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516</v>
      </c>
    </row>
    <row r="120" spans="1:18">
      <c r="A120" s="2">
        <f t="shared" si="7"/>
        <v>118</v>
      </c>
      <c r="B120" s="143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43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43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43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43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43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43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O126">
        <v>32</v>
      </c>
      <c r="Q126" s="2">
        <f>SUM(GC[[#This Row],[IC1_Inv1_GC]:[IC2_Inv2_GC]])</f>
        <v>32</v>
      </c>
      <c r="R126" t="s">
        <v>512</v>
      </c>
    </row>
    <row r="127" spans="1:18">
      <c r="A127" s="2">
        <f t="shared" si="7"/>
        <v>125</v>
      </c>
      <c r="B127" s="143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43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43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43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43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43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43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43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43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43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43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43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43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43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43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43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43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43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43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43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43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43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43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43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43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43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5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4.5"/>
  <cols>
    <col min="2" max="2" width="11.26953125" customWidth="1"/>
    <col min="3" max="3" width="12.54296875" customWidth="1"/>
    <col min="4" max="4" width="14.7265625" customWidth="1"/>
    <col min="5" max="5" width="13.453125" customWidth="1"/>
    <col min="6" max="6" width="10.7265625" customWidth="1"/>
    <col min="7" max="7" width="8.26953125" customWidth="1"/>
    <col min="8" max="8" width="13.54296875" customWidth="1"/>
    <col min="9" max="9" width="15.7265625" customWidth="1"/>
    <col min="10" max="10" width="10.7265625" customWidth="1"/>
    <col min="11" max="11" width="13.26953125" customWidth="1"/>
    <col min="12" max="12" width="17.7265625" customWidth="1"/>
    <col min="13" max="13" width="24.26953125" customWidth="1"/>
  </cols>
  <sheetData>
    <row r="1" spans="1:14" ht="29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357</v>
      </c>
      <c r="J1" s="20" t="s">
        <v>358</v>
      </c>
      <c r="K1" s="20" t="s">
        <v>359</v>
      </c>
      <c r="L1" s="20" t="s">
        <v>360</v>
      </c>
      <c r="M1" s="20" t="s">
        <v>347</v>
      </c>
      <c r="N1" s="1" t="s">
        <v>322</v>
      </c>
    </row>
    <row r="2" spans="1:14">
      <c r="A2" s="2">
        <v>1</v>
      </c>
      <c r="B2" s="143">
        <f t="shared" ref="B2" si="0">YEAR(H2)+IF(MONTH(H2)&gt;=4,1,0)</f>
        <v>2024</v>
      </c>
      <c r="C2" s="116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286</v>
      </c>
      <c r="J2" s="2">
        <v>1</v>
      </c>
      <c r="K2" s="22">
        <v>17</v>
      </c>
      <c r="L2" s="2" t="s">
        <v>361</v>
      </c>
      <c r="M2" t="s">
        <v>362</v>
      </c>
    </row>
    <row r="3" spans="1:14">
      <c r="A3" s="2">
        <f>A2+1</f>
        <v>2</v>
      </c>
      <c r="B3" s="143">
        <f t="shared" ref="B3:B66" si="3">YEAR(H3)+IF(MONTH(H3)&gt;=4,1,0)</f>
        <v>2024</v>
      </c>
      <c r="C3" s="116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286</v>
      </c>
      <c r="J3" s="2">
        <v>1</v>
      </c>
      <c r="K3" s="22">
        <v>93</v>
      </c>
      <c r="L3" s="2" t="s">
        <v>361</v>
      </c>
      <c r="M3" t="s">
        <v>362</v>
      </c>
    </row>
    <row r="4" spans="1:14">
      <c r="A4" s="2">
        <f t="shared" ref="A4:A67" si="5">A3+1</f>
        <v>3</v>
      </c>
      <c r="B4" s="143">
        <f t="shared" si="3"/>
        <v>2024</v>
      </c>
      <c r="C4" s="116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286</v>
      </c>
      <c r="J4" s="2">
        <v>1</v>
      </c>
      <c r="K4" s="22">
        <v>66</v>
      </c>
      <c r="L4" s="2" t="s">
        <v>361</v>
      </c>
      <c r="M4" t="s">
        <v>362</v>
      </c>
    </row>
    <row r="5" spans="1:14">
      <c r="A5" s="2">
        <f t="shared" si="5"/>
        <v>4</v>
      </c>
      <c r="B5" s="143">
        <f t="shared" si="3"/>
        <v>1900</v>
      </c>
      <c r="C5" s="116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361</v>
      </c>
      <c r="M5" t="s">
        <v>362</v>
      </c>
    </row>
    <row r="6" spans="1:14">
      <c r="A6" s="2">
        <f t="shared" si="5"/>
        <v>5</v>
      </c>
      <c r="B6" s="143">
        <f t="shared" si="3"/>
        <v>1900</v>
      </c>
      <c r="C6" s="116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361</v>
      </c>
      <c r="M6" t="s">
        <v>362</v>
      </c>
    </row>
    <row r="7" spans="1:14">
      <c r="A7" s="2">
        <f t="shared" si="5"/>
        <v>6</v>
      </c>
      <c r="B7" s="143">
        <f t="shared" si="3"/>
        <v>1900</v>
      </c>
      <c r="C7" s="116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361</v>
      </c>
      <c r="M7" t="s">
        <v>362</v>
      </c>
    </row>
    <row r="8" spans="1:14">
      <c r="A8" s="2">
        <f t="shared" si="5"/>
        <v>7</v>
      </c>
      <c r="B8" s="143">
        <f t="shared" si="3"/>
        <v>1900</v>
      </c>
      <c r="C8" s="116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361</v>
      </c>
      <c r="M8" t="s">
        <v>362</v>
      </c>
    </row>
    <row r="9" spans="1:14">
      <c r="A9" s="2">
        <f t="shared" si="5"/>
        <v>8</v>
      </c>
      <c r="B9" s="143">
        <f t="shared" si="3"/>
        <v>1900</v>
      </c>
      <c r="C9" s="116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361</v>
      </c>
      <c r="M9" t="s">
        <v>362</v>
      </c>
    </row>
    <row r="10" spans="1:14">
      <c r="A10" s="2">
        <f t="shared" si="5"/>
        <v>9</v>
      </c>
      <c r="B10" s="143">
        <f t="shared" si="3"/>
        <v>1900</v>
      </c>
      <c r="C10" s="116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361</v>
      </c>
      <c r="M10" t="s">
        <v>362</v>
      </c>
    </row>
    <row r="11" spans="1:14">
      <c r="A11" s="2">
        <f t="shared" si="5"/>
        <v>10</v>
      </c>
      <c r="B11" s="143">
        <f t="shared" si="3"/>
        <v>1900</v>
      </c>
      <c r="C11" s="116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361</v>
      </c>
      <c r="M11" t="s">
        <v>362</v>
      </c>
    </row>
    <row r="12" spans="1:14">
      <c r="A12" s="2">
        <f t="shared" si="5"/>
        <v>11</v>
      </c>
      <c r="B12" s="143">
        <f t="shared" si="3"/>
        <v>1900</v>
      </c>
      <c r="C12" s="116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361</v>
      </c>
      <c r="M12" t="s">
        <v>362</v>
      </c>
    </row>
    <row r="13" spans="1:14">
      <c r="A13" s="2">
        <f t="shared" si="5"/>
        <v>12</v>
      </c>
      <c r="B13" s="143">
        <f t="shared" si="3"/>
        <v>1900</v>
      </c>
      <c r="C13" s="116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361</v>
      </c>
      <c r="M13" t="s">
        <v>362</v>
      </c>
    </row>
    <row r="14" spans="1:14">
      <c r="A14" s="2">
        <f t="shared" si="5"/>
        <v>13</v>
      </c>
      <c r="B14" s="143">
        <f t="shared" si="3"/>
        <v>1900</v>
      </c>
      <c r="C14" s="116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361</v>
      </c>
      <c r="M14" t="s">
        <v>362</v>
      </c>
    </row>
    <row r="15" spans="1:14">
      <c r="A15" s="2">
        <f t="shared" si="5"/>
        <v>14</v>
      </c>
      <c r="B15" s="143">
        <f t="shared" si="3"/>
        <v>1900</v>
      </c>
      <c r="C15" s="116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361</v>
      </c>
      <c r="M15" t="s">
        <v>362</v>
      </c>
    </row>
    <row r="16" spans="1:14">
      <c r="A16" s="2">
        <f t="shared" si="5"/>
        <v>15</v>
      </c>
      <c r="B16" s="143">
        <f t="shared" si="3"/>
        <v>1900</v>
      </c>
      <c r="C16" s="116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361</v>
      </c>
      <c r="M16" t="s">
        <v>362</v>
      </c>
    </row>
    <row r="17" spans="1:13">
      <c r="A17" s="2">
        <f t="shared" si="5"/>
        <v>16</v>
      </c>
      <c r="B17" s="143">
        <f t="shared" si="3"/>
        <v>1900</v>
      </c>
      <c r="C17" s="116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361</v>
      </c>
      <c r="M17" t="s">
        <v>362</v>
      </c>
    </row>
    <row r="18" spans="1:13">
      <c r="A18" s="2">
        <f t="shared" si="5"/>
        <v>17</v>
      </c>
      <c r="B18" s="143">
        <f t="shared" si="3"/>
        <v>1900</v>
      </c>
      <c r="C18" s="116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361</v>
      </c>
      <c r="M18" t="s">
        <v>362</v>
      </c>
    </row>
    <row r="19" spans="1:13">
      <c r="A19" s="2">
        <f t="shared" si="5"/>
        <v>18</v>
      </c>
      <c r="B19" s="143">
        <f t="shared" si="3"/>
        <v>1900</v>
      </c>
      <c r="C19" s="116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361</v>
      </c>
      <c r="M19" t="s">
        <v>362</v>
      </c>
    </row>
    <row r="20" spans="1:13">
      <c r="A20" s="2">
        <f t="shared" si="5"/>
        <v>19</v>
      </c>
      <c r="B20" s="143">
        <f t="shared" si="3"/>
        <v>1900</v>
      </c>
      <c r="C20" s="116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361</v>
      </c>
      <c r="M20" t="s">
        <v>362</v>
      </c>
    </row>
    <row r="21" spans="1:13">
      <c r="A21" s="2">
        <f t="shared" si="5"/>
        <v>20</v>
      </c>
      <c r="B21" s="143">
        <f t="shared" si="3"/>
        <v>1900</v>
      </c>
      <c r="C21" s="116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361</v>
      </c>
      <c r="M21" t="s">
        <v>362</v>
      </c>
    </row>
    <row r="22" spans="1:13">
      <c r="A22" s="2">
        <f t="shared" si="5"/>
        <v>21</v>
      </c>
      <c r="B22" s="143">
        <f t="shared" si="3"/>
        <v>1900</v>
      </c>
      <c r="C22" s="116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361</v>
      </c>
      <c r="M22" t="s">
        <v>362</v>
      </c>
    </row>
    <row r="23" spans="1:13">
      <c r="A23" s="2">
        <f t="shared" si="5"/>
        <v>22</v>
      </c>
      <c r="B23" s="143">
        <f t="shared" si="3"/>
        <v>1900</v>
      </c>
      <c r="C23" s="116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361</v>
      </c>
      <c r="M23" t="s">
        <v>362</v>
      </c>
    </row>
    <row r="24" spans="1:13">
      <c r="A24" s="2">
        <f t="shared" si="5"/>
        <v>23</v>
      </c>
      <c r="B24" s="143">
        <f t="shared" si="3"/>
        <v>1900</v>
      </c>
      <c r="C24" s="116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361</v>
      </c>
      <c r="M24" t="s">
        <v>362</v>
      </c>
    </row>
    <row r="25" spans="1:13">
      <c r="A25" s="2">
        <f t="shared" si="5"/>
        <v>24</v>
      </c>
      <c r="B25" s="143">
        <f t="shared" si="3"/>
        <v>1900</v>
      </c>
      <c r="C25" s="116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361</v>
      </c>
      <c r="M25" t="s">
        <v>362</v>
      </c>
    </row>
    <row r="26" spans="1:13">
      <c r="A26" s="2">
        <f t="shared" si="5"/>
        <v>25</v>
      </c>
      <c r="B26" s="143">
        <f t="shared" si="3"/>
        <v>1900</v>
      </c>
      <c r="C26" s="116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361</v>
      </c>
      <c r="M26" t="s">
        <v>362</v>
      </c>
    </row>
    <row r="27" spans="1:13">
      <c r="A27" s="2">
        <f t="shared" si="5"/>
        <v>26</v>
      </c>
      <c r="B27" s="143">
        <f t="shared" si="3"/>
        <v>1900</v>
      </c>
      <c r="C27" s="116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361</v>
      </c>
      <c r="M27" t="s">
        <v>362</v>
      </c>
    </row>
    <row r="28" spans="1:13">
      <c r="A28" s="2">
        <f t="shared" si="5"/>
        <v>27</v>
      </c>
      <c r="B28" s="143">
        <f t="shared" si="3"/>
        <v>1900</v>
      </c>
      <c r="C28" s="116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361</v>
      </c>
      <c r="M28" t="s">
        <v>362</v>
      </c>
    </row>
    <row r="29" spans="1:13">
      <c r="A29" s="2">
        <f t="shared" si="5"/>
        <v>28</v>
      </c>
      <c r="B29" s="143">
        <f t="shared" si="3"/>
        <v>1900</v>
      </c>
      <c r="C29" s="116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361</v>
      </c>
      <c r="M29" t="s">
        <v>362</v>
      </c>
    </row>
    <row r="30" spans="1:13">
      <c r="A30" s="2">
        <f t="shared" si="5"/>
        <v>29</v>
      </c>
      <c r="B30" s="143">
        <f t="shared" si="3"/>
        <v>1900</v>
      </c>
      <c r="C30" s="116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361</v>
      </c>
      <c r="M30" t="s">
        <v>362</v>
      </c>
    </row>
    <row r="31" spans="1:13">
      <c r="A31" s="2">
        <f t="shared" si="5"/>
        <v>30</v>
      </c>
      <c r="B31" s="143">
        <f t="shared" si="3"/>
        <v>1900</v>
      </c>
      <c r="C31" s="116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361</v>
      </c>
      <c r="M31" t="s">
        <v>362</v>
      </c>
    </row>
    <row r="32" spans="1:13">
      <c r="A32" s="2">
        <f t="shared" si="5"/>
        <v>31</v>
      </c>
      <c r="B32" s="143">
        <f t="shared" si="3"/>
        <v>1900</v>
      </c>
      <c r="C32" s="116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361</v>
      </c>
      <c r="M32" t="s">
        <v>362</v>
      </c>
    </row>
    <row r="33" spans="1:13">
      <c r="A33" s="2">
        <f t="shared" si="5"/>
        <v>32</v>
      </c>
      <c r="B33" s="143">
        <f t="shared" si="3"/>
        <v>1900</v>
      </c>
      <c r="C33" s="116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361</v>
      </c>
      <c r="M33" t="s">
        <v>362</v>
      </c>
    </row>
    <row r="34" spans="1:13">
      <c r="A34" s="2">
        <f t="shared" si="5"/>
        <v>33</v>
      </c>
      <c r="B34" s="143">
        <f t="shared" si="3"/>
        <v>1900</v>
      </c>
      <c r="C34" s="116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361</v>
      </c>
      <c r="M34" t="s">
        <v>362</v>
      </c>
    </row>
    <row r="35" spans="1:13">
      <c r="A35" s="2">
        <f t="shared" si="5"/>
        <v>34</v>
      </c>
      <c r="B35" s="143">
        <f t="shared" si="3"/>
        <v>1900</v>
      </c>
      <c r="C35" s="116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361</v>
      </c>
      <c r="M35" t="s">
        <v>362</v>
      </c>
    </row>
    <row r="36" spans="1:13">
      <c r="A36" s="2">
        <f t="shared" si="5"/>
        <v>35</v>
      </c>
      <c r="B36" s="143">
        <f t="shared" si="3"/>
        <v>1900</v>
      </c>
      <c r="C36" s="116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361</v>
      </c>
      <c r="M36" t="s">
        <v>362</v>
      </c>
    </row>
    <row r="37" spans="1:13">
      <c r="A37" s="2">
        <f t="shared" si="5"/>
        <v>36</v>
      </c>
      <c r="B37" s="143">
        <f t="shared" si="3"/>
        <v>1900</v>
      </c>
      <c r="C37" s="116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361</v>
      </c>
      <c r="M37" t="s">
        <v>362</v>
      </c>
    </row>
    <row r="38" spans="1:13">
      <c r="A38" s="2">
        <f t="shared" si="5"/>
        <v>37</v>
      </c>
      <c r="B38" s="143">
        <f t="shared" si="3"/>
        <v>1900</v>
      </c>
      <c r="C38" s="116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361</v>
      </c>
      <c r="M38" t="s">
        <v>362</v>
      </c>
    </row>
    <row r="39" spans="1:13">
      <c r="A39" s="2">
        <f t="shared" si="5"/>
        <v>38</v>
      </c>
      <c r="B39" s="143">
        <f t="shared" si="3"/>
        <v>1900</v>
      </c>
      <c r="C39" s="116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361</v>
      </c>
      <c r="M39" t="s">
        <v>362</v>
      </c>
    </row>
    <row r="40" spans="1:13">
      <c r="A40" s="2">
        <f t="shared" si="5"/>
        <v>39</v>
      </c>
      <c r="B40" s="143">
        <f t="shared" si="3"/>
        <v>1900</v>
      </c>
      <c r="C40" s="116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361</v>
      </c>
      <c r="M40" t="s">
        <v>362</v>
      </c>
    </row>
    <row r="41" spans="1:13">
      <c r="A41" s="2">
        <f t="shared" si="5"/>
        <v>40</v>
      </c>
      <c r="B41" s="143">
        <f t="shared" si="3"/>
        <v>1900</v>
      </c>
      <c r="C41" s="116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361</v>
      </c>
      <c r="M41" t="s">
        <v>362</v>
      </c>
    </row>
    <row r="42" spans="1:13">
      <c r="A42" s="2">
        <f t="shared" si="5"/>
        <v>41</v>
      </c>
      <c r="B42" s="143">
        <f t="shared" si="3"/>
        <v>1900</v>
      </c>
      <c r="C42" s="116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361</v>
      </c>
      <c r="M42" t="s">
        <v>362</v>
      </c>
    </row>
    <row r="43" spans="1:13">
      <c r="A43" s="2">
        <f t="shared" si="5"/>
        <v>42</v>
      </c>
      <c r="B43" s="143">
        <f t="shared" si="3"/>
        <v>1900</v>
      </c>
      <c r="C43" s="116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361</v>
      </c>
      <c r="M43" t="s">
        <v>362</v>
      </c>
    </row>
    <row r="44" spans="1:13">
      <c r="A44" s="2">
        <f t="shared" si="5"/>
        <v>43</v>
      </c>
      <c r="B44" s="143">
        <f t="shared" si="3"/>
        <v>1900</v>
      </c>
      <c r="C44" s="116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361</v>
      </c>
      <c r="M44" t="s">
        <v>362</v>
      </c>
    </row>
    <row r="45" spans="1:13">
      <c r="A45" s="2">
        <f t="shared" si="5"/>
        <v>44</v>
      </c>
      <c r="B45" s="143">
        <f t="shared" si="3"/>
        <v>1900</v>
      </c>
      <c r="C45" s="116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361</v>
      </c>
      <c r="M45" t="s">
        <v>362</v>
      </c>
    </row>
    <row r="46" spans="1:13">
      <c r="A46" s="2">
        <f t="shared" si="5"/>
        <v>45</v>
      </c>
      <c r="B46" s="143">
        <f t="shared" si="3"/>
        <v>1900</v>
      </c>
      <c r="C46" s="116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361</v>
      </c>
      <c r="M46" t="s">
        <v>362</v>
      </c>
    </row>
    <row r="47" spans="1:13">
      <c r="A47" s="2">
        <f t="shared" si="5"/>
        <v>46</v>
      </c>
      <c r="B47" s="143">
        <f t="shared" si="3"/>
        <v>1900</v>
      </c>
      <c r="C47" s="116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361</v>
      </c>
      <c r="M47" t="s">
        <v>362</v>
      </c>
    </row>
    <row r="48" spans="1:13">
      <c r="A48" s="2">
        <f t="shared" si="5"/>
        <v>47</v>
      </c>
      <c r="B48" s="143">
        <f t="shared" si="3"/>
        <v>1900</v>
      </c>
      <c r="C48" s="116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361</v>
      </c>
      <c r="M48" t="s">
        <v>362</v>
      </c>
    </row>
    <row r="49" spans="1:13">
      <c r="A49" s="2">
        <f t="shared" si="5"/>
        <v>48</v>
      </c>
      <c r="B49" s="143">
        <f t="shared" si="3"/>
        <v>1900</v>
      </c>
      <c r="C49" s="116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361</v>
      </c>
      <c r="M49" t="s">
        <v>362</v>
      </c>
    </row>
    <row r="50" spans="1:13">
      <c r="A50" s="2">
        <f t="shared" si="5"/>
        <v>49</v>
      </c>
      <c r="B50" s="143">
        <f t="shared" si="3"/>
        <v>1900</v>
      </c>
      <c r="C50" s="116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361</v>
      </c>
      <c r="M50" t="s">
        <v>362</v>
      </c>
    </row>
    <row r="51" spans="1:13">
      <c r="A51" s="2">
        <f t="shared" si="5"/>
        <v>50</v>
      </c>
      <c r="B51" s="143">
        <f t="shared" si="3"/>
        <v>1900</v>
      </c>
      <c r="C51" s="116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361</v>
      </c>
      <c r="M51" t="s">
        <v>362</v>
      </c>
    </row>
    <row r="52" spans="1:13">
      <c r="A52" s="2">
        <f t="shared" si="5"/>
        <v>51</v>
      </c>
      <c r="B52" s="143">
        <f t="shared" si="3"/>
        <v>1900</v>
      </c>
      <c r="C52" s="116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361</v>
      </c>
      <c r="M52" t="s">
        <v>362</v>
      </c>
    </row>
    <row r="53" spans="1:13">
      <c r="A53" s="2">
        <f t="shared" si="5"/>
        <v>52</v>
      </c>
      <c r="B53" s="143">
        <f t="shared" si="3"/>
        <v>1900</v>
      </c>
      <c r="C53" s="116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361</v>
      </c>
      <c r="M53" t="s">
        <v>362</v>
      </c>
    </row>
    <row r="54" spans="1:13">
      <c r="A54" s="2">
        <f t="shared" si="5"/>
        <v>53</v>
      </c>
      <c r="B54" s="143">
        <f t="shared" si="3"/>
        <v>1900</v>
      </c>
      <c r="C54" s="116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361</v>
      </c>
      <c r="M54" t="s">
        <v>362</v>
      </c>
    </row>
    <row r="55" spans="1:13">
      <c r="A55" s="2">
        <f t="shared" si="5"/>
        <v>54</v>
      </c>
      <c r="B55" s="143">
        <f t="shared" si="3"/>
        <v>1900</v>
      </c>
      <c r="C55" s="116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361</v>
      </c>
      <c r="M55" t="s">
        <v>362</v>
      </c>
    </row>
    <row r="56" spans="1:13">
      <c r="A56" s="2">
        <f t="shared" si="5"/>
        <v>55</v>
      </c>
      <c r="B56" s="143">
        <f t="shared" si="3"/>
        <v>1900</v>
      </c>
      <c r="C56" s="116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361</v>
      </c>
      <c r="M56" t="s">
        <v>362</v>
      </c>
    </row>
    <row r="57" spans="1:13">
      <c r="A57" s="2">
        <f t="shared" si="5"/>
        <v>56</v>
      </c>
      <c r="B57" s="143">
        <f t="shared" si="3"/>
        <v>1900</v>
      </c>
      <c r="C57" s="116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361</v>
      </c>
      <c r="M57" t="s">
        <v>362</v>
      </c>
    </row>
    <row r="58" spans="1:13">
      <c r="A58" s="2">
        <f t="shared" si="5"/>
        <v>57</v>
      </c>
      <c r="B58" s="143">
        <f t="shared" si="3"/>
        <v>1900</v>
      </c>
      <c r="C58" s="116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361</v>
      </c>
      <c r="M58" t="s">
        <v>362</v>
      </c>
    </row>
    <row r="59" spans="1:13">
      <c r="A59" s="2">
        <f t="shared" si="5"/>
        <v>58</v>
      </c>
      <c r="B59" s="143">
        <f t="shared" si="3"/>
        <v>1900</v>
      </c>
      <c r="C59" s="116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361</v>
      </c>
      <c r="M59" t="s">
        <v>362</v>
      </c>
    </row>
    <row r="60" spans="1:13">
      <c r="A60" s="2">
        <f t="shared" si="5"/>
        <v>59</v>
      </c>
      <c r="B60" s="143">
        <f t="shared" si="3"/>
        <v>1900</v>
      </c>
      <c r="C60" s="116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361</v>
      </c>
      <c r="M60" t="s">
        <v>362</v>
      </c>
    </row>
    <row r="61" spans="1:13">
      <c r="A61" s="2">
        <f t="shared" si="5"/>
        <v>60</v>
      </c>
      <c r="B61" s="143">
        <f t="shared" si="3"/>
        <v>1900</v>
      </c>
      <c r="C61" s="116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361</v>
      </c>
      <c r="M61" t="s">
        <v>362</v>
      </c>
    </row>
    <row r="62" spans="1:13">
      <c r="A62" s="2">
        <f t="shared" si="5"/>
        <v>61</v>
      </c>
      <c r="B62" s="143">
        <f t="shared" si="3"/>
        <v>1900</v>
      </c>
      <c r="C62" s="116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361</v>
      </c>
      <c r="M62" t="s">
        <v>362</v>
      </c>
    </row>
    <row r="63" spans="1:13">
      <c r="A63" s="2">
        <f t="shared" si="5"/>
        <v>62</v>
      </c>
      <c r="B63" s="143">
        <f t="shared" si="3"/>
        <v>1900</v>
      </c>
      <c r="C63" s="116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361</v>
      </c>
      <c r="M63" t="s">
        <v>362</v>
      </c>
    </row>
    <row r="64" spans="1:13">
      <c r="A64" s="2">
        <f t="shared" si="5"/>
        <v>63</v>
      </c>
      <c r="B64" s="143">
        <f t="shared" si="3"/>
        <v>1900</v>
      </c>
      <c r="C64" s="116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361</v>
      </c>
      <c r="M64" t="s">
        <v>362</v>
      </c>
    </row>
    <row r="65" spans="1:13">
      <c r="A65" s="2">
        <f t="shared" si="5"/>
        <v>64</v>
      </c>
      <c r="B65" s="143">
        <f t="shared" si="3"/>
        <v>1900</v>
      </c>
      <c r="C65" s="116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361</v>
      </c>
      <c r="M65" t="s">
        <v>362</v>
      </c>
    </row>
    <row r="66" spans="1:13">
      <c r="A66" s="2">
        <f t="shared" si="5"/>
        <v>65</v>
      </c>
      <c r="B66" s="143">
        <f t="shared" si="3"/>
        <v>1900</v>
      </c>
      <c r="C66" s="116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361</v>
      </c>
      <c r="M66" t="s">
        <v>362</v>
      </c>
    </row>
    <row r="67" spans="1:13">
      <c r="A67" s="2">
        <f t="shared" si="5"/>
        <v>66</v>
      </c>
      <c r="B67" s="143">
        <f t="shared" ref="B67:B130" si="7">YEAR(H67)+IF(MONTH(H67)&gt;=4,1,0)</f>
        <v>1900</v>
      </c>
      <c r="C67" s="116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361</v>
      </c>
      <c r="M67" t="s">
        <v>362</v>
      </c>
    </row>
    <row r="68" spans="1:13">
      <c r="A68" s="2">
        <f t="shared" ref="A68:A131" si="9">A67+1</f>
        <v>67</v>
      </c>
      <c r="B68" s="143">
        <f t="shared" si="7"/>
        <v>1900</v>
      </c>
      <c r="C68" s="116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361</v>
      </c>
      <c r="M68" t="s">
        <v>362</v>
      </c>
    </row>
    <row r="69" spans="1:13">
      <c r="A69" s="2">
        <f t="shared" si="9"/>
        <v>68</v>
      </c>
      <c r="B69" s="143">
        <f t="shared" si="7"/>
        <v>1900</v>
      </c>
      <c r="C69" s="116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361</v>
      </c>
      <c r="M69" t="s">
        <v>362</v>
      </c>
    </row>
    <row r="70" spans="1:13">
      <c r="A70" s="2">
        <f t="shared" si="9"/>
        <v>69</v>
      </c>
      <c r="B70" s="143">
        <f t="shared" si="7"/>
        <v>1900</v>
      </c>
      <c r="C70" s="116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361</v>
      </c>
      <c r="M70" t="s">
        <v>362</v>
      </c>
    </row>
    <row r="71" spans="1:13">
      <c r="A71" s="2">
        <f t="shared" si="9"/>
        <v>70</v>
      </c>
      <c r="B71" s="143">
        <f t="shared" si="7"/>
        <v>1900</v>
      </c>
      <c r="C71" s="116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361</v>
      </c>
      <c r="M71" t="s">
        <v>362</v>
      </c>
    </row>
    <row r="72" spans="1:13">
      <c r="A72" s="2">
        <f t="shared" si="9"/>
        <v>71</v>
      </c>
      <c r="B72" s="143">
        <f t="shared" si="7"/>
        <v>1900</v>
      </c>
      <c r="C72" s="116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361</v>
      </c>
      <c r="M72" t="s">
        <v>362</v>
      </c>
    </row>
    <row r="73" spans="1:13">
      <c r="A73" s="2">
        <f t="shared" si="9"/>
        <v>72</v>
      </c>
      <c r="B73" s="143">
        <f t="shared" si="7"/>
        <v>1900</v>
      </c>
      <c r="C73" s="116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361</v>
      </c>
      <c r="M73" t="s">
        <v>362</v>
      </c>
    </row>
    <row r="74" spans="1:13">
      <c r="A74" s="2">
        <f t="shared" si="9"/>
        <v>73</v>
      </c>
      <c r="B74" s="143">
        <f t="shared" si="7"/>
        <v>1900</v>
      </c>
      <c r="C74" s="116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361</v>
      </c>
      <c r="M74" t="s">
        <v>362</v>
      </c>
    </row>
    <row r="75" spans="1:13">
      <c r="A75" s="2">
        <f t="shared" si="9"/>
        <v>74</v>
      </c>
      <c r="B75" s="143">
        <f t="shared" si="7"/>
        <v>1900</v>
      </c>
      <c r="C75" s="116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361</v>
      </c>
      <c r="M75" t="s">
        <v>362</v>
      </c>
    </row>
    <row r="76" spans="1:13">
      <c r="A76" s="2">
        <f t="shared" si="9"/>
        <v>75</v>
      </c>
      <c r="B76" s="143">
        <f t="shared" si="7"/>
        <v>1900</v>
      </c>
      <c r="C76" s="116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361</v>
      </c>
      <c r="M76" t="s">
        <v>362</v>
      </c>
    </row>
    <row r="77" spans="1:13">
      <c r="A77" s="2">
        <f t="shared" si="9"/>
        <v>76</v>
      </c>
      <c r="B77" s="143">
        <f t="shared" si="7"/>
        <v>1900</v>
      </c>
      <c r="C77" s="116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361</v>
      </c>
      <c r="M77" t="s">
        <v>362</v>
      </c>
    </row>
    <row r="78" spans="1:13">
      <c r="A78" s="2">
        <f t="shared" si="9"/>
        <v>77</v>
      </c>
      <c r="B78" s="143">
        <f t="shared" si="7"/>
        <v>1900</v>
      </c>
      <c r="C78" s="116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361</v>
      </c>
      <c r="M78" t="s">
        <v>362</v>
      </c>
    </row>
    <row r="79" spans="1:13">
      <c r="A79" s="2">
        <f t="shared" si="9"/>
        <v>78</v>
      </c>
      <c r="B79" s="143">
        <f t="shared" si="7"/>
        <v>1900</v>
      </c>
      <c r="C79" s="116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361</v>
      </c>
      <c r="M79" t="s">
        <v>362</v>
      </c>
    </row>
    <row r="80" spans="1:13">
      <c r="A80" s="2">
        <f t="shared" si="9"/>
        <v>79</v>
      </c>
      <c r="B80" s="143">
        <f t="shared" si="7"/>
        <v>1900</v>
      </c>
      <c r="C80" s="116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361</v>
      </c>
      <c r="M80" t="s">
        <v>362</v>
      </c>
    </row>
    <row r="81" spans="1:13">
      <c r="A81" s="2">
        <f t="shared" si="9"/>
        <v>80</v>
      </c>
      <c r="B81" s="143">
        <f t="shared" si="7"/>
        <v>1900</v>
      </c>
      <c r="C81" s="116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361</v>
      </c>
      <c r="M81" t="s">
        <v>362</v>
      </c>
    </row>
    <row r="82" spans="1:13">
      <c r="A82" s="2">
        <f t="shared" si="9"/>
        <v>81</v>
      </c>
      <c r="B82" s="143">
        <f t="shared" si="7"/>
        <v>1900</v>
      </c>
      <c r="C82" s="116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361</v>
      </c>
      <c r="M82" t="s">
        <v>362</v>
      </c>
    </row>
    <row r="83" spans="1:13">
      <c r="A83" s="2">
        <f t="shared" si="9"/>
        <v>82</v>
      </c>
      <c r="B83" s="143">
        <f t="shared" si="7"/>
        <v>1900</v>
      </c>
      <c r="C83" s="116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361</v>
      </c>
      <c r="M83" t="s">
        <v>362</v>
      </c>
    </row>
    <row r="84" spans="1:13">
      <c r="A84" s="2">
        <f t="shared" si="9"/>
        <v>83</v>
      </c>
      <c r="B84" s="143">
        <f t="shared" si="7"/>
        <v>1900</v>
      </c>
      <c r="C84" s="116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361</v>
      </c>
      <c r="M84" t="s">
        <v>362</v>
      </c>
    </row>
    <row r="85" spans="1:13">
      <c r="A85" s="2">
        <f t="shared" si="9"/>
        <v>84</v>
      </c>
      <c r="B85" s="143">
        <f t="shared" si="7"/>
        <v>1900</v>
      </c>
      <c r="C85" s="116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361</v>
      </c>
      <c r="M85" t="s">
        <v>362</v>
      </c>
    </row>
    <row r="86" spans="1:13">
      <c r="A86" s="2">
        <f t="shared" si="9"/>
        <v>85</v>
      </c>
      <c r="B86" s="143">
        <f t="shared" si="7"/>
        <v>1900</v>
      </c>
      <c r="C86" s="116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361</v>
      </c>
      <c r="M86" t="s">
        <v>362</v>
      </c>
    </row>
    <row r="87" spans="1:13">
      <c r="A87" s="2">
        <f t="shared" si="9"/>
        <v>86</v>
      </c>
      <c r="B87" s="143">
        <f t="shared" si="7"/>
        <v>1900</v>
      </c>
      <c r="C87" s="116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361</v>
      </c>
      <c r="M87" t="s">
        <v>362</v>
      </c>
    </row>
    <row r="88" spans="1:13">
      <c r="A88" s="2">
        <f t="shared" si="9"/>
        <v>87</v>
      </c>
      <c r="B88" s="143">
        <f t="shared" si="7"/>
        <v>1900</v>
      </c>
      <c r="C88" s="116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361</v>
      </c>
      <c r="M88" t="s">
        <v>362</v>
      </c>
    </row>
    <row r="89" spans="1:13">
      <c r="A89" s="2">
        <f t="shared" si="9"/>
        <v>88</v>
      </c>
      <c r="B89" s="143">
        <f t="shared" si="7"/>
        <v>1900</v>
      </c>
      <c r="C89" s="116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361</v>
      </c>
      <c r="M89" t="s">
        <v>362</v>
      </c>
    </row>
    <row r="90" spans="1:13">
      <c r="A90" s="2">
        <f t="shared" si="9"/>
        <v>89</v>
      </c>
      <c r="B90" s="143">
        <f t="shared" si="7"/>
        <v>1900</v>
      </c>
      <c r="C90" s="116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361</v>
      </c>
      <c r="M90" t="s">
        <v>362</v>
      </c>
    </row>
    <row r="91" spans="1:13">
      <c r="A91" s="2">
        <f t="shared" si="9"/>
        <v>90</v>
      </c>
      <c r="B91" s="143">
        <f t="shared" si="7"/>
        <v>1900</v>
      </c>
      <c r="C91" s="116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361</v>
      </c>
      <c r="M91" t="s">
        <v>362</v>
      </c>
    </row>
    <row r="92" spans="1:13">
      <c r="A92" s="2">
        <f t="shared" si="9"/>
        <v>91</v>
      </c>
      <c r="B92" s="143">
        <f t="shared" si="7"/>
        <v>1900</v>
      </c>
      <c r="C92" s="116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361</v>
      </c>
      <c r="M92" t="s">
        <v>362</v>
      </c>
    </row>
    <row r="93" spans="1:13">
      <c r="A93" s="2">
        <f t="shared" si="9"/>
        <v>92</v>
      </c>
      <c r="B93" s="143">
        <f t="shared" si="7"/>
        <v>1900</v>
      </c>
      <c r="C93" s="116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361</v>
      </c>
      <c r="M93" t="s">
        <v>362</v>
      </c>
    </row>
    <row r="94" spans="1:13">
      <c r="A94" s="2">
        <f t="shared" si="9"/>
        <v>93</v>
      </c>
      <c r="B94" s="143">
        <f t="shared" si="7"/>
        <v>1900</v>
      </c>
      <c r="C94" s="116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361</v>
      </c>
      <c r="M94" t="s">
        <v>362</v>
      </c>
    </row>
    <row r="95" spans="1:13">
      <c r="A95" s="2">
        <f t="shared" si="9"/>
        <v>94</v>
      </c>
      <c r="B95" s="143">
        <f t="shared" si="7"/>
        <v>1900</v>
      </c>
      <c r="C95" s="116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361</v>
      </c>
      <c r="M95" t="s">
        <v>362</v>
      </c>
    </row>
    <row r="96" spans="1:13">
      <c r="A96" s="2">
        <f t="shared" si="9"/>
        <v>95</v>
      </c>
      <c r="B96" s="143">
        <f t="shared" si="7"/>
        <v>1900</v>
      </c>
      <c r="C96" s="116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361</v>
      </c>
      <c r="M96" t="s">
        <v>362</v>
      </c>
    </row>
    <row r="97" spans="1:13">
      <c r="A97" s="2">
        <f t="shared" si="9"/>
        <v>96</v>
      </c>
      <c r="B97" s="143">
        <f t="shared" si="7"/>
        <v>1900</v>
      </c>
      <c r="C97" s="116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361</v>
      </c>
      <c r="M97" t="s">
        <v>362</v>
      </c>
    </row>
    <row r="98" spans="1:13">
      <c r="A98" s="2">
        <f t="shared" si="9"/>
        <v>97</v>
      </c>
      <c r="B98" s="143">
        <f t="shared" si="7"/>
        <v>1900</v>
      </c>
      <c r="C98" s="116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361</v>
      </c>
      <c r="M98" t="s">
        <v>362</v>
      </c>
    </row>
    <row r="99" spans="1:13">
      <c r="A99" s="2">
        <f t="shared" si="9"/>
        <v>98</v>
      </c>
      <c r="B99" s="143">
        <f t="shared" si="7"/>
        <v>1900</v>
      </c>
      <c r="C99" s="116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361</v>
      </c>
      <c r="M99" t="s">
        <v>362</v>
      </c>
    </row>
    <row r="100" spans="1:13">
      <c r="A100" s="2">
        <f t="shared" si="9"/>
        <v>99</v>
      </c>
      <c r="B100" s="143">
        <f t="shared" si="7"/>
        <v>1900</v>
      </c>
      <c r="C100" s="116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361</v>
      </c>
      <c r="M100" t="s">
        <v>362</v>
      </c>
    </row>
    <row r="101" spans="1:13">
      <c r="A101" s="2">
        <f t="shared" si="9"/>
        <v>100</v>
      </c>
      <c r="B101" s="143">
        <f t="shared" si="7"/>
        <v>1900</v>
      </c>
      <c r="C101" s="116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361</v>
      </c>
      <c r="M101" t="s">
        <v>362</v>
      </c>
    </row>
    <row r="102" spans="1:13">
      <c r="A102" s="2">
        <f t="shared" si="9"/>
        <v>101</v>
      </c>
      <c r="B102" s="143">
        <f t="shared" si="7"/>
        <v>1900</v>
      </c>
      <c r="C102" s="116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361</v>
      </c>
      <c r="M102" t="s">
        <v>362</v>
      </c>
    </row>
    <row r="103" spans="1:13">
      <c r="A103" s="2">
        <f t="shared" si="9"/>
        <v>102</v>
      </c>
      <c r="B103" s="143">
        <f t="shared" si="7"/>
        <v>1900</v>
      </c>
      <c r="C103" s="116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361</v>
      </c>
      <c r="M103" t="s">
        <v>362</v>
      </c>
    </row>
    <row r="104" spans="1:13">
      <c r="A104" s="2">
        <f t="shared" si="9"/>
        <v>103</v>
      </c>
      <c r="B104" s="143">
        <f t="shared" si="7"/>
        <v>1900</v>
      </c>
      <c r="C104" s="116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361</v>
      </c>
      <c r="M104" t="s">
        <v>362</v>
      </c>
    </row>
    <row r="105" spans="1:13">
      <c r="A105" s="2">
        <f t="shared" si="9"/>
        <v>104</v>
      </c>
      <c r="B105" s="143">
        <f t="shared" si="7"/>
        <v>1900</v>
      </c>
      <c r="C105" s="116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361</v>
      </c>
      <c r="M105" t="s">
        <v>362</v>
      </c>
    </row>
    <row r="106" spans="1:13">
      <c r="A106" s="2">
        <f t="shared" si="9"/>
        <v>105</v>
      </c>
      <c r="B106" s="143">
        <f t="shared" si="7"/>
        <v>1900</v>
      </c>
      <c r="C106" s="116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361</v>
      </c>
      <c r="M106" t="s">
        <v>362</v>
      </c>
    </row>
    <row r="107" spans="1:13">
      <c r="A107" s="2">
        <f t="shared" si="9"/>
        <v>106</v>
      </c>
      <c r="B107" s="143">
        <f t="shared" si="7"/>
        <v>1900</v>
      </c>
      <c r="C107" s="116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361</v>
      </c>
      <c r="M107" t="s">
        <v>362</v>
      </c>
    </row>
    <row r="108" spans="1:13">
      <c r="A108" s="2">
        <f t="shared" si="9"/>
        <v>107</v>
      </c>
      <c r="B108" s="143">
        <f t="shared" si="7"/>
        <v>1900</v>
      </c>
      <c r="C108" s="116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361</v>
      </c>
      <c r="M108" t="s">
        <v>362</v>
      </c>
    </row>
    <row r="109" spans="1:13">
      <c r="A109" s="2">
        <f t="shared" si="9"/>
        <v>108</v>
      </c>
      <c r="B109" s="143">
        <f t="shared" si="7"/>
        <v>1900</v>
      </c>
      <c r="C109" s="116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361</v>
      </c>
      <c r="M109" t="s">
        <v>362</v>
      </c>
    </row>
    <row r="110" spans="1:13">
      <c r="A110" s="2">
        <f t="shared" si="9"/>
        <v>109</v>
      </c>
      <c r="B110" s="143">
        <f t="shared" si="7"/>
        <v>1900</v>
      </c>
      <c r="C110" s="116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361</v>
      </c>
      <c r="M110" t="s">
        <v>362</v>
      </c>
    </row>
    <row r="111" spans="1:13">
      <c r="A111" s="2">
        <f t="shared" si="9"/>
        <v>110</v>
      </c>
      <c r="B111" s="143">
        <f t="shared" si="7"/>
        <v>1900</v>
      </c>
      <c r="C111" s="116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361</v>
      </c>
      <c r="M111" t="s">
        <v>362</v>
      </c>
    </row>
    <row r="112" spans="1:13">
      <c r="A112" s="2">
        <f t="shared" si="9"/>
        <v>111</v>
      </c>
      <c r="B112" s="143">
        <f t="shared" si="7"/>
        <v>1900</v>
      </c>
      <c r="C112" s="116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361</v>
      </c>
      <c r="M112" t="s">
        <v>362</v>
      </c>
    </row>
    <row r="113" spans="1:13">
      <c r="A113" s="2">
        <f t="shared" si="9"/>
        <v>112</v>
      </c>
      <c r="B113" s="143">
        <f t="shared" si="7"/>
        <v>1900</v>
      </c>
      <c r="C113" s="116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361</v>
      </c>
      <c r="M113" t="s">
        <v>362</v>
      </c>
    </row>
    <row r="114" spans="1:13">
      <c r="A114" s="2">
        <f t="shared" si="9"/>
        <v>113</v>
      </c>
      <c r="B114" s="143">
        <f t="shared" si="7"/>
        <v>1900</v>
      </c>
      <c r="C114" s="116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361</v>
      </c>
      <c r="M114" t="s">
        <v>362</v>
      </c>
    </row>
    <row r="115" spans="1:13">
      <c r="A115" s="2">
        <f t="shared" si="9"/>
        <v>114</v>
      </c>
      <c r="B115" s="143">
        <f t="shared" si="7"/>
        <v>1900</v>
      </c>
      <c r="C115" s="116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361</v>
      </c>
      <c r="M115" t="s">
        <v>362</v>
      </c>
    </row>
    <row r="116" spans="1:13">
      <c r="A116" s="2">
        <f t="shared" si="9"/>
        <v>115</v>
      </c>
      <c r="B116" s="143">
        <f t="shared" si="7"/>
        <v>1900</v>
      </c>
      <c r="C116" s="116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361</v>
      </c>
      <c r="M116" t="s">
        <v>362</v>
      </c>
    </row>
    <row r="117" spans="1:13">
      <c r="A117" s="2">
        <f t="shared" si="9"/>
        <v>116</v>
      </c>
      <c r="B117" s="143">
        <f t="shared" si="7"/>
        <v>1900</v>
      </c>
      <c r="C117" s="116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361</v>
      </c>
      <c r="M117" t="s">
        <v>362</v>
      </c>
    </row>
    <row r="118" spans="1:13">
      <c r="A118" s="2">
        <f t="shared" si="9"/>
        <v>117</v>
      </c>
      <c r="B118" s="143">
        <f t="shared" si="7"/>
        <v>1900</v>
      </c>
      <c r="C118" s="116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361</v>
      </c>
      <c r="M118" t="s">
        <v>362</v>
      </c>
    </row>
    <row r="119" spans="1:13">
      <c r="A119" s="2">
        <f t="shared" si="9"/>
        <v>118</v>
      </c>
      <c r="B119" s="143">
        <f t="shared" si="7"/>
        <v>1900</v>
      </c>
      <c r="C119" s="116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361</v>
      </c>
      <c r="M119" t="s">
        <v>362</v>
      </c>
    </row>
    <row r="120" spans="1:13">
      <c r="A120" s="2">
        <f t="shared" si="9"/>
        <v>119</v>
      </c>
      <c r="B120" s="143">
        <f t="shared" si="7"/>
        <v>1900</v>
      </c>
      <c r="C120" s="116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361</v>
      </c>
      <c r="M120" t="s">
        <v>362</v>
      </c>
    </row>
    <row r="121" spans="1:13">
      <c r="A121" s="2">
        <f t="shared" si="9"/>
        <v>120</v>
      </c>
      <c r="B121" s="143">
        <f t="shared" si="7"/>
        <v>1900</v>
      </c>
      <c r="C121" s="116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361</v>
      </c>
      <c r="M121" t="s">
        <v>362</v>
      </c>
    </row>
    <row r="122" spans="1:13">
      <c r="A122" s="2">
        <f t="shared" si="9"/>
        <v>121</v>
      </c>
      <c r="B122" s="143">
        <f t="shared" si="7"/>
        <v>1900</v>
      </c>
      <c r="C122" s="116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361</v>
      </c>
      <c r="M122" t="s">
        <v>362</v>
      </c>
    </row>
    <row r="123" spans="1:13">
      <c r="A123" s="2">
        <f t="shared" si="9"/>
        <v>122</v>
      </c>
      <c r="B123" s="143">
        <f t="shared" si="7"/>
        <v>1900</v>
      </c>
      <c r="C123" s="116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361</v>
      </c>
      <c r="M123" t="s">
        <v>362</v>
      </c>
    </row>
    <row r="124" spans="1:13">
      <c r="A124" s="2">
        <f t="shared" si="9"/>
        <v>123</v>
      </c>
      <c r="B124" s="143">
        <f t="shared" si="7"/>
        <v>1900</v>
      </c>
      <c r="C124" s="116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361</v>
      </c>
      <c r="M124" t="s">
        <v>362</v>
      </c>
    </row>
    <row r="125" spans="1:13">
      <c r="A125" s="2">
        <f t="shared" si="9"/>
        <v>124</v>
      </c>
      <c r="B125" s="143">
        <f t="shared" si="7"/>
        <v>1900</v>
      </c>
      <c r="C125" s="116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361</v>
      </c>
      <c r="M125" t="s">
        <v>362</v>
      </c>
    </row>
    <row r="126" spans="1:13">
      <c r="A126" s="2">
        <f t="shared" si="9"/>
        <v>125</v>
      </c>
      <c r="B126" s="143">
        <f t="shared" si="7"/>
        <v>1900</v>
      </c>
      <c r="C126" s="116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361</v>
      </c>
      <c r="M126" t="s">
        <v>362</v>
      </c>
    </row>
    <row r="127" spans="1:13">
      <c r="A127" s="2">
        <f t="shared" si="9"/>
        <v>126</v>
      </c>
      <c r="B127" s="143">
        <f t="shared" si="7"/>
        <v>1900</v>
      </c>
      <c r="C127" s="116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361</v>
      </c>
      <c r="M127" t="s">
        <v>362</v>
      </c>
    </row>
    <row r="128" spans="1:13">
      <c r="A128" s="2">
        <f t="shared" si="9"/>
        <v>127</v>
      </c>
      <c r="B128" s="143">
        <f t="shared" si="7"/>
        <v>1900</v>
      </c>
      <c r="C128" s="116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361</v>
      </c>
      <c r="M128" t="s">
        <v>362</v>
      </c>
    </row>
    <row r="129" spans="1:13">
      <c r="A129" s="2">
        <f t="shared" si="9"/>
        <v>128</v>
      </c>
      <c r="B129" s="143">
        <f t="shared" si="7"/>
        <v>1900</v>
      </c>
      <c r="C129" s="116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361</v>
      </c>
      <c r="M129" t="s">
        <v>362</v>
      </c>
    </row>
    <row r="130" spans="1:13">
      <c r="A130" s="2">
        <f t="shared" si="9"/>
        <v>129</v>
      </c>
      <c r="B130" s="143">
        <f t="shared" si="7"/>
        <v>1900</v>
      </c>
      <c r="C130" s="116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361</v>
      </c>
      <c r="M130" t="s">
        <v>362</v>
      </c>
    </row>
    <row r="131" spans="1:13">
      <c r="A131" s="2">
        <f t="shared" si="9"/>
        <v>130</v>
      </c>
      <c r="B131" s="143">
        <f t="shared" ref="B131" si="11">YEAR(H131)+IF(MONTH(H131)&gt;=4,1,0)</f>
        <v>1900</v>
      </c>
      <c r="C131" s="116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361</v>
      </c>
      <c r="M131" t="s">
        <v>363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E35" activePane="bottomRight" state="frozen"/>
      <selection pane="topRight" activeCell="C1" sqref="C1"/>
      <selection pane="bottomLeft" activeCell="C1" sqref="C1"/>
      <selection pane="bottomRight" activeCell="M38" sqref="M38:M49"/>
    </sheetView>
  </sheetViews>
  <sheetFormatPr defaultColWidth="8.7265625" defaultRowHeight="14.5"/>
  <cols>
    <col min="1" max="2" width="9.26953125" style="116" customWidth="1"/>
    <col min="3" max="3" width="15.81640625" style="116" customWidth="1"/>
    <col min="4" max="6" width="8.7265625" style="116"/>
    <col min="7" max="7" width="20.54296875" style="116" customWidth="1"/>
    <col min="8" max="8" width="8.7265625" style="116"/>
    <col min="9" max="9" width="9.453125" style="116" bestFit="1" customWidth="1"/>
    <col min="10" max="14" width="8.7265625" style="116"/>
    <col min="15" max="15" width="9.81640625" style="116" bestFit="1" customWidth="1"/>
    <col min="16" max="16" width="11" style="116" customWidth="1"/>
    <col min="17" max="17" width="15.26953125" style="116" customWidth="1"/>
    <col min="18" max="19" width="10.81640625" style="116" customWidth="1"/>
    <col min="20" max="20" width="13" style="116" customWidth="1"/>
    <col min="21" max="25" width="12.81640625" style="116" customWidth="1"/>
    <col min="26" max="27" width="14.54296875" style="116" customWidth="1"/>
    <col min="28" max="29" width="15.54296875" style="116" customWidth="1"/>
    <col min="30" max="38" width="9.81640625" style="116" customWidth="1"/>
    <col min="39" max="39" width="12" style="116" bestFit="1" customWidth="1"/>
    <col min="40" max="40" width="10.81640625" style="116" customWidth="1"/>
    <col min="41" max="41" width="12.7265625" style="116" customWidth="1"/>
    <col min="42" max="42" width="27.54296875" style="116" bestFit="1" customWidth="1"/>
    <col min="43" max="16384" width="8.7265625" style="116"/>
  </cols>
  <sheetData>
    <row r="1" spans="1:43" ht="43.5">
      <c r="A1" s="119" t="s">
        <v>5</v>
      </c>
      <c r="B1" s="119" t="s">
        <v>157</v>
      </c>
      <c r="C1" s="119" t="s">
        <v>158</v>
      </c>
      <c r="D1" s="119" t="s">
        <v>159</v>
      </c>
      <c r="E1" s="119" t="s">
        <v>160</v>
      </c>
      <c r="F1" s="119" t="s">
        <v>161</v>
      </c>
      <c r="G1" s="119" t="s">
        <v>162</v>
      </c>
      <c r="H1" s="119" t="s">
        <v>163</v>
      </c>
      <c r="I1" s="119" t="s">
        <v>59</v>
      </c>
      <c r="J1" s="119" t="s">
        <v>164</v>
      </c>
      <c r="K1" s="119" t="s">
        <v>165</v>
      </c>
      <c r="L1" s="119" t="s">
        <v>166</v>
      </c>
      <c r="M1" s="119" t="s">
        <v>167</v>
      </c>
      <c r="N1" s="119" t="s">
        <v>168</v>
      </c>
      <c r="O1" s="119" t="s">
        <v>58</v>
      </c>
      <c r="P1" s="119" t="s">
        <v>169</v>
      </c>
      <c r="Q1" s="119" t="s">
        <v>170</v>
      </c>
      <c r="R1" s="119" t="s">
        <v>171</v>
      </c>
      <c r="S1" s="119" t="s">
        <v>172</v>
      </c>
      <c r="T1" s="119" t="s">
        <v>173</v>
      </c>
      <c r="U1" s="119" t="s">
        <v>174</v>
      </c>
      <c r="V1" s="119" t="s">
        <v>175</v>
      </c>
      <c r="W1" s="119" t="s">
        <v>176</v>
      </c>
      <c r="X1" s="119" t="s">
        <v>177</v>
      </c>
      <c r="Y1" s="119" t="s">
        <v>178</v>
      </c>
      <c r="Z1" s="119" t="s">
        <v>179</v>
      </c>
      <c r="AA1" s="119" t="s">
        <v>180</v>
      </c>
      <c r="AB1" s="119" t="s">
        <v>181</v>
      </c>
      <c r="AC1" s="119" t="s">
        <v>182</v>
      </c>
      <c r="AD1" s="119" t="s">
        <v>183</v>
      </c>
      <c r="AE1" s="119" t="s">
        <v>184</v>
      </c>
      <c r="AF1" s="119" t="s">
        <v>185</v>
      </c>
      <c r="AG1" s="119" t="s">
        <v>186</v>
      </c>
      <c r="AH1" s="119" t="s">
        <v>187</v>
      </c>
      <c r="AI1" s="119" t="s">
        <v>188</v>
      </c>
      <c r="AJ1" s="119" t="s">
        <v>189</v>
      </c>
      <c r="AK1" s="119" t="s">
        <v>190</v>
      </c>
      <c r="AL1" s="119" t="s">
        <v>191</v>
      </c>
      <c r="AM1" s="119" t="s">
        <v>123</v>
      </c>
      <c r="AN1" s="119" t="s">
        <v>124</v>
      </c>
      <c r="AO1" s="119" t="s">
        <v>517</v>
      </c>
      <c r="AP1" s="116" t="s">
        <v>192</v>
      </c>
      <c r="AQ1" s="120">
        <v>11.72</v>
      </c>
    </row>
    <row r="2" spans="1:43">
      <c r="A2" s="121">
        <v>1</v>
      </c>
      <c r="B2" s="122" t="s">
        <v>193</v>
      </c>
      <c r="C2" s="121">
        <v>4</v>
      </c>
      <c r="D2" s="123">
        <v>44652</v>
      </c>
      <c r="E2" s="124">
        <f t="shared" ref="E2:E3" si="0">YEAR(D2)</f>
        <v>2022</v>
      </c>
      <c r="F2" s="124" t="s">
        <v>194</v>
      </c>
      <c r="G2" s="125">
        <f t="shared" ref="G2:G3" si="1">DAY(EOMONTH(D2,0))</f>
        <v>30</v>
      </c>
      <c r="H2" s="126">
        <v>187.86834831199999</v>
      </c>
      <c r="I2" s="126">
        <v>228.56010069999994</v>
      </c>
      <c r="J2" s="127"/>
      <c r="K2" s="126">
        <v>23.057770000000001</v>
      </c>
      <c r="L2" s="125"/>
      <c r="M2" s="128">
        <v>1844.1035681650928</v>
      </c>
      <c r="N2" s="128">
        <v>11.72</v>
      </c>
      <c r="O2" s="129">
        <f t="shared" ref="O2:O3" si="2">IFERROR(M2/I2/N2,"")</f>
        <v>0.68842602165163946</v>
      </c>
      <c r="P2" s="127">
        <f t="shared" ref="P2:P3" si="3">IFERROR(I2/G2,"")</f>
        <v>7.6186700233333315</v>
      </c>
      <c r="Q2" s="125">
        <f>COUNTIFS('Daily KPI'!$D:$D,D2,'Daily KPI'!$K:$K,"&gt;0")</f>
        <v>0</v>
      </c>
      <c r="R2" s="128">
        <f t="shared" ref="R2:R3" si="4">I2/G2*Q2</f>
        <v>0</v>
      </c>
      <c r="S2" s="128">
        <f>SUMIF($F$2:F2,F2,$R$2:R2)</f>
        <v>0</v>
      </c>
      <c r="T2" s="127">
        <f t="shared" ref="T2:T3" si="5">M2/G2</f>
        <v>61.470118938836428</v>
      </c>
      <c r="U2" s="128">
        <f t="shared" ref="U2:U3" si="6">M2/G2*Q2</f>
        <v>0</v>
      </c>
      <c r="V2" s="128">
        <f>SUMIF($F$2:F2,F2,$U$2:U2)</f>
        <v>0</v>
      </c>
      <c r="W2" s="129">
        <f t="shared" ref="W2:W3" si="7">IFERROR(T2/(24*N2),"")</f>
        <v>0.218537112268332</v>
      </c>
      <c r="X2" s="129" t="str">
        <f t="shared" ref="X2:X49" si="8">IFERROR(U2/(24*N2*Q2),"")</f>
        <v/>
      </c>
      <c r="Y2" s="129" t="str">
        <f t="shared" ref="Y2:Y49" si="9">IFERROR(V2/(24*N2*SUMIFS($Q:$Q,$F:$F,$F2,$D:$D,"&lt;="&amp;D2)),"")</f>
        <v/>
      </c>
      <c r="Z2" s="127" t="str">
        <f>IFERROR(AVERAGEIF('Daily KPI'!D:D,Table14[[#This Row],[Month]],'Daily KPI'!AB:AB),"")</f>
        <v/>
      </c>
      <c r="AA2" s="130" t="str">
        <f>IFERROR(AVERAGEIF($F$2:F2,F2,$Z$2:Z2),"")</f>
        <v/>
      </c>
      <c r="AB2" s="128"/>
      <c r="AC2" s="127"/>
      <c r="AD2" s="127"/>
      <c r="AE2" s="129">
        <v>0.995</v>
      </c>
      <c r="AF2" s="129">
        <v>0.98550000000000004</v>
      </c>
      <c r="AG2" s="129">
        <v>0.995</v>
      </c>
      <c r="AH2" s="129"/>
      <c r="AI2" s="129"/>
      <c r="AJ2" s="129"/>
      <c r="AK2" s="129"/>
      <c r="AL2" s="129"/>
      <c r="AM2" s="168"/>
      <c r="AN2" s="168"/>
      <c r="AO2" s="121">
        <v>10</v>
      </c>
    </row>
    <row r="3" spans="1:43">
      <c r="A3" s="122">
        <f t="shared" ref="A3:A49" si="10">A2+1</f>
        <v>2</v>
      </c>
      <c r="B3" s="122" t="s">
        <v>195</v>
      </c>
      <c r="C3" s="121">
        <v>5</v>
      </c>
      <c r="D3" s="123">
        <v>44682</v>
      </c>
      <c r="E3" s="131">
        <f t="shared" si="0"/>
        <v>2022</v>
      </c>
      <c r="F3" s="124" t="s">
        <v>194</v>
      </c>
      <c r="G3" s="132">
        <f t="shared" si="1"/>
        <v>31</v>
      </c>
      <c r="H3" s="130">
        <v>194.13106407199999</v>
      </c>
      <c r="I3" s="130">
        <v>236.95476170000001</v>
      </c>
      <c r="J3" s="133"/>
      <c r="K3" s="130">
        <v>24.803879999999999</v>
      </c>
      <c r="L3" s="132"/>
      <c r="M3" s="134">
        <v>1900.09495955894</v>
      </c>
      <c r="N3" s="128">
        <v>11.72</v>
      </c>
      <c r="O3" s="135">
        <f t="shared" si="2"/>
        <v>0.68419871431972479</v>
      </c>
      <c r="P3" s="133">
        <f t="shared" si="3"/>
        <v>7.6437019903225805</v>
      </c>
      <c r="Q3" s="132">
        <f>COUNTIFS('Daily KPI'!$D:$D,D3,'Daily KPI'!$K:$K,"&gt;0")</f>
        <v>0</v>
      </c>
      <c r="R3" s="134">
        <f t="shared" si="4"/>
        <v>0</v>
      </c>
      <c r="S3" s="134">
        <f>SUMIF($F$2:F3,F3,$R$2:R3)</f>
        <v>0</v>
      </c>
      <c r="T3" s="133">
        <f t="shared" si="5"/>
        <v>61.293385792223873</v>
      </c>
      <c r="U3" s="134">
        <f t="shared" si="6"/>
        <v>0</v>
      </c>
      <c r="V3" s="134">
        <f>SUMIF($F$2:F3,F3,$U$2:U3)</f>
        <v>0</v>
      </c>
      <c r="W3" s="135">
        <f t="shared" si="7"/>
        <v>0.21790879476757632</v>
      </c>
      <c r="X3" s="135" t="str">
        <f t="shared" si="8"/>
        <v/>
      </c>
      <c r="Y3" s="135" t="str">
        <f t="shared" si="9"/>
        <v/>
      </c>
      <c r="Z3" s="133" t="str">
        <f>IFERROR(AVERAGEIF('Daily KPI'!D:D,Table14[[#This Row],[Month]],'Daily KPI'!AB:AB),"")</f>
        <v/>
      </c>
      <c r="AA3" s="130" t="str">
        <f>IFERROR(AVERAGEIF($F$2:F3,F3,$Z$2:Z3),"")</f>
        <v/>
      </c>
      <c r="AB3" s="134"/>
      <c r="AC3" s="133"/>
      <c r="AD3" s="133"/>
      <c r="AE3" s="129">
        <v>0.995</v>
      </c>
      <c r="AF3" s="129">
        <v>0.98550000000000004</v>
      </c>
      <c r="AG3" s="129">
        <v>0.995</v>
      </c>
      <c r="AH3" s="135"/>
      <c r="AI3" s="135"/>
      <c r="AJ3" s="135"/>
      <c r="AK3" s="135"/>
      <c r="AL3" s="135"/>
      <c r="AM3" s="167"/>
      <c r="AN3" s="167"/>
      <c r="AO3" s="121">
        <v>10</v>
      </c>
    </row>
    <row r="4" spans="1:43">
      <c r="A4" s="121">
        <f t="shared" si="10"/>
        <v>3</v>
      </c>
      <c r="B4" s="122" t="s">
        <v>196</v>
      </c>
      <c r="C4" s="121">
        <v>6</v>
      </c>
      <c r="D4" s="123">
        <v>44713</v>
      </c>
      <c r="E4" s="124">
        <f>YEAR(D4)</f>
        <v>2022</v>
      </c>
      <c r="F4" s="124" t="s">
        <v>194</v>
      </c>
      <c r="G4" s="125">
        <f>DAY(EOMONTH(D4,0))</f>
        <v>30</v>
      </c>
      <c r="H4" s="130">
        <v>144.327462642</v>
      </c>
      <c r="I4" s="130">
        <v>168.51814360000006</v>
      </c>
      <c r="J4" s="127"/>
      <c r="K4" s="130">
        <v>20.91329</v>
      </c>
      <c r="L4" s="125"/>
      <c r="M4" s="128">
        <v>1378.1106978550106</v>
      </c>
      <c r="N4" s="128">
        <v>11.72</v>
      </c>
      <c r="O4" s="129">
        <f>IFERROR(M4/I4/N4,"")</f>
        <v>0.69776603578930929</v>
      </c>
      <c r="P4" s="127">
        <f>IFERROR(I4/G4,"")</f>
        <v>5.617271453333335</v>
      </c>
      <c r="Q4" s="125">
        <f>COUNTIFS('Daily KPI'!$D:$D,D4,'Daily KPI'!$K:$K,"&gt;0")</f>
        <v>0</v>
      </c>
      <c r="R4" s="128">
        <f>I4/G4*Q4</f>
        <v>0</v>
      </c>
      <c r="S4" s="128">
        <f>SUMIF($F$4:F4,F4,$R$4:R4)</f>
        <v>0</v>
      </c>
      <c r="T4" s="127">
        <f>M4/G4</f>
        <v>45.937023261833687</v>
      </c>
      <c r="U4" s="128">
        <f>M4/G4*Q4</f>
        <v>0</v>
      </c>
      <c r="V4" s="128">
        <f>SUMIF($F$4:F4,F4,$U$4:U4)</f>
        <v>0</v>
      </c>
      <c r="W4" s="129">
        <f>IFERROR(T4/(24*N4),"")</f>
        <v>0.16331421808103555</v>
      </c>
      <c r="X4" s="129" t="str">
        <f t="shared" si="8"/>
        <v/>
      </c>
      <c r="Y4" s="129" t="str">
        <f t="shared" si="9"/>
        <v/>
      </c>
      <c r="Z4" s="127" t="str">
        <f>IFERROR(AVERAGEIF('Daily KPI'!D:D,Table14[[#This Row],[Month]],'Daily KPI'!AB:AB),"")</f>
        <v/>
      </c>
      <c r="AA4" s="130" t="str">
        <f>IFERROR(AVERAGEIF($F$2:F4,F4,$Z$2:Z4),"")</f>
        <v/>
      </c>
      <c r="AB4" s="128"/>
      <c r="AC4" s="127"/>
      <c r="AD4" s="127"/>
      <c r="AE4" s="129">
        <v>0.995</v>
      </c>
      <c r="AF4" s="129">
        <v>0.98550000000000004</v>
      </c>
      <c r="AG4" s="129">
        <v>0.995</v>
      </c>
      <c r="AH4" s="129"/>
      <c r="AI4" s="129"/>
      <c r="AJ4" s="129"/>
      <c r="AK4" s="129"/>
      <c r="AL4" s="129"/>
      <c r="AM4" s="167"/>
      <c r="AN4" s="167"/>
      <c r="AO4" s="121">
        <v>10</v>
      </c>
    </row>
    <row r="5" spans="1:43">
      <c r="A5" s="122">
        <f t="shared" si="10"/>
        <v>4</v>
      </c>
      <c r="B5" s="122" t="s">
        <v>197</v>
      </c>
      <c r="C5" s="121">
        <v>7</v>
      </c>
      <c r="D5" s="123">
        <v>44743</v>
      </c>
      <c r="E5" s="131">
        <f>YEAR(D5)</f>
        <v>2022</v>
      </c>
      <c r="F5" s="124" t="s">
        <v>194</v>
      </c>
      <c r="G5" s="132">
        <f>DAY(EOMONTH(D5,0))</f>
        <v>31</v>
      </c>
      <c r="H5" s="130">
        <v>124.81072236599999</v>
      </c>
      <c r="I5" s="130">
        <v>143.43493099999995</v>
      </c>
      <c r="J5" s="133"/>
      <c r="K5" s="130">
        <v>20.391279999999998</v>
      </c>
      <c r="L5" s="132"/>
      <c r="M5" s="134">
        <v>1181.2377410185804</v>
      </c>
      <c r="N5" s="128">
        <v>11.72</v>
      </c>
      <c r="O5" s="135">
        <f>IFERROR(M5/I5/N5,"")</f>
        <v>0.70267543935013965</v>
      </c>
      <c r="P5" s="133">
        <f>IFERROR(I5/G5,"")</f>
        <v>4.6269332580645148</v>
      </c>
      <c r="Q5" s="132">
        <f>COUNTIFS('Daily KPI'!$D:$D,D5,'Daily KPI'!$K:$K,"&gt;0")</f>
        <v>0</v>
      </c>
      <c r="R5" s="134">
        <f>I5/G5*Q5</f>
        <v>0</v>
      </c>
      <c r="S5" s="134">
        <f>SUMIF($F$5:F5,F5,$R$5:R5)</f>
        <v>0</v>
      </c>
      <c r="T5" s="133">
        <f>M5/G5</f>
        <v>38.104443258663885</v>
      </c>
      <c r="U5" s="134">
        <f>M5/G5*Q5</f>
        <v>0</v>
      </c>
      <c r="V5" s="134">
        <f>SUMIF($F$5:F5,F5,$U$5:U5)</f>
        <v>0</v>
      </c>
      <c r="W5" s="135">
        <f>IFERROR(T5/(24*N5),"")</f>
        <v>0.13546801499809399</v>
      </c>
      <c r="X5" s="135" t="str">
        <f t="shared" si="8"/>
        <v/>
      </c>
      <c r="Y5" s="135" t="str">
        <f t="shared" si="9"/>
        <v/>
      </c>
      <c r="Z5" s="133" t="str">
        <f>IFERROR(AVERAGEIF('Daily KPI'!D:D,Table14[[#This Row],[Month]],'Daily KPI'!AB:AB),"")</f>
        <v/>
      </c>
      <c r="AA5" s="130" t="str">
        <f>IFERROR(AVERAGEIF($F$2:F5,F5,$Z$2:Z5),"")</f>
        <v/>
      </c>
      <c r="AB5" s="134"/>
      <c r="AC5" s="133"/>
      <c r="AD5" s="133"/>
      <c r="AE5" s="129">
        <v>0.995</v>
      </c>
      <c r="AF5" s="129">
        <v>0.98550000000000004</v>
      </c>
      <c r="AG5" s="129">
        <v>0.995</v>
      </c>
      <c r="AH5" s="135"/>
      <c r="AI5" s="135"/>
      <c r="AJ5" s="135"/>
      <c r="AK5" s="135"/>
      <c r="AL5" s="135"/>
      <c r="AM5" s="167"/>
      <c r="AN5" s="167"/>
      <c r="AO5" s="121">
        <v>10</v>
      </c>
    </row>
    <row r="6" spans="1:43">
      <c r="A6" s="121">
        <f t="shared" si="10"/>
        <v>5</v>
      </c>
      <c r="B6" s="122" t="s">
        <v>198</v>
      </c>
      <c r="C6" s="121">
        <v>8</v>
      </c>
      <c r="D6" s="123">
        <v>44774</v>
      </c>
      <c r="E6" s="124">
        <f t="shared" ref="E6:E13" si="11">YEAR(D6)</f>
        <v>2022</v>
      </c>
      <c r="F6" s="124" t="s">
        <v>194</v>
      </c>
      <c r="G6" s="125">
        <f t="shared" ref="G6:G13" si="12">DAY(EOMONTH(D6,0))</f>
        <v>31</v>
      </c>
      <c r="H6" s="130">
        <v>129.03231213399999</v>
      </c>
      <c r="I6" s="130">
        <v>147.91273230000004</v>
      </c>
      <c r="J6" s="127"/>
      <c r="K6" s="130">
        <v>19.68656</v>
      </c>
      <c r="L6" s="125"/>
      <c r="M6" s="128">
        <v>1220.9735671690526</v>
      </c>
      <c r="N6" s="128">
        <v>11.72</v>
      </c>
      <c r="O6" s="129">
        <f t="shared" ref="O6:O29" si="13">IFERROR(M6/I6/N6,"")</f>
        <v>0.70432497859422794</v>
      </c>
      <c r="P6" s="127">
        <f t="shared" ref="P6:P29" si="14">IFERROR(I6/G6,"")</f>
        <v>4.7713784612903236</v>
      </c>
      <c r="Q6" s="125">
        <f>COUNTIFS('Daily KPI'!$D:$D,D6,'Daily KPI'!$K:$K,"&gt;0")</f>
        <v>0</v>
      </c>
      <c r="R6" s="128">
        <f t="shared" ref="R6:R29" si="15">I6/G6*Q6</f>
        <v>0</v>
      </c>
      <c r="S6" s="128">
        <f>SUMIF($F$6:F6,F6,$R$6:R6)</f>
        <v>0</v>
      </c>
      <c r="T6" s="127">
        <f t="shared" ref="T6:T29" si="16">M6/G6</f>
        <v>39.386244102227501</v>
      </c>
      <c r="U6" s="128">
        <f t="shared" ref="U6:U29" si="17">M6/G6*Q6</f>
        <v>0</v>
      </c>
      <c r="V6" s="128">
        <f>SUMIF($F$6:F6,F6,$U$6:U6)</f>
        <v>0</v>
      </c>
      <c r="W6" s="129">
        <f t="shared" ref="W6:W29" si="18">IFERROR(T6/(24*N6),"")</f>
        <v>0.14002504302555283</v>
      </c>
      <c r="X6" s="129" t="str">
        <f t="shared" si="8"/>
        <v/>
      </c>
      <c r="Y6" s="129" t="str">
        <f t="shared" si="9"/>
        <v/>
      </c>
      <c r="Z6" s="127" t="str">
        <f>IFERROR(AVERAGEIF('Daily KPI'!D:D,Table14[[#This Row],[Month]],'Daily KPI'!AB:AB),"")</f>
        <v/>
      </c>
      <c r="AA6" s="130" t="str">
        <f>IFERROR(AVERAGEIF($F$2:F6,F6,$Z$2:Z6),"")</f>
        <v/>
      </c>
      <c r="AB6" s="128"/>
      <c r="AC6" s="127"/>
      <c r="AD6" s="127"/>
      <c r="AE6" s="129">
        <v>0.995</v>
      </c>
      <c r="AF6" s="129">
        <v>0.98550000000000004</v>
      </c>
      <c r="AG6" s="129">
        <v>0.995</v>
      </c>
      <c r="AH6" s="129"/>
      <c r="AI6" s="129"/>
      <c r="AJ6" s="129"/>
      <c r="AK6" s="129"/>
      <c r="AL6" s="129"/>
      <c r="AM6" s="167"/>
      <c r="AN6" s="167"/>
      <c r="AO6" s="121">
        <v>10</v>
      </c>
    </row>
    <row r="7" spans="1:43">
      <c r="A7" s="121">
        <f t="shared" si="10"/>
        <v>6</v>
      </c>
      <c r="B7" s="122" t="s">
        <v>199</v>
      </c>
      <c r="C7" s="121">
        <v>9</v>
      </c>
      <c r="D7" s="123">
        <v>44805</v>
      </c>
      <c r="E7" s="124">
        <f t="shared" si="11"/>
        <v>2022</v>
      </c>
      <c r="F7" s="124" t="s">
        <v>194</v>
      </c>
      <c r="G7" s="132">
        <f t="shared" si="12"/>
        <v>30</v>
      </c>
      <c r="H7" s="130">
        <v>138.860397627</v>
      </c>
      <c r="I7" s="130">
        <v>165.14882880000005</v>
      </c>
      <c r="J7" s="127"/>
      <c r="K7" s="130">
        <v>18.930330000000001</v>
      </c>
      <c r="L7" s="125"/>
      <c r="M7" s="128">
        <v>1365.4674804434967</v>
      </c>
      <c r="N7" s="128">
        <v>11.72</v>
      </c>
      <c r="O7" s="129">
        <f t="shared" si="13"/>
        <v>0.70546951527435531</v>
      </c>
      <c r="P7" s="127">
        <f t="shared" si="14"/>
        <v>5.5049609600000018</v>
      </c>
      <c r="Q7" s="125">
        <f>COUNTIFS('Daily KPI'!$D:$D,D7,'Daily KPI'!$K:$K,"&gt;0")</f>
        <v>0</v>
      </c>
      <c r="R7" s="128">
        <f t="shared" si="15"/>
        <v>0</v>
      </c>
      <c r="S7" s="128">
        <f>SUMIF($F$6:F7,F7,$R$6:R7)</f>
        <v>0</v>
      </c>
      <c r="T7" s="127">
        <f t="shared" si="16"/>
        <v>45.515582681449892</v>
      </c>
      <c r="U7" s="128">
        <f t="shared" si="17"/>
        <v>0</v>
      </c>
      <c r="V7" s="128">
        <f>SUMIF($F$6:F7,F7,$U$6:U7)</f>
        <v>0</v>
      </c>
      <c r="W7" s="129">
        <f t="shared" si="18"/>
        <v>0.16181592250231047</v>
      </c>
      <c r="X7" s="129" t="str">
        <f t="shared" si="8"/>
        <v/>
      </c>
      <c r="Y7" s="129" t="str">
        <f t="shared" si="9"/>
        <v/>
      </c>
      <c r="Z7" s="127" t="str">
        <f>IFERROR(AVERAGEIF('Daily KPI'!D:D,Table14[[#This Row],[Month]],'Daily KPI'!AB:AB),"")</f>
        <v/>
      </c>
      <c r="AA7" s="130" t="str">
        <f>IFERROR(AVERAGEIF($F$2:F7,F7,$Z$2:Z7),"")</f>
        <v/>
      </c>
      <c r="AB7" s="128"/>
      <c r="AC7" s="127"/>
      <c r="AD7" s="127"/>
      <c r="AE7" s="129">
        <v>0.995</v>
      </c>
      <c r="AF7" s="129">
        <v>0.98550000000000004</v>
      </c>
      <c r="AG7" s="129">
        <v>0.995</v>
      </c>
      <c r="AH7" s="129"/>
      <c r="AI7" s="129"/>
      <c r="AJ7" s="129"/>
      <c r="AK7" s="129"/>
      <c r="AL7" s="129"/>
      <c r="AM7" s="167"/>
      <c r="AN7" s="167"/>
      <c r="AO7" s="121">
        <v>10</v>
      </c>
    </row>
    <row r="8" spans="1:43">
      <c r="A8" s="122">
        <f t="shared" si="10"/>
        <v>7</v>
      </c>
      <c r="B8" s="122" t="s">
        <v>200</v>
      </c>
      <c r="C8" s="121">
        <v>10</v>
      </c>
      <c r="D8" s="123">
        <v>44835</v>
      </c>
      <c r="E8" s="131">
        <f t="shared" si="11"/>
        <v>2022</v>
      </c>
      <c r="F8" s="124" t="s">
        <v>194</v>
      </c>
      <c r="G8" s="125">
        <f t="shared" si="12"/>
        <v>31</v>
      </c>
      <c r="H8" s="130">
        <v>144.27891666400001</v>
      </c>
      <c r="I8" s="130">
        <v>175.0139135</v>
      </c>
      <c r="J8" s="133"/>
      <c r="K8" s="126">
        <v>19.660550000000001</v>
      </c>
      <c r="L8" s="132"/>
      <c r="M8" s="134">
        <v>1449.4545675342674</v>
      </c>
      <c r="N8" s="134">
        <v>11.72</v>
      </c>
      <c r="O8" s="135">
        <f t="shared" si="13"/>
        <v>0.70665009106536059</v>
      </c>
      <c r="P8" s="133">
        <f t="shared" si="14"/>
        <v>5.6456101129032259</v>
      </c>
      <c r="Q8" s="132">
        <f>COUNTIFS('Daily KPI'!$D:$D,D8,'Daily KPI'!$K:$K,"&gt;0")</f>
        <v>0</v>
      </c>
      <c r="R8" s="134">
        <f t="shared" si="15"/>
        <v>0</v>
      </c>
      <c r="S8" s="134">
        <f>SUMIF($F$6:F8,F8,$R$6:R8)</f>
        <v>0</v>
      </c>
      <c r="T8" s="133">
        <f t="shared" si="16"/>
        <v>46.756598952718306</v>
      </c>
      <c r="U8" s="134">
        <f t="shared" si="17"/>
        <v>0</v>
      </c>
      <c r="V8" s="134">
        <f>SUMIF($F$6:F8,F8,$U$6:U8)</f>
        <v>0</v>
      </c>
      <c r="W8" s="135">
        <f t="shared" si="18"/>
        <v>0.16622795418344105</v>
      </c>
      <c r="X8" s="135" t="str">
        <f t="shared" si="8"/>
        <v/>
      </c>
      <c r="Y8" s="135" t="str">
        <f t="shared" si="9"/>
        <v/>
      </c>
      <c r="Z8" s="133" t="str">
        <f>IFERROR(AVERAGEIF('Daily KPI'!D:D,Table14[[#This Row],[Month]],'Daily KPI'!AB:AB),"")</f>
        <v/>
      </c>
      <c r="AA8" s="130" t="str">
        <f>IFERROR(AVERAGEIF($F$2:F8,F8,$Z$2:Z8),"")</f>
        <v/>
      </c>
      <c r="AB8" s="134"/>
      <c r="AC8" s="133"/>
      <c r="AD8" s="133"/>
      <c r="AE8" s="129">
        <v>0.995</v>
      </c>
      <c r="AF8" s="129">
        <v>0.98550000000000004</v>
      </c>
      <c r="AG8" s="129">
        <v>0.995</v>
      </c>
      <c r="AH8" s="135"/>
      <c r="AI8" s="135"/>
      <c r="AJ8" s="135"/>
      <c r="AK8" s="135"/>
      <c r="AL8" s="135"/>
      <c r="AM8" s="167"/>
      <c r="AN8" s="167"/>
      <c r="AO8" s="121">
        <v>10</v>
      </c>
    </row>
    <row r="9" spans="1:43">
      <c r="A9" s="121">
        <f t="shared" si="10"/>
        <v>8</v>
      </c>
      <c r="B9" s="122" t="s">
        <v>201</v>
      </c>
      <c r="C9" s="121">
        <v>11</v>
      </c>
      <c r="D9" s="123">
        <v>44866</v>
      </c>
      <c r="E9" s="124">
        <f t="shared" si="11"/>
        <v>2022</v>
      </c>
      <c r="F9" s="124" t="s">
        <v>194</v>
      </c>
      <c r="G9" s="125">
        <f t="shared" si="12"/>
        <v>30</v>
      </c>
      <c r="H9" s="130">
        <v>136.88678809699999</v>
      </c>
      <c r="I9" s="130">
        <v>168.81198910000003</v>
      </c>
      <c r="J9" s="127"/>
      <c r="K9" s="130">
        <v>17.558019999999999</v>
      </c>
      <c r="L9" s="125"/>
      <c r="M9" s="128">
        <v>1413.3310892156562</v>
      </c>
      <c r="N9" s="128">
        <v>11.72</v>
      </c>
      <c r="O9" s="129">
        <f t="shared" si="13"/>
        <v>0.71435323111666982</v>
      </c>
      <c r="P9" s="127">
        <f t="shared" si="14"/>
        <v>5.6270663033333346</v>
      </c>
      <c r="Q9" s="125">
        <f>COUNTIFS('Daily KPI'!$D:$D,D9,'Daily KPI'!$K:$K,"&gt;0")</f>
        <v>0</v>
      </c>
      <c r="R9" s="128">
        <f t="shared" si="15"/>
        <v>0</v>
      </c>
      <c r="S9" s="128">
        <f>SUMIF($F$6:F9,F9,$R$6:R9)</f>
        <v>0</v>
      </c>
      <c r="T9" s="127">
        <f t="shared" si="16"/>
        <v>47.111036307188542</v>
      </c>
      <c r="U9" s="128">
        <f t="shared" si="17"/>
        <v>0</v>
      </c>
      <c r="V9" s="128">
        <f>SUMIF($F$6:F9,F9,$U$6:U9)</f>
        <v>0</v>
      </c>
      <c r="W9" s="129">
        <f t="shared" si="18"/>
        <v>0.16748804147891261</v>
      </c>
      <c r="X9" s="129" t="str">
        <f t="shared" si="8"/>
        <v/>
      </c>
      <c r="Y9" s="129" t="str">
        <f t="shared" si="9"/>
        <v/>
      </c>
      <c r="Z9" s="127" t="str">
        <f>IFERROR(AVERAGEIF('Daily KPI'!D:D,Table14[[#This Row],[Month]],'Daily KPI'!AB:AB),"")</f>
        <v/>
      </c>
      <c r="AA9" s="130" t="str">
        <f>IFERROR(AVERAGEIF($F$2:F9,F9,$Z$2:Z9),"")</f>
        <v/>
      </c>
      <c r="AB9" s="128"/>
      <c r="AC9" s="127"/>
      <c r="AD9" s="127"/>
      <c r="AE9" s="129">
        <v>0.995</v>
      </c>
      <c r="AF9" s="129">
        <v>0.98550000000000004</v>
      </c>
      <c r="AG9" s="129">
        <v>0.995</v>
      </c>
      <c r="AH9" s="129"/>
      <c r="AI9" s="129"/>
      <c r="AJ9" s="129"/>
      <c r="AK9" s="129"/>
      <c r="AL9" s="129"/>
      <c r="AM9" s="167"/>
      <c r="AN9" s="167"/>
      <c r="AO9" s="121">
        <v>10</v>
      </c>
    </row>
    <row r="10" spans="1:43">
      <c r="A10" s="122">
        <f t="shared" si="10"/>
        <v>9</v>
      </c>
      <c r="B10" s="122" t="s">
        <v>202</v>
      </c>
      <c r="C10" s="121">
        <v>12</v>
      </c>
      <c r="D10" s="123">
        <v>44896</v>
      </c>
      <c r="E10" s="131">
        <f t="shared" si="11"/>
        <v>2022</v>
      </c>
      <c r="F10" s="124" t="s">
        <v>194</v>
      </c>
      <c r="G10" s="132">
        <f t="shared" si="12"/>
        <v>31</v>
      </c>
      <c r="H10" s="130">
        <v>132.742847993</v>
      </c>
      <c r="I10" s="130">
        <v>164.93463669999977</v>
      </c>
      <c r="J10" s="133"/>
      <c r="K10" s="126">
        <v>17.196370000000002</v>
      </c>
      <c r="L10" s="132"/>
      <c r="M10" s="134">
        <v>1388.0446543926287</v>
      </c>
      <c r="N10" s="134">
        <v>11.72</v>
      </c>
      <c r="O10" s="135">
        <f t="shared" si="13"/>
        <v>0.71806532939998968</v>
      </c>
      <c r="P10" s="133">
        <f t="shared" si="14"/>
        <v>5.3204721516128961</v>
      </c>
      <c r="Q10" s="132">
        <f>COUNTIFS('Daily KPI'!$D:$D,D10,'Daily KPI'!$K:$K,"&gt;0")</f>
        <v>0</v>
      </c>
      <c r="R10" s="134">
        <f t="shared" si="15"/>
        <v>0</v>
      </c>
      <c r="S10" s="134">
        <f>SUMIF($F$6:F10,F10,$R$6:R10)</f>
        <v>0</v>
      </c>
      <c r="T10" s="133">
        <f t="shared" si="16"/>
        <v>44.775634012665442</v>
      </c>
      <c r="U10" s="134">
        <f t="shared" si="17"/>
        <v>0</v>
      </c>
      <c r="V10" s="134">
        <f>SUMIF($F$6:F10,F10,$U$6:U10)</f>
        <v>0</v>
      </c>
      <c r="W10" s="135">
        <f t="shared" si="18"/>
        <v>0.15918527450464107</v>
      </c>
      <c r="X10" s="135" t="str">
        <f t="shared" si="8"/>
        <v/>
      </c>
      <c r="Y10" s="135" t="str">
        <f t="shared" si="9"/>
        <v/>
      </c>
      <c r="Z10" s="133" t="str">
        <f>IFERROR(AVERAGEIF('Daily KPI'!D:D,Table14[[#This Row],[Month]],'Daily KPI'!AB:AB),"")</f>
        <v/>
      </c>
      <c r="AA10" s="130" t="str">
        <f>IFERROR(AVERAGEIF($F$2:F10,F10,$Z$2:Z10),"")</f>
        <v/>
      </c>
      <c r="AB10" s="134"/>
      <c r="AC10" s="133"/>
      <c r="AD10" s="133"/>
      <c r="AE10" s="129">
        <v>0.995</v>
      </c>
      <c r="AF10" s="129">
        <v>0.98550000000000004</v>
      </c>
      <c r="AG10" s="129">
        <v>0.995</v>
      </c>
      <c r="AH10" s="135"/>
      <c r="AI10" s="135"/>
      <c r="AJ10" s="135"/>
      <c r="AK10" s="135"/>
      <c r="AL10" s="135"/>
      <c r="AM10" s="167"/>
      <c r="AN10" s="167"/>
      <c r="AO10" s="121">
        <v>10</v>
      </c>
    </row>
    <row r="11" spans="1:43">
      <c r="A11" s="121">
        <f t="shared" si="10"/>
        <v>10</v>
      </c>
      <c r="B11" s="122" t="s">
        <v>203</v>
      </c>
      <c r="C11" s="121">
        <v>1</v>
      </c>
      <c r="D11" s="123">
        <v>44927</v>
      </c>
      <c r="E11" s="124">
        <f t="shared" si="11"/>
        <v>2023</v>
      </c>
      <c r="F11" s="124" t="s">
        <v>194</v>
      </c>
      <c r="G11" s="125">
        <f t="shared" si="12"/>
        <v>31</v>
      </c>
      <c r="H11" s="130">
        <v>147.17861885299999</v>
      </c>
      <c r="I11" s="130">
        <v>186.54543479999998</v>
      </c>
      <c r="J11" s="127"/>
      <c r="K11" s="130">
        <v>17.42991</v>
      </c>
      <c r="L11" s="125"/>
      <c r="M11" s="128">
        <v>1560.5342633639962</v>
      </c>
      <c r="N11" s="128">
        <v>11.72</v>
      </c>
      <c r="O11" s="129">
        <f t="shared" si="13"/>
        <v>0.71377457079986417</v>
      </c>
      <c r="P11" s="127">
        <f t="shared" si="14"/>
        <v>6.0175946709677417</v>
      </c>
      <c r="Q11" s="125">
        <f>COUNTIFS('Daily KPI'!$D:$D,D11,'Daily KPI'!$K:$K,"&gt;0")</f>
        <v>0</v>
      </c>
      <c r="R11" s="128">
        <f t="shared" si="15"/>
        <v>0</v>
      </c>
      <c r="S11" s="128">
        <f>SUMIF($F$6:F11,F11,$R$6:R11)</f>
        <v>0</v>
      </c>
      <c r="T11" s="127">
        <f t="shared" si="16"/>
        <v>50.339814947225683</v>
      </c>
      <c r="U11" s="128">
        <f t="shared" si="17"/>
        <v>0</v>
      </c>
      <c r="V11" s="128">
        <f>SUMIF($F$6:F11,F11,$U$6:U11)</f>
        <v>0</v>
      </c>
      <c r="W11" s="129">
        <f t="shared" si="18"/>
        <v>0.17896691889656455</v>
      </c>
      <c r="X11" s="129" t="str">
        <f t="shared" si="8"/>
        <v/>
      </c>
      <c r="Y11" s="129" t="str">
        <f t="shared" si="9"/>
        <v/>
      </c>
      <c r="Z11" s="127" t="str">
        <f>IFERROR(AVERAGEIF('Daily KPI'!D:D,Table14[[#This Row],[Month]],'Daily KPI'!AB:AB),"")</f>
        <v/>
      </c>
      <c r="AA11" s="130" t="str">
        <f>IFERROR(AVERAGEIF($F$2:F11,F11,$Z$2:Z11),"")</f>
        <v/>
      </c>
      <c r="AB11" s="128"/>
      <c r="AC11" s="127"/>
      <c r="AD11" s="127"/>
      <c r="AE11" s="129">
        <v>0.995</v>
      </c>
      <c r="AF11" s="129">
        <v>0.98550000000000004</v>
      </c>
      <c r="AG11" s="129">
        <v>0.995</v>
      </c>
      <c r="AH11" s="129"/>
      <c r="AI11" s="129"/>
      <c r="AJ11" s="129"/>
      <c r="AK11" s="129"/>
      <c r="AL11" s="129"/>
      <c r="AM11" s="167"/>
      <c r="AN11" s="167"/>
      <c r="AO11" s="121">
        <v>10</v>
      </c>
    </row>
    <row r="12" spans="1:43">
      <c r="A12" s="122">
        <f t="shared" si="10"/>
        <v>11</v>
      </c>
      <c r="B12" s="122" t="s">
        <v>204</v>
      </c>
      <c r="C12" s="121">
        <v>2</v>
      </c>
      <c r="D12" s="123">
        <v>44958</v>
      </c>
      <c r="E12" s="131">
        <f t="shared" si="11"/>
        <v>2023</v>
      </c>
      <c r="F12" s="124" t="s">
        <v>194</v>
      </c>
      <c r="G12" s="132">
        <f t="shared" si="12"/>
        <v>28</v>
      </c>
      <c r="H12" s="130">
        <v>153.83568869499999</v>
      </c>
      <c r="I12" s="130">
        <v>193.23044800000002</v>
      </c>
      <c r="J12" s="133"/>
      <c r="K12" s="126">
        <v>17.77167</v>
      </c>
      <c r="L12" s="132"/>
      <c r="M12" s="134">
        <v>1599.3670025565029</v>
      </c>
      <c r="N12" s="134">
        <v>11.72</v>
      </c>
      <c r="O12" s="135">
        <f t="shared" si="13"/>
        <v>0.70622804388613647</v>
      </c>
      <c r="P12" s="133">
        <f t="shared" si="14"/>
        <v>6.9010874285714294</v>
      </c>
      <c r="Q12" s="132">
        <f>COUNTIFS('Daily KPI'!$D:$D,D12,'Daily KPI'!$K:$K,"&gt;0")</f>
        <v>0</v>
      </c>
      <c r="R12" s="134">
        <f t="shared" si="15"/>
        <v>0</v>
      </c>
      <c r="S12" s="134">
        <f>SUMIF($F$6:F12,F12,$R$6:R12)</f>
        <v>0</v>
      </c>
      <c r="T12" s="133">
        <f t="shared" si="16"/>
        <v>57.120250091303674</v>
      </c>
      <c r="U12" s="134">
        <f t="shared" si="17"/>
        <v>0</v>
      </c>
      <c r="V12" s="134">
        <f>SUMIF($F$6:F12,F12,$U$6:U12)</f>
        <v>0</v>
      </c>
      <c r="W12" s="135">
        <f t="shared" si="18"/>
        <v>0.20307256147363364</v>
      </c>
      <c r="X12" s="135" t="str">
        <f t="shared" si="8"/>
        <v/>
      </c>
      <c r="Y12" s="135" t="str">
        <f t="shared" si="9"/>
        <v/>
      </c>
      <c r="Z12" s="133" t="str">
        <f>IFERROR(AVERAGEIF('Daily KPI'!D:D,Table14[[#This Row],[Month]],'Daily KPI'!AB:AB),"")</f>
        <v/>
      </c>
      <c r="AA12" s="130" t="str">
        <f>IFERROR(AVERAGEIF($F$2:F12,F12,$Z$2:Z12),"")</f>
        <v/>
      </c>
      <c r="AB12" s="134"/>
      <c r="AC12" s="133"/>
      <c r="AD12" s="133"/>
      <c r="AE12" s="129">
        <v>0.995</v>
      </c>
      <c r="AF12" s="129">
        <v>0.98550000000000004</v>
      </c>
      <c r="AG12" s="129">
        <v>0.995</v>
      </c>
      <c r="AH12" s="135"/>
      <c r="AI12" s="135"/>
      <c r="AJ12" s="135"/>
      <c r="AK12" s="135"/>
      <c r="AL12" s="135"/>
      <c r="AM12" s="167"/>
      <c r="AN12" s="167"/>
      <c r="AO12" s="121">
        <v>10</v>
      </c>
    </row>
    <row r="13" spans="1:43">
      <c r="A13" s="121">
        <f t="shared" si="10"/>
        <v>12</v>
      </c>
      <c r="B13" s="122" t="s">
        <v>205</v>
      </c>
      <c r="C13" s="121">
        <v>3</v>
      </c>
      <c r="D13" s="123">
        <v>44986</v>
      </c>
      <c r="E13" s="124">
        <f t="shared" si="11"/>
        <v>2023</v>
      </c>
      <c r="F13" s="124" t="s">
        <v>194</v>
      </c>
      <c r="G13" s="125">
        <f t="shared" si="12"/>
        <v>31</v>
      </c>
      <c r="H13" s="130">
        <v>191.24087224799999</v>
      </c>
      <c r="I13" s="130">
        <v>239.21477689999998</v>
      </c>
      <c r="J13" s="127"/>
      <c r="K13" s="130">
        <v>22.15643</v>
      </c>
      <c r="L13" s="125"/>
      <c r="M13" s="128">
        <v>1945.2493074572037</v>
      </c>
      <c r="N13" s="128">
        <v>11.72</v>
      </c>
      <c r="O13" s="129">
        <f t="shared" si="13"/>
        <v>0.6938405123527952</v>
      </c>
      <c r="P13" s="127">
        <f t="shared" si="14"/>
        <v>7.7166057064516123</v>
      </c>
      <c r="Q13" s="125">
        <f>COUNTIFS('Daily KPI'!$D:$D,D13,'Daily KPI'!$K:$K,"&gt;0")</f>
        <v>0</v>
      </c>
      <c r="R13" s="128">
        <f t="shared" si="15"/>
        <v>0</v>
      </c>
      <c r="S13" s="128">
        <f>SUMIF($F$6:F13,F13,$R$6:R13)</f>
        <v>0</v>
      </c>
      <c r="T13" s="127">
        <f t="shared" si="16"/>
        <v>62.749977659909796</v>
      </c>
      <c r="U13" s="128">
        <f t="shared" si="17"/>
        <v>0</v>
      </c>
      <c r="V13" s="128">
        <f>SUMIF($F$6:F13,F13,$U$6:U13)</f>
        <v>0</v>
      </c>
      <c r="W13" s="129">
        <f t="shared" si="18"/>
        <v>0.22308723570787042</v>
      </c>
      <c r="X13" s="129" t="str">
        <f t="shared" si="8"/>
        <v/>
      </c>
      <c r="Y13" s="129" t="str">
        <f t="shared" si="9"/>
        <v/>
      </c>
      <c r="Z13" s="127" t="str">
        <f>IFERROR(AVERAGEIF('Daily KPI'!D:D,Table14[[#This Row],[Month]],'Daily KPI'!AB:AB),"")</f>
        <v/>
      </c>
      <c r="AA13" s="130" t="str">
        <f>IFERROR(AVERAGEIF($F$2:F13,F13,$Z$2:Z13),"")</f>
        <v/>
      </c>
      <c r="AB13" s="128"/>
      <c r="AC13" s="127"/>
      <c r="AD13" s="127"/>
      <c r="AE13" s="129">
        <v>0.995</v>
      </c>
      <c r="AF13" s="129">
        <v>0.98550000000000004</v>
      </c>
      <c r="AG13" s="129">
        <v>0.995</v>
      </c>
      <c r="AH13" s="129"/>
      <c r="AI13" s="129"/>
      <c r="AJ13" s="129"/>
      <c r="AK13" s="129"/>
      <c r="AL13" s="129"/>
      <c r="AM13" s="167"/>
      <c r="AN13" s="167"/>
      <c r="AO13" s="121">
        <v>10</v>
      </c>
    </row>
    <row r="14" spans="1:43">
      <c r="A14" s="122">
        <f t="shared" si="10"/>
        <v>13</v>
      </c>
      <c r="B14" s="122" t="str">
        <f>B2</f>
        <v>April</v>
      </c>
      <c r="C14" s="122">
        <f>C2</f>
        <v>4</v>
      </c>
      <c r="D14" s="123">
        <v>45017</v>
      </c>
      <c r="E14" s="131">
        <f>YEAR(D14)</f>
        <v>2023</v>
      </c>
      <c r="F14" s="124" t="s">
        <v>206</v>
      </c>
      <c r="G14" s="132">
        <f>DAY(EOMONTH(D14,0))</f>
        <v>30</v>
      </c>
      <c r="H14" s="130">
        <f>H2</f>
        <v>187.86834831199999</v>
      </c>
      <c r="I14" s="130">
        <f>I2</f>
        <v>228.56010069999994</v>
      </c>
      <c r="J14" s="133"/>
      <c r="K14" s="126">
        <f>K2</f>
        <v>23.057770000000001</v>
      </c>
      <c r="L14" s="132"/>
      <c r="M14" s="134">
        <v>1780</v>
      </c>
      <c r="N14" s="134">
        <v>11.72</v>
      </c>
      <c r="O14" s="135">
        <f t="shared" si="13"/>
        <v>0.66449538935560193</v>
      </c>
      <c r="P14" s="133">
        <f t="shared" si="14"/>
        <v>7.6186700233333315</v>
      </c>
      <c r="Q14" s="132">
        <f>COUNTIFS('Daily KPI'!$D:$D,D14,'Daily KPI'!$K:$K,"&gt;0")</f>
        <v>0</v>
      </c>
      <c r="R14" s="134">
        <f t="shared" si="15"/>
        <v>0</v>
      </c>
      <c r="S14" s="134">
        <f>SUMIF($F$6:F14,F14,$R$6:R14)</f>
        <v>0</v>
      </c>
      <c r="T14" s="133">
        <f t="shared" si="16"/>
        <v>59.333333333333336</v>
      </c>
      <c r="U14" s="134">
        <f t="shared" si="17"/>
        <v>0</v>
      </c>
      <c r="V14" s="134">
        <f>SUMIF($F$6:F14,F14,$U$6:U14)</f>
        <v>0</v>
      </c>
      <c r="W14" s="135">
        <f t="shared" si="18"/>
        <v>0.21094046264694727</v>
      </c>
      <c r="X14" s="135" t="str">
        <f t="shared" si="8"/>
        <v/>
      </c>
      <c r="Y14" s="135" t="str">
        <f t="shared" si="9"/>
        <v/>
      </c>
      <c r="Z14" s="133" t="str">
        <f>IFERROR(AVERAGEIF('Daily KPI'!D:D,Table14[[#This Row],[Month]],'Daily KPI'!AB:AB),"")</f>
        <v/>
      </c>
      <c r="AA14" s="130" t="str">
        <f>IFERROR(AVERAGEIF($F$2:F14,F14,$Z$2:Z14),"")</f>
        <v/>
      </c>
      <c r="AB14" s="134"/>
      <c r="AC14" s="133"/>
      <c r="AD14" s="133"/>
      <c r="AE14" s="129">
        <v>0.995</v>
      </c>
      <c r="AF14" s="129">
        <v>0.98550000000000004</v>
      </c>
      <c r="AG14" s="129">
        <v>0.995</v>
      </c>
      <c r="AH14" s="135"/>
      <c r="AI14" s="135"/>
      <c r="AJ14" s="135"/>
      <c r="AK14" s="135"/>
      <c r="AL14" s="135"/>
      <c r="AM14" s="167"/>
      <c r="AN14" s="167"/>
      <c r="AO14" s="121">
        <v>10</v>
      </c>
    </row>
    <row r="15" spans="1:43">
      <c r="A15" s="121">
        <f t="shared" si="10"/>
        <v>14</v>
      </c>
      <c r="B15" s="122" t="str">
        <f t="shared" ref="B15:C29" si="19">B3</f>
        <v>May</v>
      </c>
      <c r="C15" s="122">
        <f t="shared" si="19"/>
        <v>5</v>
      </c>
      <c r="D15" s="123">
        <v>45047</v>
      </c>
      <c r="E15" s="124">
        <f>YEAR(D15)</f>
        <v>2023</v>
      </c>
      <c r="F15" s="124" t="s">
        <v>206</v>
      </c>
      <c r="G15" s="125">
        <f>DAY(EOMONTH(D15,0))</f>
        <v>31</v>
      </c>
      <c r="H15" s="130">
        <f t="shared" ref="H15:I49" si="20">H3</f>
        <v>194.13106407199999</v>
      </c>
      <c r="I15" s="130">
        <f t="shared" si="20"/>
        <v>236.95476170000001</v>
      </c>
      <c r="J15" s="127"/>
      <c r="K15" s="126">
        <f t="shared" ref="K15:K49" si="21">K3</f>
        <v>24.803879999999999</v>
      </c>
      <c r="L15" s="125"/>
      <c r="M15" s="128">
        <v>1900</v>
      </c>
      <c r="N15" s="128">
        <v>11.72</v>
      </c>
      <c r="O15" s="129">
        <f t="shared" si="13"/>
        <v>0.68416452065597544</v>
      </c>
      <c r="P15" s="127">
        <f t="shared" si="14"/>
        <v>7.6437019903225805</v>
      </c>
      <c r="Q15" s="125">
        <f>COUNTIFS('Daily KPI'!$D:$D,D15,'Daily KPI'!$K:$K,"&gt;0")</f>
        <v>0</v>
      </c>
      <c r="R15" s="128">
        <f t="shared" si="15"/>
        <v>0</v>
      </c>
      <c r="S15" s="128">
        <f>SUMIF($F$6:F15,F15,$R$6:R15)</f>
        <v>0</v>
      </c>
      <c r="T15" s="127">
        <f t="shared" si="16"/>
        <v>61.29032258064516</v>
      </c>
      <c r="U15" s="128">
        <f t="shared" si="17"/>
        <v>0</v>
      </c>
      <c r="V15" s="128">
        <f>SUMIF($F$6:F15,F15,$U$6:U15)</f>
        <v>0</v>
      </c>
      <c r="W15" s="129">
        <f t="shared" si="18"/>
        <v>0.21789790451025723</v>
      </c>
      <c r="X15" s="129" t="str">
        <f t="shared" si="8"/>
        <v/>
      </c>
      <c r="Y15" s="129" t="str">
        <f t="shared" si="9"/>
        <v/>
      </c>
      <c r="Z15" s="127" t="str">
        <f>IFERROR(AVERAGEIF('Daily KPI'!D:D,Table14[[#This Row],[Month]],'Daily KPI'!AB:AB),"")</f>
        <v/>
      </c>
      <c r="AA15" s="130" t="str">
        <f>IFERROR(AVERAGEIF($F$2:F15,F15,$Z$2:Z15),"")</f>
        <v/>
      </c>
      <c r="AB15" s="128"/>
      <c r="AC15" s="127"/>
      <c r="AD15" s="127"/>
      <c r="AE15" s="129">
        <v>0.995</v>
      </c>
      <c r="AF15" s="129">
        <v>0.98550000000000004</v>
      </c>
      <c r="AG15" s="129">
        <v>0.995</v>
      </c>
      <c r="AH15" s="129"/>
      <c r="AI15" s="129"/>
      <c r="AJ15" s="129"/>
      <c r="AK15" s="129"/>
      <c r="AL15" s="129"/>
      <c r="AM15" s="167"/>
      <c r="AN15" s="167"/>
      <c r="AO15" s="121">
        <v>10</v>
      </c>
    </row>
    <row r="16" spans="1:43">
      <c r="A16" s="121">
        <f t="shared" si="10"/>
        <v>15</v>
      </c>
      <c r="B16" s="122" t="str">
        <f t="shared" si="19"/>
        <v>June</v>
      </c>
      <c r="C16" s="122">
        <f t="shared" si="19"/>
        <v>6</v>
      </c>
      <c r="D16" s="123">
        <v>45078</v>
      </c>
      <c r="E16" s="124">
        <f t="shared" ref="E16:E17" si="22">YEAR(D16)</f>
        <v>2023</v>
      </c>
      <c r="F16" s="124" t="s">
        <v>206</v>
      </c>
      <c r="G16" s="125">
        <f t="shared" ref="G16:G29" si="23">DAY(EOMONTH(D16,0))</f>
        <v>30</v>
      </c>
      <c r="H16" s="130">
        <f t="shared" si="20"/>
        <v>144.327462642</v>
      </c>
      <c r="I16" s="130">
        <f t="shared" si="20"/>
        <v>168.51814360000006</v>
      </c>
      <c r="J16" s="127"/>
      <c r="K16" s="126">
        <f t="shared" si="21"/>
        <v>20.91329</v>
      </c>
      <c r="L16" s="125"/>
      <c r="M16" s="128">
        <v>1330</v>
      </c>
      <c r="N16" s="128">
        <v>11.72</v>
      </c>
      <c r="O16" s="129">
        <f t="shared" si="13"/>
        <v>0.67340659138937919</v>
      </c>
      <c r="P16" s="127">
        <f t="shared" si="14"/>
        <v>5.617271453333335</v>
      </c>
      <c r="Q16" s="125">
        <f>COUNTIFS('Daily KPI'!$D:$D,D16,'Daily KPI'!$K:$K,"&gt;0")</f>
        <v>0</v>
      </c>
      <c r="R16" s="128">
        <f t="shared" si="15"/>
        <v>0</v>
      </c>
      <c r="S16" s="128">
        <f>SUMIF($F$6:F16,F16,$R$6:R16)</f>
        <v>0</v>
      </c>
      <c r="T16" s="127">
        <f t="shared" si="16"/>
        <v>44.333333333333336</v>
      </c>
      <c r="U16" s="128">
        <f t="shared" si="17"/>
        <v>0</v>
      </c>
      <c r="V16" s="136">
        <f>SUMIF($F$2:F49,F16,$U$2:U49)</f>
        <v>0</v>
      </c>
      <c r="W16" s="129">
        <f t="shared" si="18"/>
        <v>0.15761281759575274</v>
      </c>
      <c r="X16" s="129" t="str">
        <f t="shared" si="8"/>
        <v/>
      </c>
      <c r="Y16" s="129" t="str">
        <f t="shared" si="9"/>
        <v/>
      </c>
      <c r="Z16" s="127" t="str">
        <f>IFERROR(AVERAGEIF('Daily KPI'!D:D,Table14[[#This Row],[Month]],'Daily KPI'!AB:AB),"")</f>
        <v/>
      </c>
      <c r="AA16" s="130" t="str">
        <f>IFERROR(AVERAGEIF($F$2:F16,F16,$Z$2:Z16),"")</f>
        <v/>
      </c>
      <c r="AB16" s="128"/>
      <c r="AC16" s="127"/>
      <c r="AD16" s="127"/>
      <c r="AE16" s="129">
        <v>0.995</v>
      </c>
      <c r="AF16" s="129">
        <v>0.98550000000000004</v>
      </c>
      <c r="AG16" s="129">
        <v>0.995</v>
      </c>
      <c r="AH16" s="129"/>
      <c r="AI16" s="129"/>
      <c r="AJ16" s="129"/>
      <c r="AK16" s="129"/>
      <c r="AL16" s="129"/>
      <c r="AM16" s="167"/>
      <c r="AN16" s="167"/>
      <c r="AO16" s="121">
        <v>10</v>
      </c>
    </row>
    <row r="17" spans="1:41">
      <c r="A17" s="121">
        <f t="shared" si="10"/>
        <v>16</v>
      </c>
      <c r="B17" s="122" t="str">
        <f t="shared" si="19"/>
        <v>July</v>
      </c>
      <c r="C17" s="122">
        <f t="shared" si="19"/>
        <v>7</v>
      </c>
      <c r="D17" s="123">
        <v>45108</v>
      </c>
      <c r="E17" s="124">
        <f t="shared" si="22"/>
        <v>2023</v>
      </c>
      <c r="F17" s="124" t="s">
        <v>206</v>
      </c>
      <c r="G17" s="125">
        <f t="shared" si="23"/>
        <v>31</v>
      </c>
      <c r="H17" s="130">
        <f t="shared" si="20"/>
        <v>124.81072236599999</v>
      </c>
      <c r="I17" s="130">
        <f t="shared" si="20"/>
        <v>143.43493099999995</v>
      </c>
      <c r="J17" s="127"/>
      <c r="K17" s="126">
        <f t="shared" si="21"/>
        <v>20.391279999999998</v>
      </c>
      <c r="L17" s="125"/>
      <c r="M17" s="128">
        <v>1180</v>
      </c>
      <c r="N17" s="128">
        <v>11.72</v>
      </c>
      <c r="O17" s="129">
        <f t="shared" si="13"/>
        <v>0.70193915216269964</v>
      </c>
      <c r="P17" s="127">
        <f t="shared" si="14"/>
        <v>4.6269332580645148</v>
      </c>
      <c r="Q17" s="125">
        <f>COUNTIFS('Daily KPI'!$D:$D,D17,'Daily KPI'!$K:$K,"&gt;0")</f>
        <v>0</v>
      </c>
      <c r="R17" s="128">
        <f t="shared" si="15"/>
        <v>0</v>
      </c>
      <c r="S17" s="136">
        <f>SUMIF($F$2:F49,F17,$R$2:R49)</f>
        <v>0</v>
      </c>
      <c r="T17" s="127">
        <f t="shared" si="16"/>
        <v>38.064516129032256</v>
      </c>
      <c r="U17" s="128">
        <f t="shared" si="17"/>
        <v>0</v>
      </c>
      <c r="V17" s="136">
        <f>SUMIF($F$2:F49,F17,$U$2:U49)</f>
        <v>0</v>
      </c>
      <c r="W17" s="129">
        <f t="shared" si="18"/>
        <v>0.13532606701163344</v>
      </c>
      <c r="X17" s="129" t="str">
        <f t="shared" si="8"/>
        <v/>
      </c>
      <c r="Y17" s="129" t="str">
        <f t="shared" si="9"/>
        <v/>
      </c>
      <c r="Z17" s="127" t="str">
        <f>IFERROR(AVERAGEIF('Daily KPI'!D:D,Table14[[#This Row],[Month]],'Daily KPI'!AB:AB),"")</f>
        <v/>
      </c>
      <c r="AA17" s="130" t="str">
        <f>IFERROR(AVERAGEIF($F$2:F17,F17,$Z$2:Z17),"")</f>
        <v/>
      </c>
      <c r="AB17" s="128"/>
      <c r="AC17" s="127"/>
      <c r="AD17" s="137"/>
      <c r="AE17" s="129">
        <v>0.995</v>
      </c>
      <c r="AF17" s="129">
        <v>0.98550000000000004</v>
      </c>
      <c r="AG17" s="129">
        <v>0.995</v>
      </c>
      <c r="AH17" s="129"/>
      <c r="AI17" s="129"/>
      <c r="AJ17" s="129"/>
      <c r="AK17" s="129"/>
      <c r="AL17" s="129"/>
      <c r="AM17" s="167"/>
      <c r="AN17" s="167"/>
      <c r="AO17" s="121">
        <v>10</v>
      </c>
    </row>
    <row r="18" spans="1:41">
      <c r="A18" s="121">
        <f t="shared" si="10"/>
        <v>17</v>
      </c>
      <c r="B18" s="122" t="str">
        <f t="shared" si="19"/>
        <v>August</v>
      </c>
      <c r="C18" s="122">
        <f t="shared" si="19"/>
        <v>8</v>
      </c>
      <c r="D18" s="123">
        <v>45139</v>
      </c>
      <c r="E18" s="124">
        <v>2025</v>
      </c>
      <c r="F18" s="124" t="s">
        <v>206</v>
      </c>
      <c r="G18" s="125">
        <f t="shared" si="23"/>
        <v>31</v>
      </c>
      <c r="H18" s="130">
        <f t="shared" si="20"/>
        <v>129.03231213399999</v>
      </c>
      <c r="I18" s="130">
        <f t="shared" si="20"/>
        <v>147.91273230000004</v>
      </c>
      <c r="J18" s="127"/>
      <c r="K18" s="126">
        <f t="shared" si="21"/>
        <v>19.68656</v>
      </c>
      <c r="L18" s="125"/>
      <c r="M18" s="128">
        <v>1220</v>
      </c>
      <c r="N18" s="128">
        <v>11.72</v>
      </c>
      <c r="O18" s="129">
        <f t="shared" si="13"/>
        <v>0.70376337128843436</v>
      </c>
      <c r="P18" s="127">
        <f t="shared" si="14"/>
        <v>4.7713784612903236</v>
      </c>
      <c r="Q18" s="125">
        <f>COUNTIFS('Daily KPI'!$D:$D,D18,'Daily KPI'!$K:$K,"&gt;0")</f>
        <v>0</v>
      </c>
      <c r="R18" s="128">
        <f t="shared" si="15"/>
        <v>0</v>
      </c>
      <c r="S18" s="128">
        <f>SUMIF($F$6:F18,F18,$R$6:R18)</f>
        <v>0</v>
      </c>
      <c r="T18" s="127">
        <f t="shared" si="16"/>
        <v>39.354838709677416</v>
      </c>
      <c r="U18" s="128">
        <f t="shared" si="17"/>
        <v>0</v>
      </c>
      <c r="V18" s="136">
        <f>SUMIF($F$6:F18,F18,$U$6:U18)</f>
        <v>0</v>
      </c>
      <c r="W18" s="129">
        <f t="shared" si="18"/>
        <v>0.13991339131711253</v>
      </c>
      <c r="X18" s="129" t="str">
        <f t="shared" si="8"/>
        <v/>
      </c>
      <c r="Y18" s="129" t="str">
        <f t="shared" si="9"/>
        <v/>
      </c>
      <c r="Z18" s="127" t="str">
        <f>IFERROR(AVERAGEIF('Daily KPI'!D:D,Table14[[#This Row],[Month]],'Daily KPI'!AB:AB),"")</f>
        <v/>
      </c>
      <c r="AA18" s="130" t="str">
        <f>IFERROR(AVERAGEIF($F$2:F18,F18,$Z$2:Z18),"")</f>
        <v/>
      </c>
      <c r="AB18" s="128"/>
      <c r="AC18" s="127"/>
      <c r="AD18" s="127"/>
      <c r="AE18" s="129">
        <v>0.995</v>
      </c>
      <c r="AF18" s="129">
        <v>0.98550000000000004</v>
      </c>
      <c r="AG18" s="129">
        <v>0.995</v>
      </c>
      <c r="AH18" s="129"/>
      <c r="AI18" s="129"/>
      <c r="AJ18" s="129"/>
      <c r="AK18" s="129"/>
      <c r="AL18" s="129"/>
      <c r="AM18" s="167"/>
      <c r="AN18" s="167"/>
      <c r="AO18" s="121">
        <v>10</v>
      </c>
    </row>
    <row r="19" spans="1:41">
      <c r="A19" s="121">
        <f t="shared" si="10"/>
        <v>18</v>
      </c>
      <c r="B19" s="122" t="str">
        <f t="shared" si="19"/>
        <v>September</v>
      </c>
      <c r="C19" s="122">
        <f t="shared" si="19"/>
        <v>9</v>
      </c>
      <c r="D19" s="123">
        <v>45170</v>
      </c>
      <c r="E19" s="124">
        <v>2025</v>
      </c>
      <c r="F19" s="124" t="s">
        <v>206</v>
      </c>
      <c r="G19" s="125">
        <f t="shared" si="23"/>
        <v>30</v>
      </c>
      <c r="H19" s="130">
        <f t="shared" si="20"/>
        <v>138.860397627</v>
      </c>
      <c r="I19" s="130">
        <f t="shared" si="20"/>
        <v>165.14882880000005</v>
      </c>
      <c r="J19" s="127"/>
      <c r="K19" s="126">
        <f t="shared" si="21"/>
        <v>18.930330000000001</v>
      </c>
      <c r="L19" s="125"/>
      <c r="M19" s="128">
        <v>1320</v>
      </c>
      <c r="N19" s="128">
        <v>11.72</v>
      </c>
      <c r="O19" s="129">
        <f t="shared" si="13"/>
        <v>0.68197871681257016</v>
      </c>
      <c r="P19" s="127">
        <f t="shared" si="14"/>
        <v>5.5049609600000018</v>
      </c>
      <c r="Q19" s="125">
        <f>COUNTIFS('Daily KPI'!$D:$D,D19,'Daily KPI'!$K:$K,"&gt;0")</f>
        <v>0</v>
      </c>
      <c r="R19" s="128">
        <f t="shared" si="15"/>
        <v>0</v>
      </c>
      <c r="S19" s="136">
        <f>SUMIF($F$6:F19,F19,$R$6:R19)</f>
        <v>0</v>
      </c>
      <c r="T19" s="127">
        <f t="shared" si="16"/>
        <v>44</v>
      </c>
      <c r="U19" s="128">
        <f t="shared" si="17"/>
        <v>0</v>
      </c>
      <c r="V19" s="136">
        <f>SUMIF($F$6:F19,F19,$U$6:U19)</f>
        <v>0</v>
      </c>
      <c r="W19" s="129">
        <f t="shared" si="18"/>
        <v>0.15642775881683729</v>
      </c>
      <c r="X19" s="129" t="str">
        <f t="shared" si="8"/>
        <v/>
      </c>
      <c r="Y19" s="129" t="str">
        <f t="shared" si="9"/>
        <v/>
      </c>
      <c r="Z19" s="127" t="str">
        <f>IFERROR(AVERAGEIF('Daily KPI'!D:D,Table14[[#This Row],[Month]],'Daily KPI'!AB:AB),"")</f>
        <v/>
      </c>
      <c r="AA19" s="130" t="str">
        <f>IFERROR(AVERAGEIF($F$2:F19,F19,$Z$2:Z19),"")</f>
        <v/>
      </c>
      <c r="AB19" s="128"/>
      <c r="AC19" s="127"/>
      <c r="AD19" s="137"/>
      <c r="AE19" s="129">
        <v>0.995</v>
      </c>
      <c r="AF19" s="129">
        <v>0.98550000000000004</v>
      </c>
      <c r="AG19" s="129">
        <v>0.995</v>
      </c>
      <c r="AH19" s="129"/>
      <c r="AI19" s="129"/>
      <c r="AJ19" s="129"/>
      <c r="AK19" s="129"/>
      <c r="AL19" s="129"/>
      <c r="AM19" s="167"/>
      <c r="AN19" s="167"/>
      <c r="AO19" s="121">
        <v>10</v>
      </c>
    </row>
    <row r="20" spans="1:41">
      <c r="A20" s="121">
        <f t="shared" si="10"/>
        <v>19</v>
      </c>
      <c r="B20" s="122" t="str">
        <f t="shared" si="19"/>
        <v>October</v>
      </c>
      <c r="C20" s="122">
        <f t="shared" si="19"/>
        <v>10</v>
      </c>
      <c r="D20" s="123">
        <v>45200</v>
      </c>
      <c r="E20" s="124">
        <v>2025</v>
      </c>
      <c r="F20" s="124" t="s">
        <v>206</v>
      </c>
      <c r="G20" s="125">
        <f t="shared" si="23"/>
        <v>31</v>
      </c>
      <c r="H20" s="130">
        <f t="shared" si="20"/>
        <v>144.27891666400001</v>
      </c>
      <c r="I20" s="130">
        <f t="shared" si="20"/>
        <v>175.0139135</v>
      </c>
      <c r="J20" s="127"/>
      <c r="K20" s="126">
        <f t="shared" si="21"/>
        <v>19.660550000000001</v>
      </c>
      <c r="L20" s="125"/>
      <c r="M20" s="128">
        <v>1720</v>
      </c>
      <c r="N20" s="128">
        <v>11.72</v>
      </c>
      <c r="O20" s="129">
        <f t="shared" si="13"/>
        <v>0.83854864019646846</v>
      </c>
      <c r="P20" s="127">
        <f t="shared" si="14"/>
        <v>5.6456101129032259</v>
      </c>
      <c r="Q20" s="125">
        <f>COUNTIFS('Daily KPI'!$D:$D,D20,'Daily KPI'!$K:$K,"&gt;0")</f>
        <v>0</v>
      </c>
      <c r="R20" s="128">
        <f t="shared" si="15"/>
        <v>0</v>
      </c>
      <c r="S20" s="128">
        <f>SUMIF($F$6:F20,F20,$R$6:R20)</f>
        <v>0</v>
      </c>
      <c r="T20" s="127">
        <f t="shared" si="16"/>
        <v>55.483870967741936</v>
      </c>
      <c r="U20" s="128">
        <f t="shared" si="17"/>
        <v>0</v>
      </c>
      <c r="V20" s="136">
        <f>SUMIF($F$6:F20,F20,$U$6:U20)</f>
        <v>0</v>
      </c>
      <c r="W20" s="129">
        <f t="shared" si="18"/>
        <v>0.1972549451356013</v>
      </c>
      <c r="X20" s="129" t="str">
        <f t="shared" si="8"/>
        <v/>
      </c>
      <c r="Y20" s="129" t="str">
        <f t="shared" si="9"/>
        <v/>
      </c>
      <c r="Z20" s="127" t="str">
        <f>IFERROR(AVERAGEIF('Daily KPI'!D:D,Table14[[#This Row],[Month]],'Daily KPI'!AB:AB),"")</f>
        <v/>
      </c>
      <c r="AA20" s="130" t="str">
        <f>IFERROR(AVERAGEIF($F$2:F20,F20,$Z$2:Z20),"")</f>
        <v/>
      </c>
      <c r="AB20" s="128"/>
      <c r="AC20" s="127"/>
      <c r="AD20" s="127"/>
      <c r="AE20" s="129">
        <v>0.995</v>
      </c>
      <c r="AF20" s="129">
        <v>0.98550000000000004</v>
      </c>
      <c r="AG20" s="129">
        <v>0.995</v>
      </c>
      <c r="AH20" s="129"/>
      <c r="AI20" s="129"/>
      <c r="AJ20" s="129"/>
      <c r="AK20" s="129"/>
      <c r="AL20" s="129"/>
      <c r="AM20" s="167"/>
      <c r="AN20" s="167"/>
      <c r="AO20" s="121">
        <v>10</v>
      </c>
    </row>
    <row r="21" spans="1:41">
      <c r="A21" s="121">
        <f t="shared" si="10"/>
        <v>20</v>
      </c>
      <c r="B21" s="122" t="str">
        <f t="shared" si="19"/>
        <v>November</v>
      </c>
      <c r="C21" s="122">
        <f t="shared" si="19"/>
        <v>11</v>
      </c>
      <c r="D21" s="123">
        <v>45231</v>
      </c>
      <c r="E21" s="124">
        <v>2025</v>
      </c>
      <c r="F21" s="124" t="s">
        <v>206</v>
      </c>
      <c r="G21" s="125">
        <f t="shared" si="23"/>
        <v>30</v>
      </c>
      <c r="H21" s="130">
        <f t="shared" si="20"/>
        <v>136.88678809699999</v>
      </c>
      <c r="I21" s="130">
        <f t="shared" si="20"/>
        <v>168.81198910000003</v>
      </c>
      <c r="J21" s="127"/>
      <c r="K21" s="126">
        <f t="shared" si="21"/>
        <v>17.558019999999999</v>
      </c>
      <c r="L21" s="125"/>
      <c r="M21" s="128">
        <v>1630</v>
      </c>
      <c r="N21" s="128">
        <v>11.72</v>
      </c>
      <c r="O21" s="129">
        <f t="shared" si="13"/>
        <v>0.82386623743369725</v>
      </c>
      <c r="P21" s="127">
        <f t="shared" si="14"/>
        <v>5.6270663033333346</v>
      </c>
      <c r="Q21" s="125">
        <f>COUNTIFS('Daily KPI'!$D:$D,D21,'Daily KPI'!$K:$K,"&gt;0")</f>
        <v>0</v>
      </c>
      <c r="R21" s="128">
        <f t="shared" si="15"/>
        <v>0</v>
      </c>
      <c r="S21" s="136">
        <f>SUMIF($F$6:F21,F21,$R$6:R21)</f>
        <v>0</v>
      </c>
      <c r="T21" s="127">
        <f t="shared" si="16"/>
        <v>54.333333333333336</v>
      </c>
      <c r="U21" s="128">
        <f t="shared" si="17"/>
        <v>0</v>
      </c>
      <c r="V21" s="136">
        <f>SUMIF($F$6:F21,F21,$U$6:U21)</f>
        <v>0</v>
      </c>
      <c r="W21" s="129">
        <f t="shared" si="18"/>
        <v>0.19316458096321576</v>
      </c>
      <c r="X21" s="129" t="str">
        <f t="shared" si="8"/>
        <v/>
      </c>
      <c r="Y21" s="129" t="str">
        <f t="shared" si="9"/>
        <v/>
      </c>
      <c r="Z21" s="127" t="str">
        <f>IFERROR(AVERAGEIF('Daily KPI'!D:D,Table14[[#This Row],[Month]],'Daily KPI'!AB:AB),"")</f>
        <v/>
      </c>
      <c r="AA21" s="130" t="str">
        <f>IFERROR(AVERAGEIF($F$2:F21,F21,$Z$2:Z21),"")</f>
        <v/>
      </c>
      <c r="AB21" s="128"/>
      <c r="AC21" s="127"/>
      <c r="AD21" s="137"/>
      <c r="AE21" s="129">
        <v>0.995</v>
      </c>
      <c r="AF21" s="129">
        <v>0.98550000000000004</v>
      </c>
      <c r="AG21" s="129">
        <v>0.995</v>
      </c>
      <c r="AH21" s="129"/>
      <c r="AI21" s="129"/>
      <c r="AJ21" s="129"/>
      <c r="AK21" s="129"/>
      <c r="AL21" s="129"/>
      <c r="AM21" s="167"/>
      <c r="AN21" s="167"/>
      <c r="AO21" s="121">
        <v>10</v>
      </c>
    </row>
    <row r="22" spans="1:41">
      <c r="A22" s="121">
        <f t="shared" si="10"/>
        <v>21</v>
      </c>
      <c r="B22" s="122" t="str">
        <f t="shared" si="19"/>
        <v>December</v>
      </c>
      <c r="C22" s="122">
        <f t="shared" si="19"/>
        <v>12</v>
      </c>
      <c r="D22" s="123">
        <v>45261</v>
      </c>
      <c r="E22" s="124">
        <v>2025</v>
      </c>
      <c r="F22" s="124" t="s">
        <v>206</v>
      </c>
      <c r="G22" s="125">
        <f t="shared" si="23"/>
        <v>31</v>
      </c>
      <c r="H22" s="130">
        <f t="shared" si="20"/>
        <v>132.742847993</v>
      </c>
      <c r="I22" s="130">
        <f t="shared" si="20"/>
        <v>164.93463669999977</v>
      </c>
      <c r="J22" s="127"/>
      <c r="K22" s="126">
        <f t="shared" si="21"/>
        <v>17.196370000000002</v>
      </c>
      <c r="L22" s="125"/>
      <c r="M22" s="128">
        <v>1650</v>
      </c>
      <c r="N22" s="128">
        <v>11.72</v>
      </c>
      <c r="O22" s="129">
        <f t="shared" si="13"/>
        <v>0.85358045921687087</v>
      </c>
      <c r="P22" s="127">
        <f t="shared" si="14"/>
        <v>5.3204721516128961</v>
      </c>
      <c r="Q22" s="125">
        <f>COUNTIFS('Daily KPI'!$D:$D,D22,'Daily KPI'!$K:$K,"&gt;0")</f>
        <v>0</v>
      </c>
      <c r="R22" s="128">
        <f t="shared" si="15"/>
        <v>0</v>
      </c>
      <c r="S22" s="128">
        <f>SUMIF($F$6:F22,F22,$R$6:R22)</f>
        <v>0</v>
      </c>
      <c r="T22" s="127">
        <f t="shared" si="16"/>
        <v>53.225806451612904</v>
      </c>
      <c r="U22" s="128">
        <f t="shared" si="17"/>
        <v>0</v>
      </c>
      <c r="V22" s="136">
        <f>SUMIF($F$6:F22,F22,$U$6:U22)</f>
        <v>0</v>
      </c>
      <c r="W22" s="129">
        <f t="shared" si="18"/>
        <v>0.18922712760101287</v>
      </c>
      <c r="X22" s="129" t="str">
        <f t="shared" si="8"/>
        <v/>
      </c>
      <c r="Y22" s="129" t="str">
        <f t="shared" si="9"/>
        <v/>
      </c>
      <c r="Z22" s="127" t="str">
        <f>IFERROR(AVERAGEIF('Daily KPI'!D:D,Table14[[#This Row],[Month]],'Daily KPI'!AB:AB),"")</f>
        <v/>
      </c>
      <c r="AA22" s="130" t="str">
        <f>IFERROR(AVERAGEIF($F$2:F22,F22,$Z$2:Z22),"")</f>
        <v/>
      </c>
      <c r="AB22" s="128"/>
      <c r="AC22" s="127"/>
      <c r="AD22" s="127"/>
      <c r="AE22" s="129">
        <v>0.995</v>
      </c>
      <c r="AF22" s="129">
        <v>0.98550000000000004</v>
      </c>
      <c r="AG22" s="129">
        <v>0.995</v>
      </c>
      <c r="AH22" s="129"/>
      <c r="AI22" s="129"/>
      <c r="AJ22" s="129"/>
      <c r="AK22" s="129"/>
      <c r="AL22" s="129"/>
      <c r="AM22" s="167"/>
      <c r="AN22" s="167"/>
      <c r="AO22" s="121">
        <v>10</v>
      </c>
    </row>
    <row r="23" spans="1:41">
      <c r="A23" s="121">
        <f t="shared" si="10"/>
        <v>22</v>
      </c>
      <c r="B23" s="122" t="str">
        <f t="shared" si="19"/>
        <v>January</v>
      </c>
      <c r="C23" s="122">
        <f t="shared" si="19"/>
        <v>1</v>
      </c>
      <c r="D23" s="123">
        <v>45292</v>
      </c>
      <c r="E23" s="124">
        <v>2025</v>
      </c>
      <c r="F23" s="124" t="s">
        <v>206</v>
      </c>
      <c r="G23" s="125">
        <f t="shared" si="23"/>
        <v>31</v>
      </c>
      <c r="H23" s="130">
        <f t="shared" si="20"/>
        <v>147.17861885299999</v>
      </c>
      <c r="I23" s="130">
        <f t="shared" si="20"/>
        <v>186.54543479999998</v>
      </c>
      <c r="J23" s="127"/>
      <c r="K23" s="126">
        <f t="shared" si="21"/>
        <v>17.42991</v>
      </c>
      <c r="L23" s="125"/>
      <c r="M23" s="128">
        <v>1860</v>
      </c>
      <c r="N23" s="128">
        <v>11.72</v>
      </c>
      <c r="O23" s="129">
        <f t="shared" si="13"/>
        <v>0.85074755028180915</v>
      </c>
      <c r="P23" s="127">
        <f t="shared" si="14"/>
        <v>6.0175946709677417</v>
      </c>
      <c r="Q23" s="125">
        <f>COUNTIFS('Daily KPI'!$D:$D,D23,'Daily KPI'!$K:$K,"&gt;0")</f>
        <v>0</v>
      </c>
      <c r="R23" s="128">
        <f t="shared" si="15"/>
        <v>0</v>
      </c>
      <c r="S23" s="136">
        <f>SUMIF($F$6:F23,F23,$R$6:R23)</f>
        <v>0</v>
      </c>
      <c r="T23" s="127">
        <f t="shared" si="16"/>
        <v>60</v>
      </c>
      <c r="U23" s="128">
        <f t="shared" si="17"/>
        <v>0</v>
      </c>
      <c r="V23" s="136">
        <f>SUMIF($F$6:F23,F23,$U$6:U23)</f>
        <v>0</v>
      </c>
      <c r="W23" s="129">
        <f t="shared" si="18"/>
        <v>0.21331058020477814</v>
      </c>
      <c r="X23" s="129" t="str">
        <f t="shared" si="8"/>
        <v/>
      </c>
      <c r="Y23" s="129" t="str">
        <f t="shared" si="9"/>
        <v/>
      </c>
      <c r="Z23" s="127" t="str">
        <f>IFERROR(AVERAGEIF('Daily KPI'!D:D,Table14[[#This Row],[Month]],'Daily KPI'!AB:AB),"")</f>
        <v/>
      </c>
      <c r="AA23" s="130" t="str">
        <f>IFERROR(AVERAGEIF($F$2:F23,F23,$Z$2:Z23),"")</f>
        <v/>
      </c>
      <c r="AB23" s="128"/>
      <c r="AC23" s="127"/>
      <c r="AD23" s="137"/>
      <c r="AE23" s="129">
        <v>0.995</v>
      </c>
      <c r="AF23" s="129">
        <v>0.98550000000000004</v>
      </c>
      <c r="AG23" s="129">
        <v>0.995</v>
      </c>
      <c r="AH23" s="129"/>
      <c r="AI23" s="129"/>
      <c r="AJ23" s="129"/>
      <c r="AK23" s="129"/>
      <c r="AL23" s="129"/>
      <c r="AM23" s="167"/>
      <c r="AN23" s="167"/>
      <c r="AO23" s="121">
        <v>10</v>
      </c>
    </row>
    <row r="24" spans="1:41">
      <c r="A24" s="121">
        <f t="shared" si="10"/>
        <v>23</v>
      </c>
      <c r="B24" s="122" t="str">
        <f t="shared" si="19"/>
        <v>February</v>
      </c>
      <c r="C24" s="122">
        <f t="shared" si="19"/>
        <v>2</v>
      </c>
      <c r="D24" s="123">
        <v>45323</v>
      </c>
      <c r="E24" s="124">
        <v>2025</v>
      </c>
      <c r="F24" s="124" t="s">
        <v>206</v>
      </c>
      <c r="G24" s="125">
        <f t="shared" si="23"/>
        <v>29</v>
      </c>
      <c r="H24" s="130">
        <f t="shared" si="20"/>
        <v>153.83568869499999</v>
      </c>
      <c r="I24" s="130">
        <f t="shared" si="20"/>
        <v>193.23044800000002</v>
      </c>
      <c r="J24" s="127"/>
      <c r="K24" s="126">
        <f t="shared" si="21"/>
        <v>17.77167</v>
      </c>
      <c r="L24" s="125"/>
      <c r="M24" s="128">
        <v>1780</v>
      </c>
      <c r="N24" s="128">
        <v>11.72</v>
      </c>
      <c r="O24" s="129">
        <f t="shared" si="13"/>
        <v>0.78598965472461157</v>
      </c>
      <c r="P24" s="127">
        <f t="shared" si="14"/>
        <v>6.6631188965517252</v>
      </c>
      <c r="Q24" s="125">
        <f>COUNTIFS('Daily KPI'!$D:$D,D24,'Daily KPI'!$K:$K,"&gt;0")</f>
        <v>0</v>
      </c>
      <c r="R24" s="128">
        <f t="shared" si="15"/>
        <v>0</v>
      </c>
      <c r="S24" s="128">
        <f>SUMIF($F$6:F24,F24,$R$6:R24)</f>
        <v>0</v>
      </c>
      <c r="T24" s="127">
        <f t="shared" si="16"/>
        <v>61.379310344827587</v>
      </c>
      <c r="U24" s="128">
        <f t="shared" si="17"/>
        <v>0</v>
      </c>
      <c r="V24" s="136">
        <f>SUMIF($F$6:F24,F24,$U$6:U24)</f>
        <v>0</v>
      </c>
      <c r="W24" s="129">
        <f t="shared" si="18"/>
        <v>0.21821427170373855</v>
      </c>
      <c r="X24" s="129" t="str">
        <f t="shared" si="8"/>
        <v/>
      </c>
      <c r="Y24" s="129" t="str">
        <f t="shared" si="9"/>
        <v/>
      </c>
      <c r="Z24" s="127" t="str">
        <f>IFERROR(AVERAGEIF('Daily KPI'!D:D,Table14[[#This Row],[Month]],'Daily KPI'!AB:AB),"")</f>
        <v/>
      </c>
      <c r="AA24" s="130" t="str">
        <f>IFERROR(AVERAGEIF($F$2:F24,F24,$Z$2:Z24),"")</f>
        <v/>
      </c>
      <c r="AB24" s="128"/>
      <c r="AC24" s="127"/>
      <c r="AD24" s="127"/>
      <c r="AE24" s="129">
        <v>0.995</v>
      </c>
      <c r="AF24" s="129">
        <v>0.98550000000000004</v>
      </c>
      <c r="AG24" s="129">
        <v>0.995</v>
      </c>
      <c r="AH24" s="129"/>
      <c r="AI24" s="129"/>
      <c r="AJ24" s="129"/>
      <c r="AK24" s="129"/>
      <c r="AL24" s="129"/>
      <c r="AM24" s="167"/>
      <c r="AN24" s="167"/>
      <c r="AO24" s="121">
        <v>10</v>
      </c>
    </row>
    <row r="25" spans="1:41">
      <c r="A25" s="121">
        <f t="shared" si="10"/>
        <v>24</v>
      </c>
      <c r="B25" s="122" t="str">
        <f t="shared" si="19"/>
        <v>March</v>
      </c>
      <c r="C25" s="122">
        <f t="shared" si="19"/>
        <v>3</v>
      </c>
      <c r="D25" s="123">
        <v>45352</v>
      </c>
      <c r="E25" s="124">
        <v>2025</v>
      </c>
      <c r="F25" s="124" t="s">
        <v>206</v>
      </c>
      <c r="G25" s="125">
        <f t="shared" si="23"/>
        <v>31</v>
      </c>
      <c r="H25" s="130">
        <f t="shared" si="20"/>
        <v>191.24087224799999</v>
      </c>
      <c r="I25" s="130">
        <f t="shared" si="20"/>
        <v>239.21477689999998</v>
      </c>
      <c r="J25" s="127"/>
      <c r="K25" s="126">
        <f t="shared" si="21"/>
        <v>22.15643</v>
      </c>
      <c r="L25" s="125"/>
      <c r="M25" s="128">
        <v>2310</v>
      </c>
      <c r="N25" s="128">
        <v>11.72</v>
      </c>
      <c r="O25" s="129">
        <f t="shared" si="13"/>
        <v>0.82394147495164638</v>
      </c>
      <c r="P25" s="127">
        <f t="shared" si="14"/>
        <v>7.7166057064516123</v>
      </c>
      <c r="Q25" s="125">
        <f>COUNTIFS('Daily KPI'!$D:$D,D25,'Daily KPI'!$K:$K,"&gt;0")</f>
        <v>0</v>
      </c>
      <c r="R25" s="128">
        <f t="shared" si="15"/>
        <v>0</v>
      </c>
      <c r="S25" s="136">
        <f>SUMIF($F$6:F25,F25,$R$6:R25)</f>
        <v>0</v>
      </c>
      <c r="T25" s="127">
        <f t="shared" si="16"/>
        <v>74.516129032258064</v>
      </c>
      <c r="U25" s="128">
        <f t="shared" si="17"/>
        <v>0</v>
      </c>
      <c r="V25" s="136">
        <f>SUMIF($F$6:F25,F25,$U$6:U25)</f>
        <v>0</v>
      </c>
      <c r="W25" s="129">
        <f t="shared" si="18"/>
        <v>0.26491797864141803</v>
      </c>
      <c r="X25" s="129" t="str">
        <f t="shared" si="8"/>
        <v/>
      </c>
      <c r="Y25" s="129" t="str">
        <f t="shared" si="9"/>
        <v/>
      </c>
      <c r="Z25" s="127" t="str">
        <f>IFERROR(AVERAGEIF('Daily KPI'!D:D,Table14[[#This Row],[Month]],'Daily KPI'!AB:AB),"")</f>
        <v/>
      </c>
      <c r="AA25" s="130" t="str">
        <f>IFERROR(AVERAGEIF($F$2:F25,F25,$Z$2:Z25),"")</f>
        <v/>
      </c>
      <c r="AB25" s="128"/>
      <c r="AC25" s="127"/>
      <c r="AD25" s="137"/>
      <c r="AE25" s="129">
        <v>0.995</v>
      </c>
      <c r="AF25" s="129">
        <v>0.98550000000000004</v>
      </c>
      <c r="AG25" s="129">
        <v>0.995</v>
      </c>
      <c r="AH25" s="129"/>
      <c r="AI25" s="129"/>
      <c r="AJ25" s="129"/>
      <c r="AK25" s="129"/>
      <c r="AL25" s="129"/>
      <c r="AM25" s="167"/>
      <c r="AN25" s="167"/>
      <c r="AO25" s="121">
        <v>10</v>
      </c>
    </row>
    <row r="26" spans="1:41">
      <c r="A26" s="121">
        <f t="shared" si="10"/>
        <v>25</v>
      </c>
      <c r="B26" s="122" t="str">
        <f t="shared" si="19"/>
        <v>April</v>
      </c>
      <c r="C26" s="122">
        <f t="shared" si="19"/>
        <v>4</v>
      </c>
      <c r="D26" s="123">
        <v>45383</v>
      </c>
      <c r="E26" s="124">
        <v>2025</v>
      </c>
      <c r="F26" s="124" t="s">
        <v>207</v>
      </c>
      <c r="G26" s="125">
        <f t="shared" si="23"/>
        <v>30</v>
      </c>
      <c r="H26" s="130">
        <f t="shared" si="20"/>
        <v>187.86834831199999</v>
      </c>
      <c r="I26" s="130">
        <f t="shared" si="20"/>
        <v>228.56010069999994</v>
      </c>
      <c r="J26" s="127"/>
      <c r="K26" s="126">
        <f t="shared" si="21"/>
        <v>23.057770000000001</v>
      </c>
      <c r="L26" s="125"/>
      <c r="M26" s="128">
        <v>1769</v>
      </c>
      <c r="N26" s="128">
        <v>11.72</v>
      </c>
      <c r="O26" s="129">
        <f t="shared" si="13"/>
        <v>0.66038895717419088</v>
      </c>
      <c r="P26" s="127">
        <f t="shared" si="14"/>
        <v>7.6186700233333315</v>
      </c>
      <c r="Q26" s="125">
        <f>COUNTIFS('Daily KPI'!$D:$D,D26,'Daily KPI'!$K:$K,"&gt;0")</f>
        <v>0</v>
      </c>
      <c r="R26" s="128">
        <f t="shared" si="15"/>
        <v>0</v>
      </c>
      <c r="S26" s="128">
        <f>SUMIF($F$6:F26,F26,$R$6:R26)</f>
        <v>0</v>
      </c>
      <c r="T26" s="127">
        <f t="shared" si="16"/>
        <v>58.966666666666669</v>
      </c>
      <c r="U26" s="128">
        <f t="shared" si="17"/>
        <v>0</v>
      </c>
      <c r="V26" s="136">
        <f>SUMIF($F$6:F26,F26,$U$6:U26)</f>
        <v>0</v>
      </c>
      <c r="W26" s="129">
        <f t="shared" si="18"/>
        <v>0.20963689799014029</v>
      </c>
      <c r="X26" s="129" t="str">
        <f t="shared" si="8"/>
        <v/>
      </c>
      <c r="Y26" s="129" t="str">
        <f t="shared" si="9"/>
        <v/>
      </c>
      <c r="Z26" s="127" t="str">
        <f>IFERROR(AVERAGEIF('Daily KPI'!D:D,Table14[[#This Row],[Month]],'Daily KPI'!AB:AB),"")</f>
        <v/>
      </c>
      <c r="AA26" s="130" t="str">
        <f>IFERROR(AVERAGEIF($F$2:F26,F26,$Z$2:Z26),"")</f>
        <v/>
      </c>
      <c r="AB26" s="128"/>
      <c r="AC26" s="127"/>
      <c r="AD26" s="127"/>
      <c r="AE26" s="129">
        <v>0.995</v>
      </c>
      <c r="AF26" s="129">
        <v>0.98550000000000004</v>
      </c>
      <c r="AG26" s="129">
        <v>0.995</v>
      </c>
      <c r="AH26" s="129"/>
      <c r="AI26" s="129"/>
      <c r="AJ26" s="129"/>
      <c r="AK26" s="129"/>
      <c r="AL26" s="129"/>
      <c r="AM26" s="167"/>
      <c r="AN26" s="167"/>
      <c r="AO26" s="121">
        <v>10</v>
      </c>
    </row>
    <row r="27" spans="1:41">
      <c r="A27" s="121">
        <f t="shared" si="10"/>
        <v>26</v>
      </c>
      <c r="B27" s="122" t="str">
        <f t="shared" si="19"/>
        <v>May</v>
      </c>
      <c r="C27" s="122">
        <f t="shared" si="19"/>
        <v>5</v>
      </c>
      <c r="D27" s="123">
        <v>45413</v>
      </c>
      <c r="E27" s="124">
        <v>2026</v>
      </c>
      <c r="F27" s="124" t="s">
        <v>207</v>
      </c>
      <c r="G27" s="125">
        <f t="shared" si="23"/>
        <v>31</v>
      </c>
      <c r="H27" s="130">
        <f t="shared" si="20"/>
        <v>194.13106407199999</v>
      </c>
      <c r="I27" s="130">
        <f t="shared" si="20"/>
        <v>236.95476170000001</v>
      </c>
      <c r="J27" s="127"/>
      <c r="K27" s="126">
        <f t="shared" si="21"/>
        <v>24.803879999999999</v>
      </c>
      <c r="L27" s="125"/>
      <c r="M27" s="128">
        <v>1888</v>
      </c>
      <c r="N27" s="128">
        <v>11.72</v>
      </c>
      <c r="O27" s="129">
        <f t="shared" si="13"/>
        <v>0.67984348157814822</v>
      </c>
      <c r="P27" s="127">
        <f t="shared" si="14"/>
        <v>7.6437019903225805</v>
      </c>
      <c r="Q27" s="125">
        <f>COUNTIFS('Daily KPI'!$D:$D,D27,'Daily KPI'!$K:$K,"&gt;0")</f>
        <v>0</v>
      </c>
      <c r="R27" s="128">
        <f t="shared" si="15"/>
        <v>0</v>
      </c>
      <c r="S27" s="136">
        <f>SUMIF($F$6:F27,F27,$R$6:R27)</f>
        <v>0</v>
      </c>
      <c r="T27" s="127">
        <f t="shared" si="16"/>
        <v>60.903225806451616</v>
      </c>
      <c r="U27" s="128">
        <f t="shared" si="17"/>
        <v>0</v>
      </c>
      <c r="V27" s="136">
        <f>SUMIF($F$6:F27,F27,$U$6:U27)</f>
        <v>0</v>
      </c>
      <c r="W27" s="129">
        <f t="shared" si="18"/>
        <v>0.21652170721861352</v>
      </c>
      <c r="X27" s="129" t="str">
        <f t="shared" si="8"/>
        <v/>
      </c>
      <c r="Y27" s="129" t="str">
        <f t="shared" si="9"/>
        <v/>
      </c>
      <c r="Z27" s="127" t="str">
        <f>IFERROR(AVERAGEIF('Daily KPI'!D:D,Table14[[#This Row],[Month]],'Daily KPI'!AB:AB),"")</f>
        <v/>
      </c>
      <c r="AA27" s="130" t="str">
        <f>IFERROR(AVERAGEIF($F$2:F27,F27,$Z$2:Z27),"")</f>
        <v/>
      </c>
      <c r="AB27" s="128"/>
      <c r="AC27" s="127"/>
      <c r="AD27" s="137"/>
      <c r="AE27" s="129">
        <v>0.995</v>
      </c>
      <c r="AF27" s="129">
        <v>0.98550000000000004</v>
      </c>
      <c r="AG27" s="129">
        <v>0.995</v>
      </c>
      <c r="AH27" s="129"/>
      <c r="AI27" s="129"/>
      <c r="AJ27" s="129"/>
      <c r="AK27" s="129"/>
      <c r="AL27" s="129"/>
      <c r="AM27" s="167"/>
      <c r="AN27" s="167"/>
      <c r="AO27" s="121">
        <v>10</v>
      </c>
    </row>
    <row r="28" spans="1:41">
      <c r="A28" s="121">
        <f t="shared" si="10"/>
        <v>27</v>
      </c>
      <c r="B28" s="122" t="str">
        <f t="shared" si="19"/>
        <v>June</v>
      </c>
      <c r="C28" s="122">
        <f t="shared" si="19"/>
        <v>6</v>
      </c>
      <c r="D28" s="123">
        <v>45444</v>
      </c>
      <c r="E28" s="124">
        <v>2026</v>
      </c>
      <c r="F28" s="124" t="s">
        <v>207</v>
      </c>
      <c r="G28" s="125">
        <f t="shared" si="23"/>
        <v>30</v>
      </c>
      <c r="H28" s="130">
        <f t="shared" si="20"/>
        <v>144.327462642</v>
      </c>
      <c r="I28" s="130">
        <f t="shared" si="20"/>
        <v>168.51814360000006</v>
      </c>
      <c r="J28" s="127"/>
      <c r="K28" s="126">
        <f t="shared" si="21"/>
        <v>20.91329</v>
      </c>
      <c r="L28" s="125"/>
      <c r="M28" s="128">
        <v>1321.8</v>
      </c>
      <c r="N28" s="128">
        <v>11.72</v>
      </c>
      <c r="O28" s="129">
        <f t="shared" si="13"/>
        <v>0.66925476127705374</v>
      </c>
      <c r="P28" s="127">
        <f t="shared" si="14"/>
        <v>5.617271453333335</v>
      </c>
      <c r="Q28" s="125">
        <f>COUNTIFS('Daily KPI'!$D:$D,D28,'Daily KPI'!$K:$K,"&gt;0")</f>
        <v>0</v>
      </c>
      <c r="R28" s="128">
        <f t="shared" si="15"/>
        <v>0</v>
      </c>
      <c r="S28" s="128">
        <f>SUMIF($F$6:F28,F28,$R$6:R28)</f>
        <v>0</v>
      </c>
      <c r="T28" s="127">
        <f t="shared" si="16"/>
        <v>44.059999999999995</v>
      </c>
      <c r="U28" s="128">
        <f t="shared" si="17"/>
        <v>0</v>
      </c>
      <c r="V28" s="136">
        <f>SUMIF($F$6:F28,F28,$U$6:U28)</f>
        <v>0</v>
      </c>
      <c r="W28" s="129">
        <f t="shared" si="18"/>
        <v>0.15664106939704206</v>
      </c>
      <c r="X28" s="129" t="str">
        <f t="shared" si="8"/>
        <v/>
      </c>
      <c r="Y28" s="129" t="str">
        <f t="shared" si="9"/>
        <v/>
      </c>
      <c r="Z28" s="127" t="str">
        <f>IFERROR(AVERAGEIF('Daily KPI'!D:D,Table14[[#This Row],[Month]],'Daily KPI'!AB:AB),"")</f>
        <v/>
      </c>
      <c r="AA28" s="130" t="str">
        <f>IFERROR(AVERAGEIF($F$2:F28,F28,$Z$2:Z28),"")</f>
        <v/>
      </c>
      <c r="AB28" s="128"/>
      <c r="AC28" s="127"/>
      <c r="AD28" s="127"/>
      <c r="AE28" s="129">
        <v>0.995</v>
      </c>
      <c r="AF28" s="129">
        <v>0.98550000000000004</v>
      </c>
      <c r="AG28" s="129">
        <v>0.995</v>
      </c>
      <c r="AH28" s="129"/>
      <c r="AI28" s="129"/>
      <c r="AJ28" s="129"/>
      <c r="AK28" s="129"/>
      <c r="AL28" s="129"/>
      <c r="AM28" s="167"/>
      <c r="AN28" s="167"/>
      <c r="AO28" s="121">
        <v>10</v>
      </c>
    </row>
    <row r="29" spans="1:41">
      <c r="A29" s="121">
        <f t="shared" si="10"/>
        <v>28</v>
      </c>
      <c r="B29" s="122" t="str">
        <f t="shared" si="19"/>
        <v>July</v>
      </c>
      <c r="C29" s="122">
        <f t="shared" si="19"/>
        <v>7</v>
      </c>
      <c r="D29" s="123">
        <v>45474</v>
      </c>
      <c r="E29" s="124">
        <v>2026</v>
      </c>
      <c r="F29" s="124" t="s">
        <v>207</v>
      </c>
      <c r="G29" s="125">
        <f t="shared" si="23"/>
        <v>31</v>
      </c>
      <c r="H29" s="130">
        <f t="shared" si="20"/>
        <v>124.81072236599999</v>
      </c>
      <c r="I29" s="130">
        <f t="shared" si="20"/>
        <v>143.43493099999995</v>
      </c>
      <c r="J29" s="127"/>
      <c r="K29" s="126">
        <f t="shared" si="21"/>
        <v>20.391279999999998</v>
      </c>
      <c r="L29" s="125"/>
      <c r="M29" s="128">
        <v>1172.5999999999999</v>
      </c>
      <c r="N29" s="128">
        <v>11.72</v>
      </c>
      <c r="O29" s="129">
        <f t="shared" si="13"/>
        <v>0.69753716086947581</v>
      </c>
      <c r="P29" s="127">
        <f t="shared" si="14"/>
        <v>4.6269332580645148</v>
      </c>
      <c r="Q29" s="125">
        <f>COUNTIFS('Daily KPI'!$D:$D,D29,'Daily KPI'!$K:$K,"&gt;0")</f>
        <v>0</v>
      </c>
      <c r="R29" s="128">
        <f t="shared" si="15"/>
        <v>0</v>
      </c>
      <c r="S29" s="136">
        <f>SUMIF($F$2:F49,F29,$R$2:R49)</f>
        <v>23.149817119354836</v>
      </c>
      <c r="T29" s="127">
        <f t="shared" si="16"/>
        <v>37.825806451612898</v>
      </c>
      <c r="U29" s="128">
        <f t="shared" si="17"/>
        <v>0</v>
      </c>
      <c r="V29" s="136">
        <f>SUMIF($F$2:F49,F29,$U$2:U49)</f>
        <v>222.41612903225808</v>
      </c>
      <c r="W29" s="129">
        <f t="shared" si="18"/>
        <v>0.13447741201511978</v>
      </c>
      <c r="X29" s="129" t="str">
        <f t="shared" si="8"/>
        <v/>
      </c>
      <c r="Y29" s="129" t="str">
        <f t="shared" si="9"/>
        <v/>
      </c>
      <c r="Z29" s="127" t="str">
        <f>IFERROR(AVERAGEIF('Daily KPI'!D:D,Table14[[#This Row],[Month]],'Daily KPI'!AB:AB),"")</f>
        <v/>
      </c>
      <c r="AA29" s="130" t="str">
        <f>IFERROR(AVERAGEIF($F$2:F29,F29,$Z$2:Z29),"")</f>
        <v/>
      </c>
      <c r="AB29" s="128"/>
      <c r="AC29" s="127"/>
      <c r="AD29" s="137"/>
      <c r="AE29" s="129">
        <v>0.995</v>
      </c>
      <c r="AF29" s="129">
        <v>0.98550000000000004</v>
      </c>
      <c r="AG29" s="129">
        <v>0.995</v>
      </c>
      <c r="AH29" s="129"/>
      <c r="AI29" s="129"/>
      <c r="AJ29" s="129"/>
      <c r="AK29" s="129"/>
      <c r="AL29" s="129"/>
      <c r="AM29" s="167"/>
      <c r="AN29" s="167"/>
      <c r="AO29" s="121">
        <v>10</v>
      </c>
    </row>
    <row r="30" spans="1:41">
      <c r="A30" s="121">
        <f t="shared" si="10"/>
        <v>29</v>
      </c>
      <c r="B30" s="122" t="str">
        <f t="shared" ref="B30:C30" si="24">B18</f>
        <v>August</v>
      </c>
      <c r="C30" s="122">
        <f t="shared" si="24"/>
        <v>8</v>
      </c>
      <c r="D30" s="123">
        <v>45505</v>
      </c>
      <c r="E30" s="124">
        <f t="shared" ref="E30:E34" si="25">YEAR(D30)</f>
        <v>2024</v>
      </c>
      <c r="F30" s="124" t="s">
        <v>207</v>
      </c>
      <c r="G30" s="125">
        <f t="shared" ref="G30:G34" si="26">DAY(EOMONTH(D30,0))</f>
        <v>31</v>
      </c>
      <c r="H30" s="130">
        <f t="shared" si="20"/>
        <v>129.03231213399999</v>
      </c>
      <c r="I30" s="130">
        <f t="shared" si="20"/>
        <v>147.91273230000004</v>
      </c>
      <c r="J30" s="127"/>
      <c r="K30" s="126">
        <f t="shared" si="21"/>
        <v>19.68656</v>
      </c>
      <c r="L30" s="125"/>
      <c r="M30" s="128">
        <v>1212.3</v>
      </c>
      <c r="N30" s="128">
        <v>11.72</v>
      </c>
      <c r="O30" s="129">
        <f t="shared" ref="O30:O34" si="27">IFERROR(M30/I30/N30,"")</f>
        <v>0.69932158607620409</v>
      </c>
      <c r="P30" s="127">
        <f t="shared" ref="P30:P34" si="28">IFERROR(I30/G30,"")</f>
        <v>4.7713784612903236</v>
      </c>
      <c r="Q30" s="125">
        <f>COUNTIFS('Daily KPI'!$D:$D,D30,'Daily KPI'!$K:$K,"&gt;0")</f>
        <v>0</v>
      </c>
      <c r="R30" s="128">
        <f t="shared" ref="R30:R34" si="29">I30/G30*Q30</f>
        <v>0</v>
      </c>
      <c r="S30" s="136">
        <f>SUMIF($F$2:F30,F30,$R$2:R30)</f>
        <v>0</v>
      </c>
      <c r="T30" s="127">
        <f t="shared" ref="T30:T34" si="30">M30/G30</f>
        <v>39.106451612903221</v>
      </c>
      <c r="U30" s="128">
        <f t="shared" ref="U30:U34" si="31">M30/G30*Q30</f>
        <v>0</v>
      </c>
      <c r="V30" s="136">
        <f>SUMIF($F$2:F30,F30,$U$2:U30)</f>
        <v>0</v>
      </c>
      <c r="W30" s="129">
        <f t="shared" ref="W30:W34" si="32">IFERROR(T30/(24*N30),"")</f>
        <v>0.13903033138830781</v>
      </c>
      <c r="X30" s="129" t="str">
        <f t="shared" si="8"/>
        <v/>
      </c>
      <c r="Y30" s="129" t="str">
        <f t="shared" si="9"/>
        <v/>
      </c>
      <c r="Z30" s="127" t="str">
        <f>IFERROR(AVERAGEIF('Daily KPI'!D:D,Table14[[#This Row],[Month]],'Daily KPI'!AB:AB),"")</f>
        <v/>
      </c>
      <c r="AA30" s="130" t="str">
        <f>IFERROR(AVERAGEIF($F$2:F30,F30,$Z$2:Z30),"")</f>
        <v/>
      </c>
      <c r="AB30" s="128"/>
      <c r="AC30" s="127"/>
      <c r="AD30" s="137"/>
      <c r="AE30" s="129">
        <v>0.995</v>
      </c>
      <c r="AF30" s="129">
        <v>0.98550000000000004</v>
      </c>
      <c r="AG30" s="129">
        <v>0.995</v>
      </c>
      <c r="AH30" s="129"/>
      <c r="AI30" s="129"/>
      <c r="AJ30" s="129"/>
      <c r="AK30" s="129"/>
      <c r="AL30" s="129"/>
      <c r="AM30" s="167"/>
      <c r="AN30" s="167"/>
      <c r="AO30" s="121">
        <v>10</v>
      </c>
    </row>
    <row r="31" spans="1:41">
      <c r="A31" s="121">
        <f t="shared" si="10"/>
        <v>30</v>
      </c>
      <c r="B31" s="122" t="str">
        <f t="shared" ref="B31:C31" si="33">B19</f>
        <v>September</v>
      </c>
      <c r="C31" s="122">
        <f t="shared" si="33"/>
        <v>9</v>
      </c>
      <c r="D31" s="123">
        <v>45536</v>
      </c>
      <c r="E31" s="124">
        <f t="shared" si="25"/>
        <v>2024</v>
      </c>
      <c r="F31" s="124" t="s">
        <v>207</v>
      </c>
      <c r="G31" s="125">
        <f t="shared" si="26"/>
        <v>30</v>
      </c>
      <c r="H31" s="130">
        <f t="shared" si="20"/>
        <v>138.860397627</v>
      </c>
      <c r="I31" s="130">
        <f t="shared" si="20"/>
        <v>165.14882880000005</v>
      </c>
      <c r="J31" s="127"/>
      <c r="K31" s="126">
        <f t="shared" si="21"/>
        <v>18.930330000000001</v>
      </c>
      <c r="L31" s="125"/>
      <c r="M31" s="128">
        <v>1311.9</v>
      </c>
      <c r="N31" s="128">
        <v>11.72</v>
      </c>
      <c r="O31" s="129">
        <f t="shared" si="27"/>
        <v>0.67779384741394755</v>
      </c>
      <c r="P31" s="127">
        <f t="shared" si="28"/>
        <v>5.5049609600000018</v>
      </c>
      <c r="Q31" s="125">
        <f>COUNTIFS('Daily KPI'!$D:$D,D31,'Daily KPI'!$K:$K,"&gt;0")</f>
        <v>0</v>
      </c>
      <c r="R31" s="128">
        <f t="shared" si="29"/>
        <v>0</v>
      </c>
      <c r="S31" s="136">
        <f>SUMIF($F$2:F31,F31,$R$2:R31)</f>
        <v>0</v>
      </c>
      <c r="T31" s="127">
        <f t="shared" si="30"/>
        <v>43.730000000000004</v>
      </c>
      <c r="U31" s="128">
        <f t="shared" si="31"/>
        <v>0</v>
      </c>
      <c r="V31" s="136">
        <f>SUMIF($F$2:F31,F31,$U$2:U31)</f>
        <v>0</v>
      </c>
      <c r="W31" s="129">
        <f t="shared" si="32"/>
        <v>0.15546786120591582</v>
      </c>
      <c r="X31" s="129" t="str">
        <f t="shared" si="8"/>
        <v/>
      </c>
      <c r="Y31" s="129" t="str">
        <f t="shared" si="9"/>
        <v/>
      </c>
      <c r="Z31" s="127" t="str">
        <f>IFERROR(AVERAGEIF('Daily KPI'!D:D,Table14[[#This Row],[Month]],'Daily KPI'!AB:AB),"")</f>
        <v/>
      </c>
      <c r="AA31" s="130" t="str">
        <f>IFERROR(AVERAGEIF($F$2:F31,F31,$Z$2:Z31),"")</f>
        <v/>
      </c>
      <c r="AB31" s="128"/>
      <c r="AC31" s="127"/>
      <c r="AD31" s="137"/>
      <c r="AE31" s="129">
        <v>0.995</v>
      </c>
      <c r="AF31" s="129">
        <v>0.98550000000000004</v>
      </c>
      <c r="AG31" s="129">
        <v>0.995</v>
      </c>
      <c r="AH31" s="129"/>
      <c r="AI31" s="129"/>
      <c r="AJ31" s="129"/>
      <c r="AK31" s="129"/>
      <c r="AL31" s="129"/>
      <c r="AM31" s="167"/>
      <c r="AN31" s="167"/>
      <c r="AO31" s="121">
        <v>10</v>
      </c>
    </row>
    <row r="32" spans="1:41">
      <c r="A32" s="121">
        <f t="shared" si="10"/>
        <v>31</v>
      </c>
      <c r="B32" s="122" t="str">
        <f t="shared" ref="B32:C32" si="34">B20</f>
        <v>October</v>
      </c>
      <c r="C32" s="122">
        <f t="shared" si="34"/>
        <v>10</v>
      </c>
      <c r="D32" s="123">
        <v>45566</v>
      </c>
      <c r="E32" s="124">
        <f t="shared" si="25"/>
        <v>2024</v>
      </c>
      <c r="F32" s="124" t="s">
        <v>207</v>
      </c>
      <c r="G32" s="125">
        <f t="shared" si="26"/>
        <v>31</v>
      </c>
      <c r="H32" s="130">
        <f t="shared" si="20"/>
        <v>144.27891666400001</v>
      </c>
      <c r="I32" s="130">
        <f t="shared" si="20"/>
        <v>175.0139135</v>
      </c>
      <c r="J32" s="127"/>
      <c r="K32" s="126">
        <f t="shared" si="21"/>
        <v>19.660550000000001</v>
      </c>
      <c r="L32" s="125"/>
      <c r="M32" s="128">
        <v>1712</v>
      </c>
      <c r="N32" s="128">
        <v>11.72</v>
      </c>
      <c r="O32" s="129">
        <f t="shared" si="27"/>
        <v>0.8346484139629966</v>
      </c>
      <c r="P32" s="127">
        <f t="shared" si="28"/>
        <v>5.6456101129032259</v>
      </c>
      <c r="Q32" s="125">
        <f>COUNTIFS('Daily KPI'!$D:$D,D32,'Daily KPI'!$K:$K,"&gt;0")</f>
        <v>0</v>
      </c>
      <c r="R32" s="128">
        <f t="shared" si="29"/>
        <v>0</v>
      </c>
      <c r="S32" s="136">
        <f>SUMIF($F$2:F32,F32,$R$2:R32)</f>
        <v>0</v>
      </c>
      <c r="T32" s="127">
        <f t="shared" si="30"/>
        <v>55.225806451612904</v>
      </c>
      <c r="U32" s="128">
        <f t="shared" si="31"/>
        <v>0</v>
      </c>
      <c r="V32" s="136">
        <f>SUMIF($F$2:F32,F32,$U$2:U32)</f>
        <v>0</v>
      </c>
      <c r="W32" s="129">
        <f t="shared" si="32"/>
        <v>0.19633748027450545</v>
      </c>
      <c r="X32" s="129" t="str">
        <f t="shared" si="8"/>
        <v/>
      </c>
      <c r="Y32" s="129" t="str">
        <f t="shared" si="9"/>
        <v/>
      </c>
      <c r="Z32" s="127" t="str">
        <f>IFERROR(AVERAGEIF('Daily KPI'!D:D,Table14[[#This Row],[Month]],'Daily KPI'!AB:AB),"")</f>
        <v/>
      </c>
      <c r="AA32" s="130" t="str">
        <f>IFERROR(AVERAGEIF($F$2:F32,F32,$Z$2:Z32),"")</f>
        <v/>
      </c>
      <c r="AB32" s="128"/>
      <c r="AC32" s="127"/>
      <c r="AD32" s="137"/>
      <c r="AE32" s="129">
        <v>0.995</v>
      </c>
      <c r="AF32" s="129">
        <v>0.98550000000000004</v>
      </c>
      <c r="AG32" s="129">
        <v>0.995</v>
      </c>
      <c r="AH32" s="129"/>
      <c r="AI32" s="129"/>
      <c r="AJ32" s="129"/>
      <c r="AK32" s="129"/>
      <c r="AL32" s="129"/>
      <c r="AM32" s="167"/>
      <c r="AN32" s="167"/>
      <c r="AO32" s="121">
        <v>10</v>
      </c>
    </row>
    <row r="33" spans="1:41">
      <c r="A33" s="121">
        <f t="shared" si="10"/>
        <v>32</v>
      </c>
      <c r="B33" s="122" t="str">
        <f t="shared" ref="B33:C33" si="35">B21</f>
        <v>November</v>
      </c>
      <c r="C33" s="122">
        <f t="shared" si="35"/>
        <v>11</v>
      </c>
      <c r="D33" s="123">
        <v>45597</v>
      </c>
      <c r="E33" s="124">
        <f t="shared" si="25"/>
        <v>2024</v>
      </c>
      <c r="F33" s="124" t="s">
        <v>207</v>
      </c>
      <c r="G33" s="125">
        <f t="shared" si="26"/>
        <v>30</v>
      </c>
      <c r="H33" s="130">
        <f t="shared" si="20"/>
        <v>136.88678809699999</v>
      </c>
      <c r="I33" s="130">
        <f t="shared" si="20"/>
        <v>168.81198910000003</v>
      </c>
      <c r="J33" s="127"/>
      <c r="K33" s="126">
        <f t="shared" si="21"/>
        <v>17.558019999999999</v>
      </c>
      <c r="L33" s="125"/>
      <c r="M33" s="128">
        <v>1618.4</v>
      </c>
      <c r="N33" s="128">
        <v>11.72</v>
      </c>
      <c r="O33" s="129">
        <f t="shared" si="27"/>
        <v>0.81800314028386256</v>
      </c>
      <c r="P33" s="127">
        <f t="shared" si="28"/>
        <v>5.6270663033333346</v>
      </c>
      <c r="Q33" s="125">
        <f>COUNTIFS('Daily KPI'!$D:$D,D33,'Daily KPI'!$K:$K,"&gt;0")</f>
        <v>0</v>
      </c>
      <c r="R33" s="128">
        <f t="shared" si="29"/>
        <v>0</v>
      </c>
      <c r="S33" s="136">
        <f>SUMIF($F$2:F33,F33,$R$2:R33)</f>
        <v>0</v>
      </c>
      <c r="T33" s="127">
        <f t="shared" si="30"/>
        <v>53.946666666666673</v>
      </c>
      <c r="U33" s="128">
        <f t="shared" si="31"/>
        <v>0</v>
      </c>
      <c r="V33" s="136">
        <f>SUMIF($F$2:F33,F33,$U$2:U33)</f>
        <v>0</v>
      </c>
      <c r="W33" s="129">
        <f t="shared" si="32"/>
        <v>0.19178991277967386</v>
      </c>
      <c r="X33" s="129" t="str">
        <f t="shared" si="8"/>
        <v/>
      </c>
      <c r="Y33" s="129" t="str">
        <f t="shared" si="9"/>
        <v/>
      </c>
      <c r="Z33" s="127" t="str">
        <f>IFERROR(AVERAGEIF('Daily KPI'!D:D,Table14[[#This Row],[Month]],'Daily KPI'!AB:AB),"")</f>
        <v/>
      </c>
      <c r="AA33" s="130" t="str">
        <f>IFERROR(AVERAGEIF($F$2:F33,F33,$Z$2:Z33),"")</f>
        <v/>
      </c>
      <c r="AB33" s="128"/>
      <c r="AC33" s="127"/>
      <c r="AD33" s="137"/>
      <c r="AE33" s="129">
        <v>0.995</v>
      </c>
      <c r="AF33" s="129">
        <v>0.98550000000000004</v>
      </c>
      <c r="AG33" s="129">
        <v>0.995</v>
      </c>
      <c r="AH33" s="129"/>
      <c r="AI33" s="129"/>
      <c r="AJ33" s="129"/>
      <c r="AK33" s="129"/>
      <c r="AL33" s="129"/>
      <c r="AM33" s="167"/>
      <c r="AN33" s="167"/>
      <c r="AO33" s="121">
        <v>10</v>
      </c>
    </row>
    <row r="34" spans="1:41">
      <c r="A34" s="121">
        <f t="shared" si="10"/>
        <v>33</v>
      </c>
      <c r="B34" s="122" t="str">
        <f t="shared" ref="B34:C34" si="36">B22</f>
        <v>December</v>
      </c>
      <c r="C34" s="122">
        <f t="shared" si="36"/>
        <v>12</v>
      </c>
      <c r="D34" s="123">
        <v>45627</v>
      </c>
      <c r="E34" s="124">
        <f t="shared" si="25"/>
        <v>2024</v>
      </c>
      <c r="F34" s="124" t="s">
        <v>207</v>
      </c>
      <c r="G34" s="125">
        <f t="shared" si="26"/>
        <v>31</v>
      </c>
      <c r="H34" s="130">
        <f t="shared" si="20"/>
        <v>132.742847993</v>
      </c>
      <c r="I34" s="130">
        <f t="shared" si="20"/>
        <v>164.93463669999977</v>
      </c>
      <c r="J34" s="127"/>
      <c r="K34" s="126">
        <f t="shared" si="21"/>
        <v>17.196370000000002</v>
      </c>
      <c r="L34" s="125"/>
      <c r="M34" s="128">
        <v>1641.6</v>
      </c>
      <c r="N34" s="128">
        <v>11.72</v>
      </c>
      <c r="O34" s="129">
        <f t="shared" si="27"/>
        <v>0.84923495869722132</v>
      </c>
      <c r="P34" s="127">
        <f t="shared" si="28"/>
        <v>5.3204721516128961</v>
      </c>
      <c r="Q34" s="125">
        <f>COUNTIFS('Daily KPI'!$D:$D,D34,'Daily KPI'!$K:$K,"&gt;0")</f>
        <v>0</v>
      </c>
      <c r="R34" s="128">
        <f t="shared" si="29"/>
        <v>0</v>
      </c>
      <c r="S34" s="136">
        <f>SUMIF($F$2:F49,F34,$R$2:R49)</f>
        <v>23.149817119354836</v>
      </c>
      <c r="T34" s="127">
        <f t="shared" si="30"/>
        <v>52.954838709677418</v>
      </c>
      <c r="U34" s="128">
        <f t="shared" si="31"/>
        <v>0</v>
      </c>
      <c r="V34" s="136">
        <f>SUMIF($F$2:F49,F34,$U$2:U49)</f>
        <v>222.41612903225808</v>
      </c>
      <c r="W34" s="129">
        <f t="shared" si="32"/>
        <v>0.18826378949686223</v>
      </c>
      <c r="X34" s="129" t="str">
        <f t="shared" si="8"/>
        <v/>
      </c>
      <c r="Y34" s="129" t="str">
        <f t="shared" si="9"/>
        <v/>
      </c>
      <c r="Z34" s="127" t="str">
        <f>IFERROR(AVERAGEIF('Daily KPI'!D:D,Table14[[#This Row],[Month]],'Daily KPI'!AB:AB),"")</f>
        <v/>
      </c>
      <c r="AA34" s="130" t="str">
        <f>IFERROR(AVERAGEIF($F$2:F34,F34,$Z$2:Z34),"")</f>
        <v/>
      </c>
      <c r="AB34" s="128"/>
      <c r="AC34" s="127"/>
      <c r="AD34" s="137"/>
      <c r="AE34" s="129">
        <v>0.995</v>
      </c>
      <c r="AF34" s="129">
        <v>0.98550000000000004</v>
      </c>
      <c r="AG34" s="129">
        <v>0.995</v>
      </c>
      <c r="AH34" s="129"/>
      <c r="AI34" s="129"/>
      <c r="AJ34" s="129"/>
      <c r="AK34" s="129"/>
      <c r="AL34" s="129"/>
      <c r="AM34" s="167"/>
      <c r="AN34" s="167"/>
      <c r="AO34" s="121">
        <v>10</v>
      </c>
    </row>
    <row r="35" spans="1:41">
      <c r="A35" s="121">
        <f t="shared" si="10"/>
        <v>34</v>
      </c>
      <c r="B35" s="122" t="str">
        <f t="shared" ref="B35:C35" si="37">B23</f>
        <v>January</v>
      </c>
      <c r="C35" s="122">
        <f t="shared" si="37"/>
        <v>1</v>
      </c>
      <c r="D35" s="123">
        <v>45658</v>
      </c>
      <c r="E35" s="124">
        <f t="shared" ref="E35:E43" si="38">YEAR(D35)</f>
        <v>2025</v>
      </c>
      <c r="F35" s="124" t="s">
        <v>207</v>
      </c>
      <c r="G35" s="125">
        <f t="shared" ref="G35:G43" si="39">DAY(EOMONTH(D35,0))</f>
        <v>31</v>
      </c>
      <c r="H35" s="130">
        <f t="shared" si="20"/>
        <v>147.17861885299999</v>
      </c>
      <c r="I35" s="130">
        <f t="shared" si="20"/>
        <v>186.54543479999998</v>
      </c>
      <c r="J35" s="127"/>
      <c r="K35" s="126">
        <f t="shared" si="21"/>
        <v>17.42991</v>
      </c>
      <c r="L35" s="125"/>
      <c r="M35" s="128">
        <v>1841</v>
      </c>
      <c r="N35" s="128">
        <v>11.72</v>
      </c>
      <c r="O35" s="129">
        <f t="shared" ref="O35:O43" si="40">IFERROR(M35/I35/N35,"")</f>
        <v>0.84205711831656493</v>
      </c>
      <c r="P35" s="127">
        <f t="shared" ref="P35:P43" si="41">IFERROR(I35/G35,"")</f>
        <v>6.0175946709677417</v>
      </c>
      <c r="Q35" s="125">
        <f>COUNTIFS('Daily KPI'!$D:$D,D35,'Daily KPI'!$K:$K,"&gt;0")</f>
        <v>0</v>
      </c>
      <c r="R35" s="128">
        <f t="shared" ref="R35:R43" si="42">I35/G35*Q35</f>
        <v>0</v>
      </c>
      <c r="S35" s="136">
        <f>SUMIF($F$2:F35,F35,$R$2:R35)</f>
        <v>0</v>
      </c>
      <c r="T35" s="127">
        <f t="shared" ref="T35:T43" si="43">M35/G35</f>
        <v>59.387096774193552</v>
      </c>
      <c r="U35" s="128">
        <f t="shared" ref="U35:U43" si="44">M35/G35*Q35</f>
        <v>0</v>
      </c>
      <c r="V35" s="136">
        <f>SUMIF($F$2:F35,F35,$U$2:U35)</f>
        <v>0</v>
      </c>
      <c r="W35" s="129">
        <f t="shared" ref="W35:W43" si="45">IFERROR(T35/(24*N35),"")</f>
        <v>0.21113160115967558</v>
      </c>
      <c r="X35" s="129" t="str">
        <f t="shared" si="8"/>
        <v/>
      </c>
      <c r="Y35" s="129" t="str">
        <f t="shared" si="9"/>
        <v/>
      </c>
      <c r="Z35" s="127" t="str">
        <f>IFERROR(AVERAGEIF('Daily KPI'!D:D,Table14[[#This Row],[Month]],'Daily KPI'!AB:AB),"")</f>
        <v/>
      </c>
      <c r="AA35" s="130" t="str">
        <f>IFERROR(AVERAGEIF($F$2:F35,F35,$Z$2:Z35),"")</f>
        <v/>
      </c>
      <c r="AB35" s="128"/>
      <c r="AC35" s="127"/>
      <c r="AD35" s="137"/>
      <c r="AE35" s="129">
        <v>0.995</v>
      </c>
      <c r="AF35" s="129">
        <v>0.98550000000000004</v>
      </c>
      <c r="AG35" s="129">
        <v>0.995</v>
      </c>
      <c r="AH35" s="129"/>
      <c r="AI35" s="129"/>
      <c r="AJ35" s="129"/>
      <c r="AK35" s="129"/>
      <c r="AL35" s="129"/>
      <c r="AM35" s="167"/>
      <c r="AN35" s="167"/>
      <c r="AO35" s="121">
        <v>10</v>
      </c>
    </row>
    <row r="36" spans="1:41">
      <c r="A36" s="121">
        <f t="shared" si="10"/>
        <v>35</v>
      </c>
      <c r="B36" s="122" t="str">
        <f t="shared" ref="B36:C36" si="46">B24</f>
        <v>February</v>
      </c>
      <c r="C36" s="122">
        <f t="shared" si="46"/>
        <v>2</v>
      </c>
      <c r="D36" s="123">
        <v>45689</v>
      </c>
      <c r="E36" s="124">
        <f t="shared" si="38"/>
        <v>2025</v>
      </c>
      <c r="F36" s="124" t="s">
        <v>207</v>
      </c>
      <c r="G36" s="125">
        <f t="shared" si="39"/>
        <v>28</v>
      </c>
      <c r="H36" s="130">
        <f t="shared" si="20"/>
        <v>153.83568869499999</v>
      </c>
      <c r="I36" s="130">
        <f t="shared" si="20"/>
        <v>193.23044800000002</v>
      </c>
      <c r="J36" s="127"/>
      <c r="K36" s="126">
        <f t="shared" si="21"/>
        <v>17.77167</v>
      </c>
      <c r="L36" s="125"/>
      <c r="M36" s="128">
        <v>1760</v>
      </c>
      <c r="N36" s="128">
        <v>11.72</v>
      </c>
      <c r="O36" s="129">
        <f t="shared" si="40"/>
        <v>0.77715831028950355</v>
      </c>
      <c r="P36" s="127">
        <f t="shared" si="41"/>
        <v>6.9010874285714294</v>
      </c>
      <c r="Q36" s="125">
        <f>COUNTIFS('Daily KPI'!$D:$D,D36,'Daily KPI'!$K:$K,"&gt;0")</f>
        <v>0</v>
      </c>
      <c r="R36" s="128">
        <f t="shared" si="42"/>
        <v>0</v>
      </c>
      <c r="S36" s="136">
        <f>SUMIF($F$2:F36,F36,$R$2:R36)</f>
        <v>0</v>
      </c>
      <c r="T36" s="127">
        <f t="shared" si="43"/>
        <v>62.857142857142854</v>
      </c>
      <c r="U36" s="128">
        <f t="shared" si="44"/>
        <v>0</v>
      </c>
      <c r="V36" s="136">
        <f>SUMIF($F$2:F36,F36,$U$2:U36)</f>
        <v>0</v>
      </c>
      <c r="W36" s="129">
        <f t="shared" si="45"/>
        <v>0.22346822688119614</v>
      </c>
      <c r="X36" s="129" t="str">
        <f t="shared" si="8"/>
        <v/>
      </c>
      <c r="Y36" s="129" t="str">
        <f t="shared" si="9"/>
        <v/>
      </c>
      <c r="Z36" s="127" t="str">
        <f>IFERROR(AVERAGEIF('Daily KPI'!D:D,Table14[[#This Row],[Month]],'Daily KPI'!AB:AB),"")</f>
        <v/>
      </c>
      <c r="AA36" s="130" t="str">
        <f>IFERROR(AVERAGEIF($F$2:F36,F36,$Z$2:Z36),"")</f>
        <v/>
      </c>
      <c r="AB36" s="128"/>
      <c r="AC36" s="127"/>
      <c r="AD36" s="137"/>
      <c r="AE36" s="129">
        <v>0.995</v>
      </c>
      <c r="AF36" s="129">
        <v>0.98550000000000004</v>
      </c>
      <c r="AG36" s="129">
        <v>0.995</v>
      </c>
      <c r="AH36" s="129"/>
      <c r="AI36" s="129"/>
      <c r="AJ36" s="129"/>
      <c r="AK36" s="129"/>
      <c r="AL36" s="129"/>
      <c r="AM36" s="167"/>
      <c r="AN36" s="167"/>
      <c r="AO36" s="121">
        <v>10</v>
      </c>
    </row>
    <row r="37" spans="1:41">
      <c r="A37" s="121">
        <f t="shared" si="10"/>
        <v>36</v>
      </c>
      <c r="B37" s="122" t="str">
        <f t="shared" ref="B37:C37" si="47">B25</f>
        <v>March</v>
      </c>
      <c r="C37" s="122">
        <f t="shared" si="47"/>
        <v>3</v>
      </c>
      <c r="D37" s="123">
        <v>45717</v>
      </c>
      <c r="E37" s="124">
        <f t="shared" si="38"/>
        <v>2025</v>
      </c>
      <c r="F37" s="124" t="s">
        <v>207</v>
      </c>
      <c r="G37" s="125">
        <f t="shared" si="39"/>
        <v>31</v>
      </c>
      <c r="H37" s="130">
        <f t="shared" si="20"/>
        <v>191.24087224799999</v>
      </c>
      <c r="I37" s="130">
        <f t="shared" si="20"/>
        <v>239.21477689999998</v>
      </c>
      <c r="J37" s="127"/>
      <c r="K37" s="126">
        <f t="shared" si="21"/>
        <v>22.15643</v>
      </c>
      <c r="L37" s="125"/>
      <c r="M37" s="128">
        <v>2298.3000000000002</v>
      </c>
      <c r="N37" s="128">
        <v>11.72</v>
      </c>
      <c r="O37" s="129">
        <f t="shared" si="40"/>
        <v>0.81976826488370957</v>
      </c>
      <c r="P37" s="127">
        <f t="shared" si="41"/>
        <v>7.7166057064516123</v>
      </c>
      <c r="Q37" s="125">
        <f>COUNTIFS('Daily KPI'!$D:$D,D37,'Daily KPI'!$K:$K,"&gt;0")</f>
        <v>3</v>
      </c>
      <c r="R37" s="128">
        <f t="shared" si="42"/>
        <v>23.149817119354836</v>
      </c>
      <c r="S37" s="136">
        <f>SUMIF($F$2:F37,F37,$R$2:R37)</f>
        <v>23.149817119354836</v>
      </c>
      <c r="T37" s="127">
        <f t="shared" si="43"/>
        <v>74.138709677419357</v>
      </c>
      <c r="U37" s="128">
        <f t="shared" si="44"/>
        <v>222.41612903225808</v>
      </c>
      <c r="V37" s="136">
        <f>SUMIF($F$2:F37,F37,$U$2:U37)</f>
        <v>222.41612903225808</v>
      </c>
      <c r="W37" s="129">
        <f t="shared" si="45"/>
        <v>0.26357618628206536</v>
      </c>
      <c r="X37" s="129">
        <f t="shared" si="8"/>
        <v>0.26357618628206536</v>
      </c>
      <c r="Y37" s="129">
        <f t="shared" si="9"/>
        <v>0.26357618628206536</v>
      </c>
      <c r="Z37" s="127">
        <f>IFERROR(AVERAGEIF('Daily KPI'!D:D,Table14[[#This Row],[Month]],'Daily KPI'!AB:AB),"")</f>
        <v>11.72</v>
      </c>
      <c r="AA37" s="130">
        <f>IFERROR(AVERAGEIF($F$2:F37,F37,$Z$2:Z37),"")</f>
        <v>11.72</v>
      </c>
      <c r="AB37" s="128"/>
      <c r="AC37" s="127"/>
      <c r="AD37" s="137"/>
      <c r="AE37" s="129">
        <v>0.995</v>
      </c>
      <c r="AF37" s="129">
        <v>0.98550000000000004</v>
      </c>
      <c r="AG37" s="129">
        <v>0.995</v>
      </c>
      <c r="AH37" s="129"/>
      <c r="AI37" s="129"/>
      <c r="AJ37" s="129"/>
      <c r="AK37" s="129"/>
      <c r="AL37" s="129"/>
      <c r="AM37" s="167"/>
      <c r="AN37" s="167"/>
      <c r="AO37" s="121">
        <v>10</v>
      </c>
    </row>
    <row r="38" spans="1:41">
      <c r="A38" s="121">
        <f t="shared" si="10"/>
        <v>37</v>
      </c>
      <c r="B38" s="122" t="str">
        <f t="shared" ref="B38:C38" si="48">B26</f>
        <v>April</v>
      </c>
      <c r="C38" s="122">
        <f t="shared" si="48"/>
        <v>4</v>
      </c>
      <c r="D38" s="123">
        <v>45748</v>
      </c>
      <c r="E38" s="124">
        <f t="shared" si="38"/>
        <v>2025</v>
      </c>
      <c r="F38" s="124" t="s">
        <v>208</v>
      </c>
      <c r="G38" s="125">
        <f t="shared" si="39"/>
        <v>30</v>
      </c>
      <c r="H38" s="130">
        <f t="shared" si="20"/>
        <v>187.86834831199999</v>
      </c>
      <c r="I38" s="130">
        <f t="shared" si="20"/>
        <v>228.56010069999994</v>
      </c>
      <c r="J38" s="127"/>
      <c r="K38" s="126">
        <f t="shared" si="21"/>
        <v>23.057770000000001</v>
      </c>
      <c r="L38" s="125"/>
      <c r="M38" s="128">
        <v>1903.6714096083219</v>
      </c>
      <c r="N38" s="128">
        <v>11.72</v>
      </c>
      <c r="O38" s="129">
        <f t="shared" si="40"/>
        <v>0.71066341265888178</v>
      </c>
      <c r="P38" s="127">
        <f t="shared" si="41"/>
        <v>7.6186700233333315</v>
      </c>
      <c r="Q38" s="125">
        <f>COUNTIFS('Daily KPI'!$D:$D,D38,'Daily KPI'!$K:$K,"&gt;0")</f>
        <v>30</v>
      </c>
      <c r="R38" s="128">
        <f t="shared" si="42"/>
        <v>228.56010069999994</v>
      </c>
      <c r="S38" s="136">
        <f>SUMIF($F$2:F38,F38,$R$2:R38)</f>
        <v>228.56010069999994</v>
      </c>
      <c r="T38" s="127">
        <f t="shared" si="43"/>
        <v>63.455713653610729</v>
      </c>
      <c r="U38" s="128">
        <f t="shared" si="44"/>
        <v>1903.6714096083219</v>
      </c>
      <c r="V38" s="136">
        <f>SUMIF($F$2:F38,F38,$U$2:U38)</f>
        <v>1903.6714096083219</v>
      </c>
      <c r="W38" s="129">
        <f t="shared" si="45"/>
        <v>0.22559625161266611</v>
      </c>
      <c r="X38" s="129">
        <f t="shared" si="8"/>
        <v>0.22559625161266611</v>
      </c>
      <c r="Y38" s="129">
        <f t="shared" si="9"/>
        <v>0.22559625161266611</v>
      </c>
      <c r="Z38" s="127">
        <f>IFERROR(AVERAGEIF('Daily KPI'!D:D,Table14[[#This Row],[Month]],'Daily KPI'!AB:AB),"")</f>
        <v>11.720000000000008</v>
      </c>
      <c r="AA38" s="130">
        <f>IFERROR(AVERAGEIF($F$2:F38,F38,$Z$2:Z38),"")</f>
        <v>11.720000000000008</v>
      </c>
      <c r="AB38" s="128"/>
      <c r="AC38" s="127"/>
      <c r="AD38" s="137"/>
      <c r="AE38" s="129">
        <v>0.995</v>
      </c>
      <c r="AF38" s="129">
        <v>0.98550000000000004</v>
      </c>
      <c r="AG38" s="129">
        <v>0.995</v>
      </c>
      <c r="AH38" s="129"/>
      <c r="AI38" s="129"/>
      <c r="AJ38" s="129"/>
      <c r="AK38" s="129"/>
      <c r="AL38" s="129"/>
      <c r="AM38" s="167"/>
      <c r="AN38" s="167"/>
      <c r="AO38" s="121">
        <v>10</v>
      </c>
    </row>
    <row r="39" spans="1:41">
      <c r="A39" s="121">
        <f t="shared" si="10"/>
        <v>38</v>
      </c>
      <c r="B39" s="122" t="str">
        <f t="shared" ref="B39:C39" si="49">B27</f>
        <v>May</v>
      </c>
      <c r="C39" s="122">
        <f t="shared" si="49"/>
        <v>5</v>
      </c>
      <c r="D39" s="123">
        <v>45778</v>
      </c>
      <c r="E39" s="124">
        <f t="shared" si="38"/>
        <v>2025</v>
      </c>
      <c r="F39" s="124" t="s">
        <v>208</v>
      </c>
      <c r="G39" s="125">
        <f t="shared" si="39"/>
        <v>31</v>
      </c>
      <c r="H39" s="130">
        <f t="shared" si="20"/>
        <v>194.13106407199999</v>
      </c>
      <c r="I39" s="130">
        <f t="shared" si="20"/>
        <v>236.95476170000001</v>
      </c>
      <c r="J39" s="127"/>
      <c r="K39" s="126">
        <f t="shared" si="21"/>
        <v>24.803879999999999</v>
      </c>
      <c r="L39" s="125"/>
      <c r="M39" s="128">
        <v>2031.6833296705479</v>
      </c>
      <c r="N39" s="128">
        <v>11.72</v>
      </c>
      <c r="O39" s="129">
        <f t="shared" si="40"/>
        <v>0.73158192177304548</v>
      </c>
      <c r="P39" s="127">
        <f t="shared" si="41"/>
        <v>7.6437019903225805</v>
      </c>
      <c r="Q39" s="125">
        <f>COUNTIFS('Daily KPI'!$D:$D,D39,'Daily KPI'!$K:$K,"&gt;0")</f>
        <v>31</v>
      </c>
      <c r="R39" s="128">
        <f t="shared" si="42"/>
        <v>236.95476170000001</v>
      </c>
      <c r="S39" s="136">
        <f>SUMIF($F$2:F39,F39,$R$2:R39)</f>
        <v>465.51486239999997</v>
      </c>
      <c r="T39" s="127">
        <f t="shared" si="43"/>
        <v>65.538171924856385</v>
      </c>
      <c r="U39" s="128">
        <f t="shared" si="44"/>
        <v>2031.6833296705479</v>
      </c>
      <c r="V39" s="136">
        <f>SUMIF($F$2:F39,F39,$U$2:U39)</f>
        <v>3935.3547392788696</v>
      </c>
      <c r="W39" s="129">
        <f t="shared" si="45"/>
        <v>0.23299975798086028</v>
      </c>
      <c r="X39" s="129">
        <f t="shared" si="8"/>
        <v>0.23299975798086028</v>
      </c>
      <c r="Y39" s="129">
        <f t="shared" si="9"/>
        <v>0.22935868927519101</v>
      </c>
      <c r="Z39" s="127">
        <f>IFERROR(AVERAGEIF('Daily KPI'!D:D,Table14[[#This Row],[Month]],'Daily KPI'!AB:AB),"")</f>
        <v>11.72000000000001</v>
      </c>
      <c r="AA39" s="130">
        <f>IFERROR(AVERAGEIF($F$2:F39,F39,$Z$2:Z39),"")</f>
        <v>11.72000000000001</v>
      </c>
      <c r="AB39" s="128"/>
      <c r="AC39" s="127"/>
      <c r="AD39" s="137"/>
      <c r="AE39" s="129">
        <v>0.995</v>
      </c>
      <c r="AF39" s="129">
        <v>0.98550000000000004</v>
      </c>
      <c r="AG39" s="129">
        <v>0.995</v>
      </c>
      <c r="AH39" s="129"/>
      <c r="AI39" s="129"/>
      <c r="AJ39" s="129"/>
      <c r="AK39" s="129"/>
      <c r="AL39" s="129"/>
      <c r="AM39" s="167"/>
      <c r="AN39" s="167"/>
      <c r="AO39" s="121">
        <v>10</v>
      </c>
    </row>
    <row r="40" spans="1:41">
      <c r="A40" s="121">
        <f t="shared" si="10"/>
        <v>39</v>
      </c>
      <c r="B40" s="122" t="str">
        <f t="shared" ref="B40:C40" si="50">B28</f>
        <v>June</v>
      </c>
      <c r="C40" s="122">
        <f t="shared" si="50"/>
        <v>6</v>
      </c>
      <c r="D40" s="123">
        <v>45809</v>
      </c>
      <c r="E40" s="124">
        <f t="shared" si="38"/>
        <v>2025</v>
      </c>
      <c r="F40" s="124" t="s">
        <v>208</v>
      </c>
      <c r="G40" s="125">
        <f t="shared" si="39"/>
        <v>30</v>
      </c>
      <c r="H40" s="130">
        <f t="shared" si="20"/>
        <v>144.327462642</v>
      </c>
      <c r="I40" s="130">
        <f t="shared" si="20"/>
        <v>168.51814360000006</v>
      </c>
      <c r="J40" s="127"/>
      <c r="K40" s="126">
        <f t="shared" si="21"/>
        <v>20.91329</v>
      </c>
      <c r="L40" s="125"/>
      <c r="M40" s="128">
        <v>1422.4061656062181</v>
      </c>
      <c r="N40" s="128">
        <v>11.72</v>
      </c>
      <c r="O40" s="129">
        <f t="shared" si="40"/>
        <v>0.72019375003918806</v>
      </c>
      <c r="P40" s="127">
        <f t="shared" si="41"/>
        <v>5.617271453333335</v>
      </c>
      <c r="Q40" s="125">
        <f>COUNTIFS('Daily KPI'!$D:$D,D40,'Daily KPI'!$K:$K,"&gt;0")</f>
        <v>30</v>
      </c>
      <c r="R40" s="128">
        <f t="shared" si="42"/>
        <v>168.51814360000006</v>
      </c>
      <c r="S40" s="136">
        <f>SUMIF($F$2:F40,F40,$R$2:R40)</f>
        <v>634.033006</v>
      </c>
      <c r="T40" s="127">
        <f t="shared" si="43"/>
        <v>47.413538853540601</v>
      </c>
      <c r="U40" s="128">
        <f t="shared" si="44"/>
        <v>1422.4061656062181</v>
      </c>
      <c r="V40" s="136">
        <f>SUMIF($F$2:F40,F40,$U$2:U40)</f>
        <v>5357.7609048850882</v>
      </c>
      <c r="W40" s="129">
        <f t="shared" si="45"/>
        <v>0.16856349137350896</v>
      </c>
      <c r="X40" s="129">
        <f t="shared" si="8"/>
        <v>0.16856349137350896</v>
      </c>
      <c r="Y40" s="129">
        <f t="shared" si="9"/>
        <v>0.20931631634057055</v>
      </c>
      <c r="Z40" s="127">
        <f>IFERROR(AVERAGEIF('Daily KPI'!D:D,Table14[[#This Row],[Month]],'Daily KPI'!AB:AB),"")</f>
        <v>11.720000000000008</v>
      </c>
      <c r="AA40" s="130">
        <f>IFERROR(AVERAGEIF($F$2:F40,F40,$Z$2:Z40),"")</f>
        <v>11.720000000000008</v>
      </c>
      <c r="AB40" s="128"/>
      <c r="AC40" s="127"/>
      <c r="AD40" s="137"/>
      <c r="AE40" s="129">
        <v>0.995</v>
      </c>
      <c r="AF40" s="129">
        <v>0.98550000000000004</v>
      </c>
      <c r="AG40" s="129">
        <v>0.995</v>
      </c>
      <c r="AH40" s="129"/>
      <c r="AI40" s="129"/>
      <c r="AJ40" s="129"/>
      <c r="AK40" s="129"/>
      <c r="AL40" s="129"/>
      <c r="AM40" s="167"/>
      <c r="AN40" s="167"/>
      <c r="AO40" s="121">
        <v>10</v>
      </c>
    </row>
    <row r="41" spans="1:41">
      <c r="A41" s="121">
        <f t="shared" si="10"/>
        <v>40</v>
      </c>
      <c r="B41" s="122" t="str">
        <f t="shared" ref="B41:C41" si="51">B29</f>
        <v>July</v>
      </c>
      <c r="C41" s="122">
        <f t="shared" si="51"/>
        <v>7</v>
      </c>
      <c r="D41" s="123">
        <v>45839</v>
      </c>
      <c r="E41" s="124">
        <f t="shared" si="38"/>
        <v>2025</v>
      </c>
      <c r="F41" s="124" t="s">
        <v>208</v>
      </c>
      <c r="G41" s="125">
        <f t="shared" si="39"/>
        <v>31</v>
      </c>
      <c r="H41" s="130">
        <f t="shared" si="20"/>
        <v>124.81072236599999</v>
      </c>
      <c r="I41" s="130">
        <f t="shared" si="20"/>
        <v>143.43493099999995</v>
      </c>
      <c r="J41" s="127"/>
      <c r="K41" s="126">
        <f t="shared" si="21"/>
        <v>20.391279999999998</v>
      </c>
      <c r="L41" s="125"/>
      <c r="M41" s="128">
        <v>1261.7822784269715</v>
      </c>
      <c r="N41" s="128">
        <v>11.72</v>
      </c>
      <c r="O41" s="129">
        <f t="shared" si="40"/>
        <v>0.75058845994317613</v>
      </c>
      <c r="P41" s="127">
        <f t="shared" si="41"/>
        <v>4.6269332580645148</v>
      </c>
      <c r="Q41" s="125">
        <f>COUNTIFS('Daily KPI'!$D:$D,D41,'Daily KPI'!$K:$K,"&gt;0")</f>
        <v>31</v>
      </c>
      <c r="R41" s="128">
        <f t="shared" si="42"/>
        <v>143.43493099999995</v>
      </c>
      <c r="S41" s="136">
        <f>SUMIF($F$2:F41,F41,$R$2:R41)</f>
        <v>777.46793699999989</v>
      </c>
      <c r="T41" s="127">
        <f t="shared" si="43"/>
        <v>40.702654142805535</v>
      </c>
      <c r="U41" s="128">
        <f t="shared" si="44"/>
        <v>1261.7822784269715</v>
      </c>
      <c r="V41" s="136">
        <f>SUMIF($F$2:F41,F41,$U$2:U41)</f>
        <v>6619.5431833120601</v>
      </c>
      <c r="W41" s="129">
        <f t="shared" si="45"/>
        <v>0.14470511285127108</v>
      </c>
      <c r="X41" s="129">
        <f t="shared" si="8"/>
        <v>0.14470511285127108</v>
      </c>
      <c r="Y41" s="129">
        <f t="shared" si="9"/>
        <v>0.1928987154539453</v>
      </c>
      <c r="Z41" s="127">
        <f>IFERROR(AVERAGEIF('Daily KPI'!D:D,Table14[[#This Row],[Month]],'Daily KPI'!AB:AB),"")</f>
        <v>11.72000000000001</v>
      </c>
      <c r="AA41" s="130">
        <f>IFERROR(AVERAGEIF($F$2:F41,F41,$Z$2:Z41),"")</f>
        <v>11.72000000000001</v>
      </c>
      <c r="AB41" s="128"/>
      <c r="AC41" s="127"/>
      <c r="AD41" s="137"/>
      <c r="AE41" s="129">
        <v>0.995</v>
      </c>
      <c r="AF41" s="129">
        <v>0.98550000000000004</v>
      </c>
      <c r="AG41" s="129">
        <v>0.995</v>
      </c>
      <c r="AH41" s="129"/>
      <c r="AI41" s="129"/>
      <c r="AJ41" s="129"/>
      <c r="AK41" s="129"/>
      <c r="AL41" s="129"/>
      <c r="AM41" s="167"/>
      <c r="AN41" s="167"/>
      <c r="AO41" s="121">
        <v>10</v>
      </c>
    </row>
    <row r="42" spans="1:41">
      <c r="A42" s="121">
        <f t="shared" si="10"/>
        <v>41</v>
      </c>
      <c r="B42" s="122" t="str">
        <f t="shared" ref="B42:C42" si="52">B30</f>
        <v>August</v>
      </c>
      <c r="C42" s="122">
        <f t="shared" si="52"/>
        <v>8</v>
      </c>
      <c r="D42" s="123">
        <v>45870</v>
      </c>
      <c r="E42" s="124">
        <f t="shared" si="38"/>
        <v>2025</v>
      </c>
      <c r="F42" s="124" t="s">
        <v>208</v>
      </c>
      <c r="G42" s="125">
        <f t="shared" si="39"/>
        <v>31</v>
      </c>
      <c r="H42" s="130">
        <f t="shared" si="20"/>
        <v>129.03231213399999</v>
      </c>
      <c r="I42" s="130">
        <f t="shared" si="20"/>
        <v>147.91273230000004</v>
      </c>
      <c r="J42" s="127"/>
      <c r="K42" s="126">
        <f t="shared" si="21"/>
        <v>19.68656</v>
      </c>
      <c r="L42" s="125"/>
      <c r="M42" s="128">
        <v>1304.5545590516153</v>
      </c>
      <c r="N42" s="128">
        <v>11.72</v>
      </c>
      <c r="O42" s="129">
        <f t="shared" si="40"/>
        <v>0.75253911025234577</v>
      </c>
      <c r="P42" s="127">
        <f t="shared" si="41"/>
        <v>4.7713784612903236</v>
      </c>
      <c r="Q42" s="125">
        <f>COUNTIFS('Daily KPI'!$D:$D,D42,'Daily KPI'!$K:$K,"&gt;0")</f>
        <v>3</v>
      </c>
      <c r="R42" s="128">
        <f t="shared" si="42"/>
        <v>14.314135383870971</v>
      </c>
      <c r="S42" s="136">
        <f>SUMIF($F$2:F42,F42,$R$2:R42)</f>
        <v>791.78207238387085</v>
      </c>
      <c r="T42" s="127">
        <f t="shared" si="43"/>
        <v>42.082405130697268</v>
      </c>
      <c r="U42" s="128">
        <f t="shared" si="44"/>
        <v>126.2472153920918</v>
      </c>
      <c r="V42" s="136">
        <f>SUMIF($F$2:F42,F42,$U$2:U42)</f>
        <v>6745.7903987041518</v>
      </c>
      <c r="W42" s="129">
        <f t="shared" si="45"/>
        <v>0.1496103709140261</v>
      </c>
      <c r="X42" s="129">
        <f t="shared" si="8"/>
        <v>0.1496103709140261</v>
      </c>
      <c r="Y42" s="129">
        <f t="shared" si="9"/>
        <v>0.19185979518498722</v>
      </c>
      <c r="Z42" s="127">
        <f>IFERROR(AVERAGEIF('Daily KPI'!D:D,Table14[[#This Row],[Month]],'Daily KPI'!AB:AB),"")</f>
        <v>11.72</v>
      </c>
      <c r="AA42" s="130">
        <f>IFERROR(AVERAGEIF($F$2:F42,F42,$Z$2:Z42),"")</f>
        <v>11.720000000000008</v>
      </c>
      <c r="AB42" s="128"/>
      <c r="AC42" s="127"/>
      <c r="AD42" s="137"/>
      <c r="AE42" s="129">
        <v>0.995</v>
      </c>
      <c r="AF42" s="129">
        <v>0.98550000000000004</v>
      </c>
      <c r="AG42" s="129">
        <v>0.995</v>
      </c>
      <c r="AH42" s="129"/>
      <c r="AI42" s="129"/>
      <c r="AJ42" s="129"/>
      <c r="AK42" s="129"/>
      <c r="AL42" s="129"/>
      <c r="AM42" s="167"/>
      <c r="AN42" s="167"/>
      <c r="AO42" s="121">
        <v>10</v>
      </c>
    </row>
    <row r="43" spans="1:41">
      <c r="A43" s="121">
        <f t="shared" si="10"/>
        <v>42</v>
      </c>
      <c r="B43" s="122" t="str">
        <f t="shared" ref="B43:C43" si="53">B31</f>
        <v>September</v>
      </c>
      <c r="C43" s="122">
        <f t="shared" si="53"/>
        <v>9</v>
      </c>
      <c r="D43" s="123">
        <v>45901</v>
      </c>
      <c r="E43" s="124">
        <f t="shared" si="38"/>
        <v>2025</v>
      </c>
      <c r="F43" s="124" t="s">
        <v>208</v>
      </c>
      <c r="G43" s="125">
        <f t="shared" si="39"/>
        <v>30</v>
      </c>
      <c r="H43" s="130">
        <f t="shared" si="20"/>
        <v>138.860397627</v>
      </c>
      <c r="I43" s="130">
        <f t="shared" si="20"/>
        <v>165.14882880000005</v>
      </c>
      <c r="J43" s="127"/>
      <c r="K43" s="126">
        <f t="shared" si="21"/>
        <v>18.930330000000001</v>
      </c>
      <c r="L43" s="125"/>
      <c r="M43" s="128">
        <v>1411.7113824061717</v>
      </c>
      <c r="N43" s="128">
        <v>11.72</v>
      </c>
      <c r="O43" s="129">
        <f t="shared" si="40"/>
        <v>0.72936145233565186</v>
      </c>
      <c r="P43" s="127">
        <f t="shared" si="41"/>
        <v>5.5049609600000018</v>
      </c>
      <c r="Q43" s="125">
        <f>COUNTIFS('Daily KPI'!$D:$D,D43,'Daily KPI'!$K:$K,"&gt;0")</f>
        <v>0</v>
      </c>
      <c r="R43" s="128">
        <f t="shared" si="42"/>
        <v>0</v>
      </c>
      <c r="S43" s="136">
        <f>SUMIF($F$2:F49,F43,$R$2:R49)</f>
        <v>791.78207238387085</v>
      </c>
      <c r="T43" s="127">
        <f t="shared" si="43"/>
        <v>47.057046080205723</v>
      </c>
      <c r="U43" s="128">
        <f t="shared" si="44"/>
        <v>0</v>
      </c>
      <c r="V43" s="136">
        <f>SUMIF($F$2:F49,F43,$U$2:U49)</f>
        <v>6745.7903987041518</v>
      </c>
      <c r="W43" s="129">
        <f t="shared" si="45"/>
        <v>0.16729609670152773</v>
      </c>
      <c r="X43" s="129" t="str">
        <f t="shared" si="8"/>
        <v/>
      </c>
      <c r="Y43" s="129">
        <f t="shared" si="9"/>
        <v>0.19185979518498722</v>
      </c>
      <c r="Z43" s="127" t="str">
        <f>IFERROR(AVERAGEIF('Daily KPI'!D:D,Table14[[#This Row],[Month]],'Daily KPI'!AB:AB),"")</f>
        <v/>
      </c>
      <c r="AA43" s="130">
        <f>IFERROR(AVERAGEIF($F$2:F43,F43,$Z$2:Z43),"")</f>
        <v>11.720000000000008</v>
      </c>
      <c r="AB43" s="128"/>
      <c r="AC43" s="127"/>
      <c r="AD43" s="137"/>
      <c r="AE43" s="129">
        <v>0.995</v>
      </c>
      <c r="AF43" s="129">
        <v>0.98550000000000004</v>
      </c>
      <c r="AG43" s="129">
        <v>0.995</v>
      </c>
      <c r="AH43" s="129"/>
      <c r="AI43" s="129"/>
      <c r="AJ43" s="129"/>
      <c r="AK43" s="129"/>
      <c r="AL43" s="129"/>
      <c r="AM43" s="167"/>
      <c r="AN43" s="167"/>
      <c r="AO43" s="121">
        <v>10</v>
      </c>
    </row>
    <row r="44" spans="1:41">
      <c r="A44" s="121">
        <f t="shared" si="10"/>
        <v>43</v>
      </c>
      <c r="B44" s="122" t="str">
        <f t="shared" ref="B44:C44" si="54">B32</f>
        <v>October</v>
      </c>
      <c r="C44" s="122">
        <f t="shared" si="54"/>
        <v>10</v>
      </c>
      <c r="D44" s="123">
        <v>45931</v>
      </c>
      <c r="E44" s="124">
        <f t="shared" ref="E44:E49" si="55">YEAR(D44)</f>
        <v>2025</v>
      </c>
      <c r="F44" s="124" t="s">
        <v>208</v>
      </c>
      <c r="G44" s="125">
        <f t="shared" ref="G44:G49" si="56">DAY(EOMONTH(D44,0))</f>
        <v>31</v>
      </c>
      <c r="H44" s="130">
        <f t="shared" si="20"/>
        <v>144.27891666400001</v>
      </c>
      <c r="I44" s="130">
        <f t="shared" si="20"/>
        <v>175.0139135</v>
      </c>
      <c r="J44" s="127"/>
      <c r="K44" s="126">
        <f t="shared" si="21"/>
        <v>19.660550000000001</v>
      </c>
      <c r="L44" s="125"/>
      <c r="M44" s="128">
        <v>1561.1882427994742</v>
      </c>
      <c r="N44" s="128">
        <v>11.72</v>
      </c>
      <c r="O44" s="129">
        <f t="shared" ref="O44:O49" si="57">IFERROR(M44/I44/N44,"")</f>
        <v>0.76112341749431001</v>
      </c>
      <c r="P44" s="127">
        <f t="shared" ref="P44:P49" si="58">IFERROR(I44/G44,"")</f>
        <v>5.6456101129032259</v>
      </c>
      <c r="Q44" s="125">
        <f>COUNTIFS('Daily KPI'!$D:$D,D44,'Daily KPI'!$K:$K,"&gt;0")</f>
        <v>0</v>
      </c>
      <c r="R44" s="128">
        <f t="shared" ref="R44:R49" si="59">I44/G44*Q44</f>
        <v>0</v>
      </c>
      <c r="S44" s="136">
        <f>SUMIF($F$2:F44,F44,$R$2:R44)</f>
        <v>791.78207238387085</v>
      </c>
      <c r="T44" s="127">
        <f t="shared" ref="T44:T49" si="60">M44/G44</f>
        <v>50.360911058047556</v>
      </c>
      <c r="U44" s="128">
        <f t="shared" ref="U44:U49" si="61">M44/G44*Q44</f>
        <v>0</v>
      </c>
      <c r="V44" s="136">
        <f>SUMIF($F$2:F44,F44,$U$2:U44)</f>
        <v>6745.7903987041518</v>
      </c>
      <c r="W44" s="129">
        <f t="shared" ref="W44:W49" si="62">IFERROR(T44/(24*N44),"")</f>
        <v>0.17904191929055585</v>
      </c>
      <c r="X44" s="129" t="str">
        <f t="shared" si="8"/>
        <v/>
      </c>
      <c r="Y44" s="129">
        <f t="shared" si="9"/>
        <v>0.19185979518498722</v>
      </c>
      <c r="Z44" s="127" t="str">
        <f>IFERROR(AVERAGEIF('Daily KPI'!D:D,Table14[[#This Row],[Month]],'Daily KPI'!AB:AB),"")</f>
        <v/>
      </c>
      <c r="AA44" s="130">
        <f>IFERROR(AVERAGEIF($F$2:F44,F44,$Z$2:Z44),"")</f>
        <v>11.720000000000008</v>
      </c>
      <c r="AB44" s="128"/>
      <c r="AC44" s="127"/>
      <c r="AD44" s="137"/>
      <c r="AE44" s="129">
        <v>0.995</v>
      </c>
      <c r="AF44" s="129">
        <v>0.98550000000000004</v>
      </c>
      <c r="AG44" s="129">
        <v>0.995</v>
      </c>
      <c r="AH44" s="129"/>
      <c r="AI44" s="129"/>
      <c r="AJ44" s="129"/>
      <c r="AK44" s="129"/>
      <c r="AL44" s="129"/>
      <c r="AM44" s="167"/>
      <c r="AN44" s="167"/>
      <c r="AO44" s="121">
        <v>10</v>
      </c>
    </row>
    <row r="45" spans="1:41">
      <c r="A45" s="121">
        <f t="shared" si="10"/>
        <v>44</v>
      </c>
      <c r="B45" s="122" t="str">
        <f t="shared" ref="B45:C45" si="63">B33</f>
        <v>November</v>
      </c>
      <c r="C45" s="122">
        <f t="shared" si="63"/>
        <v>11</v>
      </c>
      <c r="D45" s="123">
        <v>45962</v>
      </c>
      <c r="E45" s="124">
        <f t="shared" si="55"/>
        <v>2025</v>
      </c>
      <c r="F45" s="124" t="s">
        <v>208</v>
      </c>
      <c r="G45" s="125">
        <f t="shared" si="56"/>
        <v>30</v>
      </c>
      <c r="H45" s="130">
        <f t="shared" si="20"/>
        <v>136.88678809699999</v>
      </c>
      <c r="I45" s="130">
        <f t="shared" si="20"/>
        <v>168.81198910000003</v>
      </c>
      <c r="J45" s="127"/>
      <c r="K45" s="126">
        <f t="shared" si="21"/>
        <v>17.558019999999999</v>
      </c>
      <c r="L45" s="125"/>
      <c r="M45" s="128">
        <v>1475.8800816064518</v>
      </c>
      <c r="N45" s="128">
        <v>11.72</v>
      </c>
      <c r="O45" s="129">
        <f t="shared" si="57"/>
        <v>0.7459679568935248</v>
      </c>
      <c r="P45" s="127">
        <f t="shared" si="58"/>
        <v>5.6270663033333346</v>
      </c>
      <c r="Q45" s="125">
        <f>COUNTIFS('Daily KPI'!$D:$D,D45,'Daily KPI'!$K:$K,"&gt;0")</f>
        <v>0</v>
      </c>
      <c r="R45" s="128">
        <f t="shared" si="59"/>
        <v>0</v>
      </c>
      <c r="S45" s="136">
        <f>SUMIF($F$2:F45,F45,$R$2:R45)</f>
        <v>791.78207238387085</v>
      </c>
      <c r="T45" s="127">
        <f t="shared" si="60"/>
        <v>49.196002720215056</v>
      </c>
      <c r="U45" s="128">
        <f t="shared" si="61"/>
        <v>0</v>
      </c>
      <c r="V45" s="136">
        <f>SUMIF($F$2:F45,F45,$U$2:U45)</f>
        <v>6745.7903987041518</v>
      </c>
      <c r="W45" s="129">
        <f t="shared" si="62"/>
        <v>0.17490046473341528</v>
      </c>
      <c r="X45" s="129" t="str">
        <f t="shared" si="8"/>
        <v/>
      </c>
      <c r="Y45" s="129">
        <f t="shared" si="9"/>
        <v>0.19185979518498722</v>
      </c>
      <c r="Z45" s="127" t="str">
        <f>IFERROR(AVERAGEIF('Daily KPI'!D:D,Table14[[#This Row],[Month]],'Daily KPI'!AB:AB),"")</f>
        <v/>
      </c>
      <c r="AA45" s="130">
        <f>IFERROR(AVERAGEIF($F$2:F45,F45,$Z$2:Z45),"")</f>
        <v>11.720000000000008</v>
      </c>
      <c r="AB45" s="128"/>
      <c r="AC45" s="127"/>
      <c r="AD45" s="137"/>
      <c r="AE45" s="129">
        <v>0.995</v>
      </c>
      <c r="AF45" s="129">
        <v>0.98550000000000004</v>
      </c>
      <c r="AG45" s="129">
        <v>0.995</v>
      </c>
      <c r="AH45" s="129"/>
      <c r="AI45" s="129"/>
      <c r="AJ45" s="129"/>
      <c r="AK45" s="129"/>
      <c r="AL45" s="129"/>
      <c r="AM45" s="167"/>
      <c r="AN45" s="167"/>
      <c r="AO45" s="121">
        <v>10</v>
      </c>
    </row>
    <row r="46" spans="1:41">
      <c r="A46" s="121">
        <f t="shared" si="10"/>
        <v>45</v>
      </c>
      <c r="B46" s="122" t="str">
        <f t="shared" ref="B46:C46" si="64">B34</f>
        <v>December</v>
      </c>
      <c r="C46" s="122">
        <f t="shared" si="64"/>
        <v>12</v>
      </c>
      <c r="D46" s="123">
        <v>45992</v>
      </c>
      <c r="E46" s="124">
        <f t="shared" si="55"/>
        <v>2025</v>
      </c>
      <c r="F46" s="124" t="s">
        <v>208</v>
      </c>
      <c r="G46" s="125">
        <f t="shared" si="56"/>
        <v>31</v>
      </c>
      <c r="H46" s="130">
        <f t="shared" si="20"/>
        <v>132.742847993</v>
      </c>
      <c r="I46" s="130">
        <f t="shared" si="20"/>
        <v>164.93463669999977</v>
      </c>
      <c r="J46" s="127"/>
      <c r="K46" s="126">
        <f t="shared" si="21"/>
        <v>17.196370000000002</v>
      </c>
      <c r="L46" s="125"/>
      <c r="M46" s="128">
        <v>1497.0298218625087</v>
      </c>
      <c r="N46" s="128">
        <v>11.72</v>
      </c>
      <c r="O46" s="129">
        <f t="shared" si="57"/>
        <v>0.77444569867075796</v>
      </c>
      <c r="P46" s="127">
        <f t="shared" si="58"/>
        <v>5.3204721516128961</v>
      </c>
      <c r="Q46" s="125">
        <f>COUNTIFS('Daily KPI'!$D:$D,D46,'Daily KPI'!$K:$K,"&gt;0")</f>
        <v>0</v>
      </c>
      <c r="R46" s="128">
        <f t="shared" si="59"/>
        <v>0</v>
      </c>
      <c r="S46" s="136">
        <f>SUMIF($F$2:F46,F46,$R$2:R46)</f>
        <v>791.78207238387085</v>
      </c>
      <c r="T46" s="127">
        <f t="shared" si="60"/>
        <v>48.291284576209961</v>
      </c>
      <c r="U46" s="128">
        <f t="shared" si="61"/>
        <v>0</v>
      </c>
      <c r="V46" s="136">
        <f>SUMIF($F$2:F46,F46,$U$2:U46)</f>
        <v>6745.7903987041518</v>
      </c>
      <c r="W46" s="129">
        <f t="shared" si="62"/>
        <v>0.17168403219642334</v>
      </c>
      <c r="X46" s="129" t="str">
        <f t="shared" si="8"/>
        <v/>
      </c>
      <c r="Y46" s="129">
        <f t="shared" si="9"/>
        <v>0.19185979518498722</v>
      </c>
      <c r="Z46" s="127" t="str">
        <f>IFERROR(AVERAGEIF('Daily KPI'!D:D,Table14[[#This Row],[Month]],'Daily KPI'!AB:AB),"")</f>
        <v/>
      </c>
      <c r="AA46" s="130">
        <f>IFERROR(AVERAGEIF($F$2:F46,F46,$Z$2:Z46),"")</f>
        <v>11.720000000000008</v>
      </c>
      <c r="AB46" s="128"/>
      <c r="AC46" s="127"/>
      <c r="AD46" s="137"/>
      <c r="AE46" s="129">
        <v>0.995</v>
      </c>
      <c r="AF46" s="129">
        <v>0.98550000000000004</v>
      </c>
      <c r="AG46" s="129">
        <v>0.995</v>
      </c>
      <c r="AH46" s="129"/>
      <c r="AI46" s="129"/>
      <c r="AJ46" s="129"/>
      <c r="AK46" s="129"/>
      <c r="AL46" s="129"/>
      <c r="AM46" s="167"/>
      <c r="AN46" s="167"/>
      <c r="AO46" s="121">
        <v>10</v>
      </c>
    </row>
    <row r="47" spans="1:41">
      <c r="A47" s="121">
        <f t="shared" si="10"/>
        <v>46</v>
      </c>
      <c r="B47" s="122" t="str">
        <f t="shared" ref="B47:C47" si="65">B35</f>
        <v>January</v>
      </c>
      <c r="C47" s="122">
        <f t="shared" si="65"/>
        <v>1</v>
      </c>
      <c r="D47" s="123">
        <v>46023</v>
      </c>
      <c r="E47" s="124">
        <f t="shared" si="55"/>
        <v>2026</v>
      </c>
      <c r="F47" s="124" t="s">
        <v>208</v>
      </c>
      <c r="G47" s="125">
        <f t="shared" si="56"/>
        <v>31</v>
      </c>
      <c r="H47" s="130">
        <f t="shared" si="20"/>
        <v>147.17861885299999</v>
      </c>
      <c r="I47" s="130">
        <f t="shared" si="20"/>
        <v>186.54543479999998</v>
      </c>
      <c r="J47" s="127"/>
      <c r="K47" s="126">
        <f t="shared" si="21"/>
        <v>17.42991</v>
      </c>
      <c r="L47" s="125"/>
      <c r="M47" s="128">
        <v>1678.8120145172416</v>
      </c>
      <c r="N47" s="128">
        <v>11.72</v>
      </c>
      <c r="O47" s="129">
        <f t="shared" si="57"/>
        <v>0.76787376813667318</v>
      </c>
      <c r="P47" s="127">
        <f t="shared" si="58"/>
        <v>6.0175946709677417</v>
      </c>
      <c r="Q47" s="125">
        <f>COUNTIFS('Daily KPI'!$D:$D,D47,'Daily KPI'!$K:$K,"&gt;0")</f>
        <v>0</v>
      </c>
      <c r="R47" s="128">
        <f t="shared" si="59"/>
        <v>0</v>
      </c>
      <c r="S47" s="136">
        <f>SUMIF($F$2:F47,F47,$R$2:R47)</f>
        <v>791.78207238387085</v>
      </c>
      <c r="T47" s="127">
        <f t="shared" si="60"/>
        <v>54.155226274749729</v>
      </c>
      <c r="U47" s="128">
        <f t="shared" si="61"/>
        <v>0</v>
      </c>
      <c r="V47" s="136">
        <f>SUMIF($F$2:F47,F47,$U$2:U47)</f>
        <v>6745.7903987041518</v>
      </c>
      <c r="W47" s="129">
        <f t="shared" si="62"/>
        <v>0.19253137896313183</v>
      </c>
      <c r="X47" s="129" t="str">
        <f t="shared" si="8"/>
        <v/>
      </c>
      <c r="Y47" s="129">
        <f t="shared" si="9"/>
        <v>0.19185979518498722</v>
      </c>
      <c r="Z47" s="127" t="str">
        <f>IFERROR(AVERAGEIF('Daily KPI'!D:D,Table14[[#This Row],[Month]],'Daily KPI'!AB:AB),"")</f>
        <v/>
      </c>
      <c r="AA47" s="130">
        <f>IFERROR(AVERAGEIF($F$2:F47,F47,$Z$2:Z47),"")</f>
        <v>11.720000000000008</v>
      </c>
      <c r="AB47" s="128"/>
      <c r="AC47" s="127"/>
      <c r="AD47" s="137"/>
      <c r="AE47" s="129">
        <v>0.995</v>
      </c>
      <c r="AF47" s="129">
        <v>0.98550000000000004</v>
      </c>
      <c r="AG47" s="129">
        <v>0.995</v>
      </c>
      <c r="AH47" s="129"/>
      <c r="AI47" s="129"/>
      <c r="AJ47" s="129"/>
      <c r="AK47" s="129"/>
      <c r="AL47" s="129"/>
      <c r="AM47" s="167"/>
      <c r="AN47" s="167"/>
      <c r="AO47" s="121">
        <v>10</v>
      </c>
    </row>
    <row r="48" spans="1:41">
      <c r="A48" s="121">
        <f t="shared" si="10"/>
        <v>47</v>
      </c>
      <c r="B48" s="122" t="str">
        <f t="shared" ref="B48:C48" si="66">B36</f>
        <v>February</v>
      </c>
      <c r="C48" s="122">
        <f t="shared" si="66"/>
        <v>2</v>
      </c>
      <c r="D48" s="123">
        <v>46054</v>
      </c>
      <c r="E48" s="124">
        <f t="shared" si="55"/>
        <v>2026</v>
      </c>
      <c r="F48" s="124" t="s">
        <v>208</v>
      </c>
      <c r="G48" s="125">
        <f t="shared" si="56"/>
        <v>28</v>
      </c>
      <c r="H48" s="130">
        <f t="shared" si="20"/>
        <v>153.83568869499999</v>
      </c>
      <c r="I48" s="130">
        <f t="shared" si="20"/>
        <v>193.23044800000002</v>
      </c>
      <c r="J48" s="127"/>
      <c r="K48" s="126">
        <f t="shared" si="21"/>
        <v>17.77167</v>
      </c>
      <c r="L48" s="125"/>
      <c r="M48" s="128">
        <v>1604.9607485766858</v>
      </c>
      <c r="N48" s="128">
        <v>11.72</v>
      </c>
      <c r="O48" s="129">
        <f t="shared" si="57"/>
        <v>0.70869805877547398</v>
      </c>
      <c r="P48" s="127">
        <f t="shared" si="58"/>
        <v>6.9010874285714294</v>
      </c>
      <c r="Q48" s="125">
        <f>COUNTIFS('Daily KPI'!$D:$D,D48,'Daily KPI'!$K:$K,"&gt;0")</f>
        <v>0</v>
      </c>
      <c r="R48" s="128">
        <f t="shared" si="59"/>
        <v>0</v>
      </c>
      <c r="S48" s="136">
        <f>SUMIF($F$2:F48,F48,$R$2:R48)</f>
        <v>791.78207238387085</v>
      </c>
      <c r="T48" s="127">
        <f t="shared" si="60"/>
        <v>57.320026734881637</v>
      </c>
      <c r="U48" s="128">
        <f t="shared" si="61"/>
        <v>0</v>
      </c>
      <c r="V48" s="136">
        <f>SUMIF($F$2:F48,F48,$U$2:U48)</f>
        <v>6745.7903987041518</v>
      </c>
      <c r="W48" s="129">
        <f t="shared" si="62"/>
        <v>0.20378280266951659</v>
      </c>
      <c r="X48" s="129" t="str">
        <f t="shared" si="8"/>
        <v/>
      </c>
      <c r="Y48" s="129">
        <f t="shared" si="9"/>
        <v>0.19185979518498722</v>
      </c>
      <c r="Z48" s="127" t="str">
        <f>IFERROR(AVERAGEIF('Daily KPI'!D:D,Table14[[#This Row],[Month]],'Daily KPI'!AB:AB),"")</f>
        <v/>
      </c>
      <c r="AA48" s="130">
        <f>IFERROR(AVERAGEIF($F$2:F48,F48,$Z$2:Z48),"")</f>
        <v>11.720000000000008</v>
      </c>
      <c r="AB48" s="128"/>
      <c r="AC48" s="127"/>
      <c r="AD48" s="137"/>
      <c r="AE48" s="129">
        <v>0.995</v>
      </c>
      <c r="AF48" s="129">
        <v>0.98550000000000004</v>
      </c>
      <c r="AG48" s="129">
        <v>0.995</v>
      </c>
      <c r="AH48" s="129"/>
      <c r="AI48" s="129"/>
      <c r="AJ48" s="129"/>
      <c r="AK48" s="129"/>
      <c r="AL48" s="129"/>
      <c r="AM48" s="167"/>
      <c r="AN48" s="167"/>
      <c r="AO48" s="121">
        <v>10</v>
      </c>
    </row>
    <row r="49" spans="1:41">
      <c r="A49" s="121">
        <f t="shared" si="10"/>
        <v>48</v>
      </c>
      <c r="B49" s="122" t="str">
        <f t="shared" ref="B49:C49" si="67">B37</f>
        <v>March</v>
      </c>
      <c r="C49" s="122">
        <f t="shared" si="67"/>
        <v>3</v>
      </c>
      <c r="D49" s="123">
        <v>46082</v>
      </c>
      <c r="E49" s="124">
        <f t="shared" si="55"/>
        <v>2026</v>
      </c>
      <c r="F49" s="124" t="s">
        <v>208</v>
      </c>
      <c r="G49" s="125">
        <f t="shared" si="56"/>
        <v>31</v>
      </c>
      <c r="H49" s="130">
        <f t="shared" si="20"/>
        <v>191.24087224799999</v>
      </c>
      <c r="I49" s="130">
        <f t="shared" si="20"/>
        <v>239.21477689999998</v>
      </c>
      <c r="J49" s="127"/>
      <c r="K49" s="126">
        <f t="shared" si="21"/>
        <v>22.15643</v>
      </c>
      <c r="L49" s="125"/>
      <c r="M49" s="128">
        <v>2095.8417506075129</v>
      </c>
      <c r="N49" s="128">
        <v>11.72</v>
      </c>
      <c r="O49" s="129">
        <f t="shared" si="57"/>
        <v>0.74755452089211905</v>
      </c>
      <c r="P49" s="127">
        <f t="shared" si="58"/>
        <v>7.7166057064516123</v>
      </c>
      <c r="Q49" s="125">
        <f>COUNTIFS('Daily KPI'!$D:$D,D49,'Daily KPI'!$K:$K,"&gt;0")</f>
        <v>0</v>
      </c>
      <c r="R49" s="128">
        <f t="shared" si="59"/>
        <v>0</v>
      </c>
      <c r="S49" s="136">
        <f>SUMIF($F$2:F49,F49,$R$2:R49)</f>
        <v>791.78207238387085</v>
      </c>
      <c r="T49" s="127">
        <f t="shared" si="60"/>
        <v>67.607798406693959</v>
      </c>
      <c r="U49" s="128">
        <f t="shared" si="61"/>
        <v>0</v>
      </c>
      <c r="V49" s="136">
        <f>SUMIF($F$2:F49,F49,$U$2:U49)</f>
        <v>6745.7903987041518</v>
      </c>
      <c r="W49" s="129">
        <f t="shared" si="62"/>
        <v>0.24035764507499272</v>
      </c>
      <c r="X49" s="129" t="str">
        <f t="shared" si="8"/>
        <v/>
      </c>
      <c r="Y49" s="129">
        <f t="shared" si="9"/>
        <v>0.19185979518498722</v>
      </c>
      <c r="Z49" s="127" t="str">
        <f>IFERROR(AVERAGEIF('Daily KPI'!D:D,Table14[[#This Row],[Month]],'Daily KPI'!AB:AB),"")</f>
        <v/>
      </c>
      <c r="AA49" s="130">
        <f>IFERROR(AVERAGEIF($F$2:F49,F49,$Z$2:Z49),"")</f>
        <v>11.720000000000008</v>
      </c>
      <c r="AB49" s="128"/>
      <c r="AC49" s="127"/>
      <c r="AD49" s="137"/>
      <c r="AE49" s="129">
        <v>0.995</v>
      </c>
      <c r="AF49" s="129">
        <v>0.98550000000000004</v>
      </c>
      <c r="AG49" s="129">
        <v>0.995</v>
      </c>
      <c r="AH49" s="129"/>
      <c r="AI49" s="129"/>
      <c r="AJ49" s="129"/>
      <c r="AK49" s="129"/>
      <c r="AL49" s="129"/>
      <c r="AM49" s="169"/>
      <c r="AN49" s="169"/>
      <c r="AO49" s="121">
        <v>10</v>
      </c>
    </row>
  </sheetData>
  <phoneticPr fontId="35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C1" workbookViewId="0">
      <selection activeCell="B4" sqref="B4"/>
    </sheetView>
  </sheetViews>
  <sheetFormatPr defaultColWidth="9" defaultRowHeight="14.5"/>
  <cols>
    <col min="1" max="1" width="18.7265625" customWidth="1"/>
    <col min="2" max="3" width="18.26953125" style="2" customWidth="1"/>
    <col min="5" max="5" width="25.54296875" customWidth="1"/>
    <col min="7" max="7" width="19.7265625" customWidth="1"/>
    <col min="9" max="9" width="18.26953125" style="3" customWidth="1"/>
    <col min="10" max="10" width="14.7265625" style="2" customWidth="1"/>
    <col min="11" max="11" width="19.7265625" style="2" customWidth="1"/>
  </cols>
  <sheetData>
    <row r="1" spans="1:13" s="1" customFormat="1" ht="29">
      <c r="A1" s="4" t="s">
        <v>364</v>
      </c>
      <c r="B1" s="5" t="s">
        <v>365</v>
      </c>
      <c r="C1" s="6" t="s">
        <v>226</v>
      </c>
      <c r="E1" s="4" t="s">
        <v>366</v>
      </c>
      <c r="G1" s="4" t="s">
        <v>367</v>
      </c>
      <c r="I1" s="11" t="s">
        <v>368</v>
      </c>
      <c r="J1" s="5" t="s">
        <v>369</v>
      </c>
      <c r="K1" s="12" t="s">
        <v>226</v>
      </c>
      <c r="M1" s="13" t="s">
        <v>235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370</v>
      </c>
      <c r="G2" s="7" t="s">
        <v>288</v>
      </c>
      <c r="I2" s="14" t="s">
        <v>287</v>
      </c>
      <c r="J2" s="15">
        <f>5*63</f>
        <v>315</v>
      </c>
      <c r="K2" s="16">
        <f>J2/36540</f>
        <v>8.6206896551724102E-3</v>
      </c>
      <c r="M2" t="s">
        <v>247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244</v>
      </c>
      <c r="G3" s="7" t="s">
        <v>290</v>
      </c>
      <c r="I3" s="14" t="s">
        <v>297</v>
      </c>
      <c r="J3" s="15">
        <f>4*63</f>
        <v>252</v>
      </c>
      <c r="K3" s="16">
        <f t="shared" ref="K3:K23" si="1">J3/36540</f>
        <v>6.8965517241379301E-3</v>
      </c>
      <c r="M3" t="s">
        <v>240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245</v>
      </c>
      <c r="G4" s="7" t="s">
        <v>295</v>
      </c>
      <c r="I4" s="14" t="s">
        <v>293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256</v>
      </c>
      <c r="G5" s="7" t="s">
        <v>286</v>
      </c>
      <c r="I5" s="14" t="s">
        <v>303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371</v>
      </c>
      <c r="G6" s="7" t="s">
        <v>372</v>
      </c>
      <c r="I6" s="14" t="s">
        <v>313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373</v>
      </c>
      <c r="G7" s="7" t="s">
        <v>299</v>
      </c>
      <c r="I7" s="14" t="s">
        <v>302</v>
      </c>
      <c r="J7" s="15">
        <f>3*42</f>
        <v>126</v>
      </c>
      <c r="K7" s="16">
        <f t="shared" si="1"/>
        <v>3.4482758620689698E-3</v>
      </c>
    </row>
    <row r="8" spans="1:13">
      <c r="A8" s="7" t="s">
        <v>266</v>
      </c>
      <c r="B8" s="8">
        <v>191.1</v>
      </c>
      <c r="C8" s="9">
        <f t="shared" si="0"/>
        <v>1.6318771967577601E-2</v>
      </c>
      <c r="E8" s="7" t="s">
        <v>239</v>
      </c>
      <c r="G8" s="7" t="s">
        <v>374</v>
      </c>
      <c r="I8" s="14" t="s">
        <v>294</v>
      </c>
      <c r="J8" s="15">
        <v>63</v>
      </c>
      <c r="K8" s="16">
        <f t="shared" si="1"/>
        <v>1.7241379310344799E-3</v>
      </c>
    </row>
    <row r="9" spans="1:13">
      <c r="A9" s="7" t="s">
        <v>264</v>
      </c>
      <c r="B9" s="8">
        <v>191.1</v>
      </c>
      <c r="C9" s="9">
        <f t="shared" si="0"/>
        <v>1.6318771967577601E-2</v>
      </c>
      <c r="E9" s="7" t="s">
        <v>375</v>
      </c>
      <c r="G9" s="7" t="s">
        <v>376</v>
      </c>
      <c r="I9" s="14" t="s">
        <v>298</v>
      </c>
      <c r="J9" s="15">
        <v>42</v>
      </c>
      <c r="K9" s="16">
        <f t="shared" si="1"/>
        <v>1.1494252873563201E-3</v>
      </c>
    </row>
    <row r="10" spans="1:13">
      <c r="A10" s="7" t="s">
        <v>265</v>
      </c>
      <c r="B10" s="8">
        <v>190.965</v>
      </c>
      <c r="C10" s="9">
        <f t="shared" si="0"/>
        <v>1.63072437927183E-2</v>
      </c>
      <c r="E10" s="7" t="s">
        <v>377</v>
      </c>
      <c r="G10" s="7" t="s">
        <v>378</v>
      </c>
      <c r="I10" s="14" t="s">
        <v>379</v>
      </c>
      <c r="J10" s="15">
        <f>5*63</f>
        <v>315</v>
      </c>
      <c r="K10" s="16">
        <f t="shared" si="1"/>
        <v>8.6206896551724102E-3</v>
      </c>
    </row>
    <row r="11" spans="1:13">
      <c r="A11" s="7" t="s">
        <v>380</v>
      </c>
      <c r="B11" s="8">
        <v>188.58500000000001</v>
      </c>
      <c r="C11" s="9">
        <f t="shared" si="0"/>
        <v>1.61040063396422E-2</v>
      </c>
      <c r="E11" s="7" t="s">
        <v>381</v>
      </c>
      <c r="G11" s="7"/>
      <c r="I11" s="14" t="s">
        <v>382</v>
      </c>
      <c r="J11" s="15">
        <f>4*63</f>
        <v>252</v>
      </c>
      <c r="K11" s="16">
        <f t="shared" si="1"/>
        <v>6.8965517241379301E-3</v>
      </c>
    </row>
    <row r="12" spans="1:13">
      <c r="A12" s="7" t="s">
        <v>383</v>
      </c>
      <c r="B12" s="8">
        <v>181.67</v>
      </c>
      <c r="C12" s="9">
        <f t="shared" si="0"/>
        <v>1.5513507605179701E-2</v>
      </c>
      <c r="E12" s="7" t="s">
        <v>242</v>
      </c>
      <c r="G12" s="7"/>
      <c r="I12" s="14" t="s">
        <v>384</v>
      </c>
      <c r="J12" s="15">
        <f>3*63</f>
        <v>189</v>
      </c>
      <c r="K12" s="16">
        <f t="shared" si="1"/>
        <v>5.1724137931034499E-3</v>
      </c>
    </row>
    <row r="13" spans="1:13">
      <c r="A13" s="7" t="s">
        <v>385</v>
      </c>
      <c r="B13" s="8">
        <v>190.035</v>
      </c>
      <c r="C13" s="9">
        <f t="shared" si="0"/>
        <v>1.62278274770205E-2</v>
      </c>
      <c r="E13" s="7" t="s">
        <v>386</v>
      </c>
      <c r="G13" s="7"/>
      <c r="I13" s="14" t="s">
        <v>387</v>
      </c>
      <c r="J13" s="15">
        <f>5*42</f>
        <v>210</v>
      </c>
      <c r="K13" s="16">
        <f t="shared" si="1"/>
        <v>5.74712643678161E-3</v>
      </c>
    </row>
    <row r="14" spans="1:13">
      <c r="A14" s="7" t="s">
        <v>388</v>
      </c>
      <c r="B14" s="8">
        <v>188.17</v>
      </c>
      <c r="C14" s="9">
        <f t="shared" si="0"/>
        <v>1.6068567876185699E-2</v>
      </c>
      <c r="E14" s="7" t="s">
        <v>389</v>
      </c>
      <c r="G14" s="7"/>
      <c r="I14" s="14" t="s">
        <v>390</v>
      </c>
      <c r="J14" s="15">
        <f>4*42</f>
        <v>168</v>
      </c>
      <c r="K14" s="16">
        <f t="shared" si="1"/>
        <v>4.5977011494252899E-3</v>
      </c>
    </row>
    <row r="15" spans="1:13">
      <c r="A15" s="7" t="s">
        <v>391</v>
      </c>
      <c r="B15" s="8">
        <v>176.61</v>
      </c>
      <c r="C15" s="9">
        <f t="shared" si="0"/>
        <v>1.50814145326734E-2</v>
      </c>
      <c r="E15" s="7" t="s">
        <v>392</v>
      </c>
      <c r="G15" s="7"/>
      <c r="I15" s="14" t="s">
        <v>393</v>
      </c>
      <c r="J15" s="15">
        <f>3*42</f>
        <v>126</v>
      </c>
      <c r="K15" s="16">
        <f t="shared" si="1"/>
        <v>3.4482758620689698E-3</v>
      </c>
    </row>
    <row r="16" spans="1:13">
      <c r="A16" s="7" t="s">
        <v>394</v>
      </c>
      <c r="B16" s="8">
        <v>135.86500000000001</v>
      </c>
      <c r="C16" s="9">
        <f t="shared" si="0"/>
        <v>1.1602040572344E-2</v>
      </c>
      <c r="E16" s="7" t="s">
        <v>268</v>
      </c>
      <c r="G16" s="7"/>
      <c r="I16" s="14" t="s">
        <v>318</v>
      </c>
      <c r="J16" s="15">
        <f>5*63</f>
        <v>315</v>
      </c>
      <c r="K16" s="16">
        <f t="shared" si="1"/>
        <v>8.6206896551724102E-3</v>
      </c>
    </row>
    <row r="17" spans="1:11">
      <c r="A17" s="7" t="s">
        <v>395</v>
      </c>
      <c r="B17" s="8">
        <v>165.45500000000001</v>
      </c>
      <c r="C17" s="9">
        <f t="shared" si="0"/>
        <v>1.4128845713739201E-2</v>
      </c>
      <c r="E17" s="7" t="s">
        <v>396</v>
      </c>
      <c r="G17" s="7"/>
      <c r="I17" s="14" t="s">
        <v>397</v>
      </c>
      <c r="J17" s="15">
        <f>4*63</f>
        <v>252</v>
      </c>
      <c r="K17" s="16">
        <f t="shared" si="1"/>
        <v>6.8965517241379301E-3</v>
      </c>
    </row>
    <row r="18" spans="1:11">
      <c r="A18" s="7" t="s">
        <v>398</v>
      </c>
      <c r="B18" s="8">
        <v>188.17</v>
      </c>
      <c r="C18" s="9">
        <f t="shared" si="0"/>
        <v>1.6068567876185699E-2</v>
      </c>
      <c r="E18" s="7" t="s">
        <v>399</v>
      </c>
      <c r="I18" s="14" t="s">
        <v>316</v>
      </c>
      <c r="J18" s="15">
        <f>3*63</f>
        <v>189</v>
      </c>
      <c r="K18" s="16">
        <f t="shared" si="1"/>
        <v>5.1724137931034499E-3</v>
      </c>
    </row>
    <row r="19" spans="1:11">
      <c r="A19" s="7" t="s">
        <v>400</v>
      </c>
      <c r="B19" s="8">
        <v>185.25</v>
      </c>
      <c r="C19" s="9">
        <f t="shared" si="0"/>
        <v>1.5819217723672199E-2</v>
      </c>
      <c r="E19" s="7" t="s">
        <v>378</v>
      </c>
      <c r="I19" s="14" t="s">
        <v>315</v>
      </c>
      <c r="J19" s="15">
        <f>5*42</f>
        <v>210</v>
      </c>
      <c r="K19" s="16">
        <f t="shared" si="1"/>
        <v>5.74712643678161E-3</v>
      </c>
    </row>
    <row r="20" spans="1:11">
      <c r="A20" s="7" t="s">
        <v>401</v>
      </c>
      <c r="B20" s="8">
        <v>185.245</v>
      </c>
      <c r="C20" s="9">
        <f t="shared" si="0"/>
        <v>1.5818790754233002E-2</v>
      </c>
      <c r="E20" s="7" t="s">
        <v>402</v>
      </c>
      <c r="I20" s="14" t="s">
        <v>403</v>
      </c>
      <c r="J20" s="15">
        <f>4*42</f>
        <v>168</v>
      </c>
      <c r="K20" s="16">
        <f t="shared" si="1"/>
        <v>4.5977011494252899E-3</v>
      </c>
    </row>
    <row r="21" spans="1:11">
      <c r="A21" s="7" t="s">
        <v>404</v>
      </c>
      <c r="B21" s="8">
        <v>185.255</v>
      </c>
      <c r="C21" s="9">
        <f t="shared" si="0"/>
        <v>1.5819644693111399E-2</v>
      </c>
      <c r="E21" s="7" t="s">
        <v>405</v>
      </c>
      <c r="I21" s="14" t="s">
        <v>301</v>
      </c>
      <c r="J21" s="15">
        <f>3*42</f>
        <v>126</v>
      </c>
      <c r="K21" s="16">
        <f t="shared" si="1"/>
        <v>3.4482758620689698E-3</v>
      </c>
    </row>
    <row r="22" spans="1:11">
      <c r="A22" s="7" t="s">
        <v>253</v>
      </c>
      <c r="B22" s="8">
        <v>185.23</v>
      </c>
      <c r="C22" s="9">
        <f t="shared" si="0"/>
        <v>1.58175098459153E-2</v>
      </c>
      <c r="E22" s="7" t="s">
        <v>406</v>
      </c>
      <c r="I22" s="14" t="s">
        <v>285</v>
      </c>
      <c r="J22" s="15">
        <v>63</v>
      </c>
      <c r="K22" s="16">
        <f t="shared" si="1"/>
        <v>1.7241379310344799E-3</v>
      </c>
    </row>
    <row r="23" spans="1:11">
      <c r="A23" s="7" t="s">
        <v>407</v>
      </c>
      <c r="B23" s="8">
        <v>185.23</v>
      </c>
      <c r="C23" s="9">
        <f t="shared" si="0"/>
        <v>1.58175098459153E-2</v>
      </c>
      <c r="E23" s="7" t="s">
        <v>408</v>
      </c>
      <c r="I23" s="14" t="s">
        <v>296</v>
      </c>
      <c r="J23" s="15">
        <v>42</v>
      </c>
      <c r="K23" s="16">
        <f t="shared" si="1"/>
        <v>1.1494252873563201E-3</v>
      </c>
    </row>
    <row r="24" spans="1:11">
      <c r="A24" s="7" t="s">
        <v>409</v>
      </c>
      <c r="B24" s="8">
        <v>185.27500000000001</v>
      </c>
      <c r="C24" s="9">
        <f t="shared" si="0"/>
        <v>1.5821352570868401E-2</v>
      </c>
      <c r="E24" s="7" t="s">
        <v>410</v>
      </c>
      <c r="I24" s="14" t="s">
        <v>374</v>
      </c>
      <c r="J24" s="15"/>
      <c r="K24" s="15"/>
    </row>
    <row r="25" spans="1:11">
      <c r="A25" s="7" t="s">
        <v>411</v>
      </c>
      <c r="B25" s="8">
        <v>191.845</v>
      </c>
      <c r="C25" s="9">
        <f t="shared" si="0"/>
        <v>1.6382390414023701E-2</v>
      </c>
      <c r="E25" s="10" t="s">
        <v>246</v>
      </c>
      <c r="I25" s="14" t="s">
        <v>376</v>
      </c>
      <c r="J25" s="15"/>
      <c r="K25" s="15"/>
    </row>
    <row r="26" spans="1:11">
      <c r="A26" s="7" t="s">
        <v>412</v>
      </c>
      <c r="B26" s="8">
        <v>191.83500000000001</v>
      </c>
      <c r="C26" s="9">
        <f t="shared" si="0"/>
        <v>1.63815364751453E-2</v>
      </c>
      <c r="E26" s="10" t="s">
        <v>243</v>
      </c>
      <c r="I26" s="14" t="s">
        <v>413</v>
      </c>
      <c r="J26" s="15"/>
      <c r="K26" s="15"/>
    </row>
    <row r="27" spans="1:11">
      <c r="A27" s="7" t="s">
        <v>414</v>
      </c>
      <c r="B27" s="8">
        <v>188.16</v>
      </c>
      <c r="C27" s="9">
        <f t="shared" si="0"/>
        <v>1.6067713937307201E-2</v>
      </c>
      <c r="I27" s="14" t="s">
        <v>415</v>
      </c>
      <c r="J27" s="15"/>
      <c r="K27" s="15"/>
    </row>
    <row r="28" spans="1:11">
      <c r="A28" s="7" t="s">
        <v>261</v>
      </c>
      <c r="B28" s="8">
        <v>159.70500000000001</v>
      </c>
      <c r="C28" s="9">
        <f t="shared" si="0"/>
        <v>1.3637830858618499E-2</v>
      </c>
    </row>
    <row r="29" spans="1:11">
      <c r="A29" s="7" t="s">
        <v>398</v>
      </c>
      <c r="B29" s="8">
        <v>188.17500000000001</v>
      </c>
      <c r="C29" s="9">
        <f t="shared" si="0"/>
        <v>1.60689948456249E-2</v>
      </c>
    </row>
    <row r="30" spans="1:11">
      <c r="A30" s="7" t="s">
        <v>416</v>
      </c>
      <c r="B30" s="8">
        <v>185.23</v>
      </c>
      <c r="C30" s="9">
        <f t="shared" si="0"/>
        <v>1.58175098459153E-2</v>
      </c>
    </row>
    <row r="31" spans="1:11">
      <c r="A31" s="7" t="s">
        <v>417</v>
      </c>
      <c r="B31" s="8">
        <v>185.23</v>
      </c>
      <c r="C31" s="9">
        <f t="shared" si="0"/>
        <v>1.58175098459153E-2</v>
      </c>
    </row>
    <row r="32" spans="1:11">
      <c r="A32" s="7" t="s">
        <v>418</v>
      </c>
      <c r="B32" s="8">
        <v>185.22499999999999</v>
      </c>
      <c r="C32" s="9">
        <f t="shared" si="0"/>
        <v>1.5817082876475999E-2</v>
      </c>
    </row>
    <row r="33" spans="1:3">
      <c r="A33" s="7" t="s">
        <v>419</v>
      </c>
      <c r="B33" s="8">
        <v>185.22499999999999</v>
      </c>
      <c r="C33" s="9">
        <f t="shared" si="0"/>
        <v>1.5817082876475999E-2</v>
      </c>
    </row>
    <row r="34" spans="1:3">
      <c r="A34" s="7" t="s">
        <v>420</v>
      </c>
      <c r="B34" s="8">
        <v>185.23</v>
      </c>
      <c r="C34" s="9">
        <f t="shared" si="0"/>
        <v>1.58175098459153E-2</v>
      </c>
    </row>
    <row r="35" spans="1:3">
      <c r="A35" s="7" t="s">
        <v>421</v>
      </c>
      <c r="B35" s="8">
        <v>185.22</v>
      </c>
      <c r="C35" s="9">
        <f t="shared" si="0"/>
        <v>1.5816655907036799E-2</v>
      </c>
    </row>
    <row r="36" spans="1:3">
      <c r="A36" s="7" t="s">
        <v>422</v>
      </c>
      <c r="B36" s="8">
        <v>185.22</v>
      </c>
      <c r="C36" s="9">
        <f t="shared" si="0"/>
        <v>1.5816655907036799E-2</v>
      </c>
    </row>
    <row r="37" spans="1:3">
      <c r="A37" s="7" t="s">
        <v>423</v>
      </c>
      <c r="B37" s="8">
        <v>139.65</v>
      </c>
      <c r="C37" s="9">
        <f t="shared" si="0"/>
        <v>1.19252564378452E-2</v>
      </c>
    </row>
    <row r="38" spans="1:3">
      <c r="A38" s="7" t="s">
        <v>424</v>
      </c>
      <c r="B38" s="8">
        <v>185.22</v>
      </c>
      <c r="C38" s="9">
        <f t="shared" si="0"/>
        <v>1.5816655907036799E-2</v>
      </c>
    </row>
    <row r="39" spans="1:3">
      <c r="A39" s="7" t="s">
        <v>425</v>
      </c>
      <c r="B39" s="8">
        <v>185.23</v>
      </c>
      <c r="C39" s="9">
        <f t="shared" si="0"/>
        <v>1.58175098459153E-2</v>
      </c>
    </row>
    <row r="40" spans="1:3">
      <c r="A40" s="7" t="s">
        <v>426</v>
      </c>
      <c r="B40" s="8" t="s">
        <v>249</v>
      </c>
      <c r="C40" s="9" t="str">
        <f t="shared" si="0"/>
        <v/>
      </c>
    </row>
    <row r="41" spans="1:3">
      <c r="A41" s="7" t="s">
        <v>427</v>
      </c>
      <c r="B41" s="8">
        <v>188.17</v>
      </c>
      <c r="C41" s="9">
        <f t="shared" si="0"/>
        <v>1.6068567876185699E-2</v>
      </c>
    </row>
    <row r="42" spans="1:3">
      <c r="A42" s="7" t="s">
        <v>428</v>
      </c>
      <c r="B42" s="8">
        <v>188.19</v>
      </c>
      <c r="C42" s="9">
        <f t="shared" si="0"/>
        <v>1.6070275753942601E-2</v>
      </c>
    </row>
    <row r="43" spans="1:3">
      <c r="A43" s="7" t="s">
        <v>429</v>
      </c>
      <c r="B43" s="8">
        <v>188.16499999999999</v>
      </c>
      <c r="C43" s="9">
        <f t="shared" si="0"/>
        <v>1.6068140906746499E-2</v>
      </c>
    </row>
    <row r="44" spans="1:3">
      <c r="A44" s="7" t="s">
        <v>430</v>
      </c>
      <c r="B44" s="8">
        <v>188.17500000000001</v>
      </c>
      <c r="C44" s="9">
        <f t="shared" si="0"/>
        <v>1.60689948456249E-2</v>
      </c>
    </row>
    <row r="45" spans="1:3">
      <c r="A45" s="7" t="s">
        <v>431</v>
      </c>
      <c r="B45" s="8">
        <v>188.16499999999999</v>
      </c>
      <c r="C45" s="9">
        <f t="shared" si="0"/>
        <v>1.6068140906746499E-2</v>
      </c>
    </row>
    <row r="46" spans="1:3">
      <c r="A46" s="7" t="s">
        <v>432</v>
      </c>
      <c r="B46" s="8">
        <v>188.17</v>
      </c>
      <c r="C46" s="9">
        <f t="shared" si="0"/>
        <v>1.6068567876185699E-2</v>
      </c>
    </row>
    <row r="47" spans="1:3">
      <c r="A47" s="7" t="s">
        <v>262</v>
      </c>
      <c r="B47" s="8">
        <v>190.85499999999999</v>
      </c>
      <c r="C47" s="9">
        <f t="shared" si="0"/>
        <v>1.6297850465055101E-2</v>
      </c>
    </row>
    <row r="48" spans="1:3">
      <c r="A48" s="7" t="s">
        <v>433</v>
      </c>
      <c r="B48" s="8">
        <v>161.91999999999999</v>
      </c>
      <c r="C48" s="9">
        <f t="shared" si="0"/>
        <v>1.3826978320199799E-2</v>
      </c>
    </row>
    <row r="49" spans="1:3">
      <c r="A49" s="7" t="s">
        <v>434</v>
      </c>
      <c r="B49" s="8">
        <v>174.745</v>
      </c>
      <c r="C49" s="9">
        <f t="shared" si="0"/>
        <v>1.4922154931838599E-2</v>
      </c>
    </row>
    <row r="50" spans="1:3">
      <c r="A50" s="7" t="s">
        <v>435</v>
      </c>
      <c r="B50" s="8">
        <v>188.17</v>
      </c>
      <c r="C50" s="9">
        <f t="shared" si="0"/>
        <v>1.6068567876185699E-2</v>
      </c>
    </row>
    <row r="51" spans="1:3">
      <c r="A51" s="7" t="s">
        <v>436</v>
      </c>
      <c r="B51" s="8" t="s">
        <v>249</v>
      </c>
      <c r="C51" s="9" t="str">
        <f t="shared" si="0"/>
        <v/>
      </c>
    </row>
    <row r="52" spans="1:3">
      <c r="A52" s="7" t="s">
        <v>248</v>
      </c>
      <c r="B52" s="8">
        <v>188.16499999999999</v>
      </c>
      <c r="C52" s="9">
        <f t="shared" si="0"/>
        <v>1.6068140906746499E-2</v>
      </c>
    </row>
    <row r="53" spans="1:3">
      <c r="A53" s="7" t="s">
        <v>250</v>
      </c>
      <c r="B53" s="8">
        <v>195.09</v>
      </c>
      <c r="C53" s="9">
        <f t="shared" si="0"/>
        <v>1.66594935800875E-2</v>
      </c>
    </row>
    <row r="54" spans="1:3">
      <c r="A54" s="7" t="s">
        <v>251</v>
      </c>
      <c r="B54" s="8">
        <v>191.1</v>
      </c>
      <c r="C54" s="9">
        <f t="shared" si="0"/>
        <v>1.6318771967577601E-2</v>
      </c>
    </row>
    <row r="55" spans="1:3">
      <c r="A55" s="7" t="s">
        <v>257</v>
      </c>
      <c r="B55" s="8">
        <v>191.1</v>
      </c>
      <c r="C55" s="9">
        <f t="shared" si="0"/>
        <v>1.6318771967577601E-2</v>
      </c>
    </row>
    <row r="56" spans="1:3">
      <c r="A56" s="7" t="s">
        <v>437</v>
      </c>
      <c r="B56" s="8">
        <v>190.47499999999999</v>
      </c>
      <c r="C56" s="9">
        <f t="shared" si="0"/>
        <v>1.62654007876732E-2</v>
      </c>
    </row>
    <row r="57" spans="1:3">
      <c r="A57" s="7" t="s">
        <v>438</v>
      </c>
      <c r="B57" s="8">
        <v>190.57499999999999</v>
      </c>
      <c r="C57" s="9">
        <f t="shared" si="0"/>
        <v>1.6273940176457901E-2</v>
      </c>
    </row>
    <row r="58" spans="1:3">
      <c r="A58" s="7" t="s">
        <v>258</v>
      </c>
      <c r="B58" s="8">
        <v>191.1</v>
      </c>
      <c r="C58" s="9">
        <f t="shared" si="0"/>
        <v>1.6318771967577601E-2</v>
      </c>
    </row>
    <row r="59" spans="1:3">
      <c r="A59" s="7" t="s">
        <v>439</v>
      </c>
      <c r="B59" s="8">
        <v>191.1</v>
      </c>
      <c r="C59" s="9">
        <f t="shared" si="0"/>
        <v>1.6318771967577601E-2</v>
      </c>
    </row>
    <row r="60" spans="1:3">
      <c r="A60" s="7" t="s">
        <v>440</v>
      </c>
      <c r="B60" s="8">
        <v>191.1</v>
      </c>
      <c r="C60" s="9">
        <f t="shared" si="0"/>
        <v>1.6318771967577601E-2</v>
      </c>
    </row>
    <row r="61" spans="1:3">
      <c r="A61" s="7" t="s">
        <v>441</v>
      </c>
      <c r="B61" s="8">
        <v>191.1</v>
      </c>
      <c r="C61" s="9">
        <f t="shared" si="0"/>
        <v>1.6318771967577601E-2</v>
      </c>
    </row>
    <row r="62" spans="1:3">
      <c r="A62" s="7" t="s">
        <v>442</v>
      </c>
      <c r="B62" s="8">
        <v>109.2</v>
      </c>
      <c r="C62" s="9">
        <f t="shared" si="0"/>
        <v>9.3250125529015099E-3</v>
      </c>
    </row>
    <row r="63" spans="1:3">
      <c r="A63" s="7" t="s">
        <v>263</v>
      </c>
      <c r="B63" s="8">
        <v>191.1</v>
      </c>
      <c r="C63" s="9">
        <f t="shared" si="0"/>
        <v>1.6318771967577601E-2</v>
      </c>
    </row>
    <row r="64" spans="1:3">
      <c r="A64" s="7" t="s">
        <v>259</v>
      </c>
      <c r="B64" s="8">
        <v>191.1</v>
      </c>
      <c r="C64" s="9">
        <f t="shared" si="0"/>
        <v>1.6318771967577601E-2</v>
      </c>
    </row>
    <row r="65" spans="1:3">
      <c r="A65" s="7" t="s">
        <v>443</v>
      </c>
      <c r="B65" s="8">
        <v>190.9</v>
      </c>
      <c r="C65" s="9">
        <f t="shared" si="0"/>
        <v>1.6301693190008199E-2</v>
      </c>
    </row>
    <row r="66" spans="1:3">
      <c r="A66" s="7" t="s">
        <v>444</v>
      </c>
      <c r="B66" s="8">
        <v>191.1</v>
      </c>
      <c r="C66" s="9">
        <f t="shared" si="0"/>
        <v>1.6318771967577601E-2</v>
      </c>
    </row>
    <row r="67" spans="1:3">
      <c r="A67" s="7" t="s">
        <v>445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446</v>
      </c>
      <c r="B68" s="8">
        <v>191.1</v>
      </c>
      <c r="C68" s="9">
        <f t="shared" si="2"/>
        <v>1.6318771967577601E-2</v>
      </c>
    </row>
    <row r="69" spans="1:3">
      <c r="A69" s="7" t="s">
        <v>260</v>
      </c>
      <c r="B69" s="8">
        <v>191.1</v>
      </c>
      <c r="C69" s="9">
        <f t="shared" si="2"/>
        <v>1.6318771967577601E-2</v>
      </c>
    </row>
    <row r="70" spans="1:3">
      <c r="A70" s="7" t="s">
        <v>447</v>
      </c>
      <c r="B70" s="8">
        <v>191.1</v>
      </c>
      <c r="C70" s="9">
        <f t="shared" si="2"/>
        <v>1.6318771967577601E-2</v>
      </c>
    </row>
    <row r="71" spans="1:3">
      <c r="A71" s="7" t="s">
        <v>448</v>
      </c>
      <c r="B71" s="8">
        <v>191.1</v>
      </c>
      <c r="C71" s="9">
        <f t="shared" si="2"/>
        <v>1.6318771967577601E-2</v>
      </c>
    </row>
    <row r="72" spans="1:3">
      <c r="A72" s="7" t="s">
        <v>449</v>
      </c>
      <c r="B72" s="8">
        <v>191.1</v>
      </c>
      <c r="C72" s="9">
        <f t="shared" si="2"/>
        <v>1.6318771967577601E-2</v>
      </c>
    </row>
    <row r="73" spans="1:3">
      <c r="A73" s="7" t="s">
        <v>450</v>
      </c>
      <c r="B73" s="8">
        <v>109.2</v>
      </c>
      <c r="C73" s="9">
        <f t="shared" si="2"/>
        <v>9.3250125529015099E-3</v>
      </c>
    </row>
    <row r="74" spans="1:3">
      <c r="A74" s="7" t="s">
        <v>451</v>
      </c>
      <c r="B74" s="8">
        <v>7670.335</v>
      </c>
      <c r="C74" s="9">
        <f t="shared" si="2"/>
        <v>0.65499972673955897</v>
      </c>
    </row>
    <row r="75" spans="1:3">
      <c r="A75" s="7" t="s">
        <v>452</v>
      </c>
      <c r="B75" s="8">
        <v>4040.105</v>
      </c>
      <c r="C75" s="9">
        <f t="shared" si="2"/>
        <v>0.34500027326044103</v>
      </c>
    </row>
    <row r="76" spans="1:3">
      <c r="A76" s="7" t="s">
        <v>241</v>
      </c>
      <c r="B76" s="8">
        <f>B74</f>
        <v>7670.335</v>
      </c>
      <c r="C76" s="9">
        <f t="shared" si="2"/>
        <v>0.65499972673955897</v>
      </c>
    </row>
    <row r="77" spans="1:3">
      <c r="A77" s="7" t="s">
        <v>453</v>
      </c>
      <c r="B77" s="8">
        <f>B75</f>
        <v>4040.105</v>
      </c>
      <c r="C77" s="9">
        <f t="shared" si="2"/>
        <v>0.34500027326044103</v>
      </c>
    </row>
    <row r="78" spans="1:3">
      <c r="A78" s="7" t="s">
        <v>454</v>
      </c>
      <c r="B78" s="8">
        <f>B75</f>
        <v>4040.105</v>
      </c>
      <c r="C78" s="9">
        <f t="shared" si="2"/>
        <v>0.34500027326044103</v>
      </c>
    </row>
    <row r="79" spans="1:3">
      <c r="A79" s="7" t="s">
        <v>267</v>
      </c>
      <c r="B79" s="8">
        <f>SUM(B74:B75)</f>
        <v>11710.44</v>
      </c>
      <c r="C79" s="9">
        <f t="shared" si="2"/>
        <v>1</v>
      </c>
    </row>
    <row r="80" spans="1:3">
      <c r="A80" s="7" t="s">
        <v>323</v>
      </c>
      <c r="B80" s="8">
        <f>SUM(B75:B76)</f>
        <v>11710.44</v>
      </c>
      <c r="C80" s="9">
        <f t="shared" si="2"/>
        <v>1</v>
      </c>
    </row>
    <row r="81" spans="1:3">
      <c r="A81" s="7" t="s">
        <v>455</v>
      </c>
      <c r="B81" s="8">
        <v>7683.5649999999996</v>
      </c>
      <c r="C81" s="9">
        <f t="shared" si="2"/>
        <v>0.65612948787577596</v>
      </c>
    </row>
    <row r="82" spans="1:3">
      <c r="A82" s="7" t="s">
        <v>456</v>
      </c>
      <c r="B82" s="8">
        <v>4047.0349999999999</v>
      </c>
      <c r="C82" s="9">
        <f t="shared" si="2"/>
        <v>0.34559205290322098</v>
      </c>
    </row>
    <row r="83" spans="1:3">
      <c r="A83" s="7" t="s">
        <v>457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458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459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460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461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462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463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464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465</v>
      </c>
      <c r="B91" s="8">
        <v>0</v>
      </c>
      <c r="C91" s="9">
        <f t="shared" si="2"/>
        <v>0</v>
      </c>
    </row>
    <row r="92" spans="1:3">
      <c r="A92" s="7" t="s">
        <v>466</v>
      </c>
      <c r="B92" s="8">
        <v>0</v>
      </c>
      <c r="C92" s="9">
        <f t="shared" si="2"/>
        <v>0</v>
      </c>
    </row>
    <row r="93" spans="1:3">
      <c r="A93" s="7" t="s">
        <v>467</v>
      </c>
      <c r="B93" s="8">
        <v>0</v>
      </c>
      <c r="C93" s="9">
        <f t="shared" si="2"/>
        <v>0</v>
      </c>
    </row>
    <row r="94" spans="1:3">
      <c r="A94" s="7" t="s">
        <v>468</v>
      </c>
      <c r="B94" s="8">
        <f>B80</f>
        <v>11710.44</v>
      </c>
      <c r="C94" s="9">
        <f t="shared" si="2"/>
        <v>1</v>
      </c>
    </row>
    <row r="95" spans="1:3">
      <c r="A95" s="7" t="s">
        <v>469</v>
      </c>
      <c r="B95" s="8">
        <f>B94</f>
        <v>11710.44</v>
      </c>
      <c r="C95" s="9">
        <f t="shared" si="2"/>
        <v>1</v>
      </c>
    </row>
    <row r="96" spans="1:3">
      <c r="A96" s="7" t="s">
        <v>470</v>
      </c>
      <c r="B96" s="8">
        <v>13.02</v>
      </c>
      <c r="C96" s="9">
        <f t="shared" si="2"/>
        <v>1.1118284197690299E-3</v>
      </c>
    </row>
    <row r="97" spans="1:3">
      <c r="A97" s="7" t="s">
        <v>254</v>
      </c>
      <c r="B97" s="8">
        <v>13.23</v>
      </c>
      <c r="C97" s="9">
        <f t="shared" si="2"/>
        <v>1.1297611362169101E-3</v>
      </c>
    </row>
    <row r="98" spans="1:3">
      <c r="A98" s="7" t="s">
        <v>471</v>
      </c>
      <c r="B98" s="8">
        <v>13.44</v>
      </c>
      <c r="C98" s="9">
        <f t="shared" si="2"/>
        <v>1.1476938526648001E-3</v>
      </c>
    </row>
    <row r="99" spans="1:3">
      <c r="A99" s="7" t="s">
        <v>472</v>
      </c>
      <c r="B99" s="8">
        <v>13.65</v>
      </c>
      <c r="C99" s="9">
        <f t="shared" si="2"/>
        <v>1.16562656911269E-3</v>
      </c>
    </row>
    <row r="100" spans="1:3">
      <c r="A100" s="7" t="s">
        <v>473</v>
      </c>
      <c r="B100" s="8">
        <v>13.86</v>
      </c>
      <c r="C100" s="9">
        <f t="shared" si="2"/>
        <v>1.18355928556058E-3</v>
      </c>
    </row>
    <row r="101" spans="1:3">
      <c r="A101" s="7" t="s">
        <v>474</v>
      </c>
      <c r="B101" s="8">
        <v>6.51</v>
      </c>
      <c r="C101" s="9">
        <f t="shared" si="2"/>
        <v>5.55914209884513E-4</v>
      </c>
    </row>
    <row r="102" spans="1:3">
      <c r="A102" s="7" t="s">
        <v>475</v>
      </c>
      <c r="B102" s="8">
        <v>6.6150000000000002</v>
      </c>
      <c r="C102" s="9">
        <f t="shared" si="2"/>
        <v>5.6488056810845701E-4</v>
      </c>
    </row>
    <row r="103" spans="1:3">
      <c r="A103" s="7" t="s">
        <v>476</v>
      </c>
      <c r="B103" s="8">
        <v>6.72</v>
      </c>
      <c r="C103" s="9">
        <f t="shared" si="2"/>
        <v>5.7384692633240101E-4</v>
      </c>
    </row>
    <row r="104" spans="1:3">
      <c r="A104" s="7" t="s">
        <v>477</v>
      </c>
      <c r="B104" s="8">
        <v>6.8250000000000002</v>
      </c>
      <c r="C104" s="9">
        <f t="shared" si="2"/>
        <v>5.8281328455634502E-4</v>
      </c>
    </row>
    <row r="105" spans="1:3">
      <c r="A105" s="7" t="s">
        <v>478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F68EB9E-B4D7-4624-BA4F-5AF9DE0328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4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Raw Data</vt:lpstr>
      <vt:lpstr>JMR</vt:lpstr>
      <vt:lpstr>Inv_SY</vt:lpstr>
      <vt:lpstr>Inv_SY_Dev</vt:lpstr>
      <vt:lpstr>Plant BD</vt:lpstr>
      <vt:lpstr>Grid BD</vt:lpstr>
      <vt:lpstr>Tracker_BD</vt:lpstr>
      <vt:lpstr>Mod_CL</vt:lpstr>
      <vt:lpstr>Grass_Cutting</vt:lpstr>
      <vt:lpstr>Spare_Consumable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2015-06-05T18:17:00Z</dcterms:created>
  <dcterms:modified xsi:type="dcterms:W3CDTF">2025-08-04T09:21:46Z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